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ikef\Downloads\"/>
    </mc:Choice>
  </mc:AlternateContent>
  <xr:revisionPtr revIDLastSave="0" documentId="13_ncr:1_{55DCEF8F-85C3-47CC-A5BF-CE33A0C759D8}" xr6:coauthVersionLast="47" xr6:coauthVersionMax="47" xr10:uidLastSave="{00000000-0000-0000-0000-000000000000}"/>
  <bookViews>
    <workbookView xWindow="19200" yWindow="0" windowWidth="19200" windowHeight="21000" firstSheet="5" activeTab="14" xr2:uid="{00000000-000D-0000-FFFF-FFFF00000000}"/>
  </bookViews>
  <sheets>
    <sheet name="Settings" sheetId="1" r:id="rId1"/>
    <sheet name="Rankings" sheetId="2" r:id="rId2"/>
    <sheet name="My Team" sheetId="3" r:id="rId3"/>
    <sheet name="Standard Deviations" sheetId="4" r:id="rId4"/>
    <sheet name="Hitters" sheetId="5" r:id="rId5"/>
    <sheet name="1B" sheetId="6" r:id="rId6"/>
    <sheet name="2B" sheetId="7" r:id="rId7"/>
    <sheet name="3B" sheetId="8" r:id="rId8"/>
    <sheet name="C" sheetId="9" r:id="rId9"/>
    <sheet name="OF" sheetId="10" r:id="rId10"/>
    <sheet name="SS" sheetId="11" r:id="rId11"/>
    <sheet name="1B+3B" sheetId="12" r:id="rId12"/>
    <sheet name="2B+SS" sheetId="13" r:id="rId13"/>
    <sheet name="Pitchers" sheetId="14" r:id="rId14"/>
    <sheet name="SP" sheetId="15" r:id="rId15"/>
    <sheet name="RP" sheetId="16" r:id="rId16"/>
    <sheet name="SP+RP" sheetId="17" r:id="rId17"/>
  </sheets>
  <definedNames>
    <definedName name="_xlnm._FilterDatabase" localSheetId="5" hidden="1">'1B'!$A$1:$I$63</definedName>
    <definedName name="_xlnm._FilterDatabase" localSheetId="11" hidden="1">'1B+3B'!$A$1:$I$104</definedName>
    <definedName name="_xlnm._FilterDatabase" localSheetId="6" hidden="1">'2B'!$A$1:$I$50</definedName>
    <definedName name="_xlnm._FilterDatabase" localSheetId="12" hidden="1">'2B+SS'!$A$1:$I$94</definedName>
    <definedName name="_xlnm._FilterDatabase" localSheetId="7" hidden="1">'3B'!$A$1:$I$55</definedName>
    <definedName name="_xlnm._FilterDatabase" localSheetId="8" hidden="1">'C'!$A$1:$I$54</definedName>
    <definedName name="_xlnm._FilterDatabase" localSheetId="9" hidden="1">OF!$A$1:$I$139</definedName>
    <definedName name="_xlnm._FilterDatabase" localSheetId="1" hidden="1">Rankings!$A$1:$AR$651</definedName>
    <definedName name="_xlnm._FilterDatabase" localSheetId="15" hidden="1">RP!$A$1:$I$91</definedName>
    <definedName name="_xlnm._FilterDatabase" localSheetId="14" hidden="1">SP!$A$1:$I$161</definedName>
    <definedName name="_xlnm._FilterDatabase" localSheetId="16" hidden="1">'SP+RP'!$A$1:$I$251</definedName>
    <definedName name="_xlnm._FilterDatabase" localSheetId="10" hidden="1">SS!$A$1:$I$45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1" i="3" l="1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F41" i="3" s="1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F40" i="3" s="1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F39" i="3" s="1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F38" i="3" s="1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F37" i="3" s="1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F36" i="3" s="1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F35" i="3" s="1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F34" i="3" s="1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F33" i="3" s="1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F32" i="3" s="1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F31" i="3" s="1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F29" i="3" s="1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F28" i="3" s="1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F27" i="3" s="1"/>
  <c r="Y26" i="3"/>
  <c r="X26" i="3"/>
  <c r="X42" i="3" s="1"/>
  <c r="W26" i="3"/>
  <c r="V26" i="3"/>
  <c r="V42" i="3" s="1"/>
  <c r="U26" i="3"/>
  <c r="U42" i="3" s="1"/>
  <c r="T26" i="3"/>
  <c r="S26" i="3"/>
  <c r="R26" i="3"/>
  <c r="R42" i="3" s="1"/>
  <c r="Q26" i="3"/>
  <c r="Q42" i="3" s="1"/>
  <c r="P26" i="3"/>
  <c r="O26" i="3"/>
  <c r="O42" i="3" s="1"/>
  <c r="N26" i="3"/>
  <c r="N42" i="3" s="1"/>
  <c r="M26" i="3"/>
  <c r="L26" i="3"/>
  <c r="K26" i="3"/>
  <c r="J26" i="3"/>
  <c r="F26" i="3" s="1"/>
  <c r="X22" i="3"/>
  <c r="W22" i="3"/>
  <c r="V22" i="3"/>
  <c r="U22" i="3"/>
  <c r="T22" i="3"/>
  <c r="S22" i="3"/>
  <c r="R22" i="3"/>
  <c r="Q22" i="3"/>
  <c r="F22" i="3" s="1"/>
  <c r="P22" i="3"/>
  <c r="O22" i="3"/>
  <c r="N22" i="3"/>
  <c r="M22" i="3"/>
  <c r="L22" i="3"/>
  <c r="K22" i="3"/>
  <c r="J22" i="3"/>
  <c r="X21" i="3"/>
  <c r="F21" i="3" s="1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X18" i="3"/>
  <c r="W18" i="3"/>
  <c r="V18" i="3"/>
  <c r="U18" i="3"/>
  <c r="T18" i="3"/>
  <c r="S18" i="3"/>
  <c r="R18" i="3"/>
  <c r="Q18" i="3"/>
  <c r="P18" i="3"/>
  <c r="O18" i="3"/>
  <c r="N18" i="3"/>
  <c r="M18" i="3"/>
  <c r="F18" i="3" s="1"/>
  <c r="L18" i="3"/>
  <c r="K18" i="3"/>
  <c r="J18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F17" i="3" s="1"/>
  <c r="K17" i="3"/>
  <c r="J17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F16" i="3" s="1"/>
  <c r="J16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F15" i="3" s="1"/>
  <c r="X14" i="3"/>
  <c r="W14" i="3"/>
  <c r="V14" i="3"/>
  <c r="U14" i="3"/>
  <c r="T14" i="3"/>
  <c r="S14" i="3"/>
  <c r="R14" i="3"/>
  <c r="Q14" i="3"/>
  <c r="F14" i="3" s="1"/>
  <c r="P14" i="3"/>
  <c r="O14" i="3"/>
  <c r="N14" i="3"/>
  <c r="M14" i="3"/>
  <c r="L14" i="3"/>
  <c r="K14" i="3"/>
  <c r="J14" i="3"/>
  <c r="X13" i="3"/>
  <c r="F13" i="3" s="1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X11" i="3"/>
  <c r="W11" i="3"/>
  <c r="V11" i="3"/>
  <c r="U11" i="3"/>
  <c r="T11" i="3"/>
  <c r="S11" i="3"/>
  <c r="R11" i="3"/>
  <c r="Q11" i="3"/>
  <c r="P11" i="3"/>
  <c r="O11" i="3"/>
  <c r="N11" i="3"/>
  <c r="F11" i="3" s="1"/>
  <c r="M11" i="3"/>
  <c r="L11" i="3"/>
  <c r="K11" i="3"/>
  <c r="J11" i="3"/>
  <c r="X10" i="3"/>
  <c r="W10" i="3"/>
  <c r="V10" i="3"/>
  <c r="U10" i="3"/>
  <c r="T10" i="3"/>
  <c r="S10" i="3"/>
  <c r="R10" i="3"/>
  <c r="Q10" i="3"/>
  <c r="P10" i="3"/>
  <c r="O10" i="3"/>
  <c r="N10" i="3"/>
  <c r="M10" i="3"/>
  <c r="F10" i="3" s="1"/>
  <c r="L10" i="3"/>
  <c r="K10" i="3"/>
  <c r="J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F9" i="3" s="1"/>
  <c r="K9" i="3"/>
  <c r="J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F8" i="3" s="1"/>
  <c r="J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F7" i="3" s="1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X5" i="3"/>
  <c r="X23" i="3" s="1"/>
  <c r="W5" i="3"/>
  <c r="V5" i="3"/>
  <c r="U5" i="3"/>
  <c r="T5" i="3"/>
  <c r="S5" i="3"/>
  <c r="R5" i="3"/>
  <c r="Q5" i="3"/>
  <c r="P5" i="3"/>
  <c r="O5" i="3"/>
  <c r="N5" i="3"/>
  <c r="M5" i="3"/>
  <c r="L5" i="3"/>
  <c r="K5" i="3"/>
  <c r="F5" i="3" s="1"/>
  <c r="J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X3" i="3"/>
  <c r="W3" i="3"/>
  <c r="V3" i="3"/>
  <c r="U3" i="3"/>
  <c r="T3" i="3"/>
  <c r="S3" i="3"/>
  <c r="R3" i="3"/>
  <c r="Q3" i="3"/>
  <c r="P3" i="3"/>
  <c r="O3" i="3"/>
  <c r="N3" i="3"/>
  <c r="N23" i="3" s="1"/>
  <c r="M3" i="3"/>
  <c r="L3" i="3"/>
  <c r="K3" i="3"/>
  <c r="J3" i="3"/>
  <c r="X2" i="3"/>
  <c r="W2" i="3"/>
  <c r="V2" i="3"/>
  <c r="U2" i="3"/>
  <c r="U23" i="3" s="1"/>
  <c r="T2" i="3"/>
  <c r="S2" i="3"/>
  <c r="S23" i="3" s="1"/>
  <c r="R2" i="3"/>
  <c r="Q2" i="3"/>
  <c r="P2" i="3"/>
  <c r="O2" i="3"/>
  <c r="N2" i="3"/>
  <c r="M2" i="3"/>
  <c r="L2" i="3"/>
  <c r="K2" i="3"/>
  <c r="K23" i="3" s="1"/>
  <c r="J2" i="3"/>
  <c r="E42" i="3"/>
  <c r="B42" i="3"/>
  <c r="H41" i="3"/>
  <c r="G41" i="3"/>
  <c r="E41" i="3"/>
  <c r="C41" i="3"/>
  <c r="B41" i="3"/>
  <c r="H40" i="3"/>
  <c r="G40" i="3"/>
  <c r="E40" i="3"/>
  <c r="C40" i="3"/>
  <c r="B40" i="3"/>
  <c r="H39" i="3"/>
  <c r="G39" i="3"/>
  <c r="E39" i="3"/>
  <c r="C39" i="3"/>
  <c r="B39" i="3"/>
  <c r="H38" i="3"/>
  <c r="G38" i="3"/>
  <c r="E38" i="3"/>
  <c r="C38" i="3"/>
  <c r="B38" i="3"/>
  <c r="H37" i="3"/>
  <c r="G37" i="3"/>
  <c r="E37" i="3"/>
  <c r="C37" i="3"/>
  <c r="B37" i="3"/>
  <c r="H36" i="3"/>
  <c r="G36" i="3"/>
  <c r="E36" i="3"/>
  <c r="C36" i="3"/>
  <c r="B36" i="3"/>
  <c r="H35" i="3"/>
  <c r="G35" i="3"/>
  <c r="E35" i="3"/>
  <c r="C35" i="3"/>
  <c r="B35" i="3"/>
  <c r="G34" i="3"/>
  <c r="C34" i="3"/>
  <c r="B34" i="3"/>
  <c r="H33" i="3"/>
  <c r="G33" i="3"/>
  <c r="E33" i="3"/>
  <c r="C33" i="3"/>
  <c r="B33" i="3"/>
  <c r="H32" i="3"/>
  <c r="G32" i="3"/>
  <c r="E32" i="3"/>
  <c r="C32" i="3"/>
  <c r="B32" i="3"/>
  <c r="H31" i="3"/>
  <c r="G31" i="3"/>
  <c r="E31" i="3"/>
  <c r="C31" i="3"/>
  <c r="B31" i="3"/>
  <c r="H30" i="3"/>
  <c r="G30" i="3"/>
  <c r="E30" i="3"/>
  <c r="C30" i="3"/>
  <c r="B30" i="3"/>
  <c r="H29" i="3"/>
  <c r="G29" i="3"/>
  <c r="E29" i="3"/>
  <c r="C29" i="3"/>
  <c r="B29" i="3"/>
  <c r="K42" i="3"/>
  <c r="H28" i="3"/>
  <c r="G28" i="3"/>
  <c r="E28" i="3"/>
  <c r="C28" i="3"/>
  <c r="B28" i="3"/>
  <c r="H27" i="3"/>
  <c r="G27" i="3"/>
  <c r="E27" i="3"/>
  <c r="C27" i="3"/>
  <c r="B27" i="3"/>
  <c r="Y42" i="3"/>
  <c r="W42" i="3"/>
  <c r="T42" i="3"/>
  <c r="S42" i="3"/>
  <c r="P42" i="3"/>
  <c r="M42" i="3"/>
  <c r="C26" i="3"/>
  <c r="B26" i="3"/>
  <c r="X24" i="3"/>
  <c r="W24" i="3"/>
  <c r="V24" i="3"/>
  <c r="U24" i="3"/>
  <c r="T24" i="3"/>
  <c r="S24" i="3"/>
  <c r="R24" i="3"/>
  <c r="Q24" i="3"/>
  <c r="P24" i="3"/>
  <c r="O24" i="3"/>
  <c r="N24" i="3"/>
  <c r="M24" i="3"/>
  <c r="F24" i="3" s="1"/>
  <c r="L24" i="3"/>
  <c r="K24" i="3"/>
  <c r="J24" i="3"/>
  <c r="H24" i="3"/>
  <c r="G24" i="3"/>
  <c r="B24" i="3"/>
  <c r="E23" i="3"/>
  <c r="B23" i="3"/>
  <c r="H22" i="3"/>
  <c r="G22" i="3"/>
  <c r="E22" i="3"/>
  <c r="C22" i="3"/>
  <c r="B22" i="3"/>
  <c r="H21" i="3"/>
  <c r="G21" i="3"/>
  <c r="E21" i="3"/>
  <c r="C21" i="3"/>
  <c r="B21" i="3"/>
  <c r="F20" i="3"/>
  <c r="H20" i="3"/>
  <c r="G20" i="3"/>
  <c r="E20" i="3"/>
  <c r="C20" i="3"/>
  <c r="B20" i="3"/>
  <c r="F19" i="3"/>
  <c r="H19" i="3"/>
  <c r="G19" i="3"/>
  <c r="E19" i="3"/>
  <c r="C19" i="3"/>
  <c r="B19" i="3"/>
  <c r="H18" i="3"/>
  <c r="G18" i="3"/>
  <c r="E18" i="3"/>
  <c r="C18" i="3"/>
  <c r="B18" i="3"/>
  <c r="C17" i="3"/>
  <c r="B17" i="3"/>
  <c r="H16" i="3"/>
  <c r="G16" i="3"/>
  <c r="E16" i="3"/>
  <c r="C16" i="3"/>
  <c r="B16" i="3"/>
  <c r="H15" i="3"/>
  <c r="G15" i="3"/>
  <c r="E15" i="3"/>
  <c r="C15" i="3"/>
  <c r="B15" i="3"/>
  <c r="C14" i="3"/>
  <c r="B14" i="3"/>
  <c r="H13" i="3"/>
  <c r="G13" i="3"/>
  <c r="E13" i="3"/>
  <c r="C13" i="3"/>
  <c r="B13" i="3"/>
  <c r="F12" i="3"/>
  <c r="H12" i="3"/>
  <c r="G12" i="3"/>
  <c r="E12" i="3"/>
  <c r="C12" i="3"/>
  <c r="B12" i="3"/>
  <c r="C11" i="3"/>
  <c r="B11" i="3"/>
  <c r="H10" i="3"/>
  <c r="G10" i="3"/>
  <c r="E10" i="3"/>
  <c r="C10" i="3"/>
  <c r="B10" i="3"/>
  <c r="H9" i="3"/>
  <c r="G9" i="3"/>
  <c r="E9" i="3"/>
  <c r="C9" i="3"/>
  <c r="B9" i="3"/>
  <c r="C8" i="3"/>
  <c r="B8" i="3"/>
  <c r="H7" i="3"/>
  <c r="G7" i="3"/>
  <c r="E7" i="3"/>
  <c r="C7" i="3"/>
  <c r="B7" i="3"/>
  <c r="H6" i="3"/>
  <c r="G6" i="3"/>
  <c r="E6" i="3"/>
  <c r="C6" i="3"/>
  <c r="B6" i="3"/>
  <c r="C5" i="3"/>
  <c r="B5" i="3"/>
  <c r="H4" i="3"/>
  <c r="G4" i="3"/>
  <c r="E4" i="3"/>
  <c r="C4" i="3"/>
  <c r="B4" i="3"/>
  <c r="H3" i="3"/>
  <c r="G3" i="3"/>
  <c r="E3" i="3"/>
  <c r="C3" i="3"/>
  <c r="B3" i="3"/>
  <c r="M23" i="3"/>
  <c r="C2" i="3"/>
  <c r="B2" i="3"/>
  <c r="AA650" i="2"/>
  <c r="Z650" i="2"/>
  <c r="Y650" i="2"/>
  <c r="X650" i="2"/>
  <c r="W650" i="2"/>
  <c r="V650" i="2"/>
  <c r="U650" i="2"/>
  <c r="T650" i="2"/>
  <c r="S650" i="2"/>
  <c r="R650" i="2"/>
  <c r="Q650" i="2"/>
  <c r="P650" i="2"/>
  <c r="O650" i="2"/>
  <c r="N650" i="2"/>
  <c r="M650" i="2"/>
  <c r="AA646" i="2"/>
  <c r="Z646" i="2"/>
  <c r="Y646" i="2"/>
  <c r="X646" i="2"/>
  <c r="W646" i="2"/>
  <c r="V646" i="2"/>
  <c r="U646" i="2"/>
  <c r="T646" i="2"/>
  <c r="S646" i="2"/>
  <c r="R646" i="2"/>
  <c r="Q646" i="2"/>
  <c r="P646" i="2"/>
  <c r="O646" i="2"/>
  <c r="N646" i="2"/>
  <c r="M646" i="2"/>
  <c r="AA613" i="2"/>
  <c r="Z613" i="2"/>
  <c r="Y613" i="2"/>
  <c r="X613" i="2"/>
  <c r="W613" i="2"/>
  <c r="V613" i="2"/>
  <c r="U613" i="2"/>
  <c r="T613" i="2"/>
  <c r="S613" i="2"/>
  <c r="R613" i="2"/>
  <c r="Q613" i="2"/>
  <c r="P613" i="2"/>
  <c r="O613" i="2"/>
  <c r="N613" i="2"/>
  <c r="M61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AA573" i="2"/>
  <c r="Z573" i="2"/>
  <c r="Y573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AA647" i="2"/>
  <c r="Z647" i="2"/>
  <c r="Y647" i="2"/>
  <c r="X647" i="2"/>
  <c r="W647" i="2"/>
  <c r="V647" i="2"/>
  <c r="U647" i="2"/>
  <c r="T647" i="2"/>
  <c r="S647" i="2"/>
  <c r="R647" i="2"/>
  <c r="Q647" i="2"/>
  <c r="P647" i="2"/>
  <c r="O647" i="2"/>
  <c r="N647" i="2"/>
  <c r="M647" i="2"/>
  <c r="AA607" i="2"/>
  <c r="Z607" i="2"/>
  <c r="Y607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AA577" i="2"/>
  <c r="Z577" i="2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AA644" i="2"/>
  <c r="Z644" i="2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AA574" i="2"/>
  <c r="Z574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AA641" i="2"/>
  <c r="Z641" i="2"/>
  <c r="Y641" i="2"/>
  <c r="X641" i="2"/>
  <c r="W641" i="2"/>
  <c r="V641" i="2"/>
  <c r="U641" i="2"/>
  <c r="T641" i="2"/>
  <c r="S641" i="2"/>
  <c r="R641" i="2"/>
  <c r="Q641" i="2"/>
  <c r="P641" i="2"/>
  <c r="O641" i="2"/>
  <c r="N641" i="2"/>
  <c r="M641" i="2"/>
  <c r="AA637" i="2"/>
  <c r="Z637" i="2"/>
  <c r="Y637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AA617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AA623" i="2"/>
  <c r="Z623" i="2"/>
  <c r="Y623" i="2"/>
  <c r="X623" i="2"/>
  <c r="W623" i="2"/>
  <c r="V623" i="2"/>
  <c r="U623" i="2"/>
  <c r="T623" i="2"/>
  <c r="S623" i="2"/>
  <c r="R623" i="2"/>
  <c r="Q623" i="2"/>
  <c r="P623" i="2"/>
  <c r="O623" i="2"/>
  <c r="N623" i="2"/>
  <c r="M623" i="2"/>
  <c r="AA632" i="2"/>
  <c r="Z632" i="2"/>
  <c r="Y632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AA643" i="2"/>
  <c r="Z643" i="2"/>
  <c r="Y643" i="2"/>
  <c r="X643" i="2"/>
  <c r="W643" i="2"/>
  <c r="V643" i="2"/>
  <c r="U643" i="2"/>
  <c r="T643" i="2"/>
  <c r="S643" i="2"/>
  <c r="R643" i="2"/>
  <c r="Q643" i="2"/>
  <c r="P643" i="2"/>
  <c r="O643" i="2"/>
  <c r="N643" i="2"/>
  <c r="M643" i="2"/>
  <c r="AA651" i="2"/>
  <c r="Z651" i="2"/>
  <c r="Y651" i="2"/>
  <c r="X651" i="2"/>
  <c r="W651" i="2"/>
  <c r="V651" i="2"/>
  <c r="U651" i="2"/>
  <c r="T651" i="2"/>
  <c r="S651" i="2"/>
  <c r="R651" i="2"/>
  <c r="Q651" i="2"/>
  <c r="P651" i="2"/>
  <c r="O651" i="2"/>
  <c r="N651" i="2"/>
  <c r="M651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AA554" i="2"/>
  <c r="Z554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AA633" i="2"/>
  <c r="Z633" i="2"/>
  <c r="Y633" i="2"/>
  <c r="X633" i="2"/>
  <c r="W633" i="2"/>
  <c r="V633" i="2"/>
  <c r="U633" i="2"/>
  <c r="T633" i="2"/>
  <c r="S633" i="2"/>
  <c r="R633" i="2"/>
  <c r="Q633" i="2"/>
  <c r="P633" i="2"/>
  <c r="O633" i="2"/>
  <c r="N633" i="2"/>
  <c r="M633" i="2"/>
  <c r="AA627" i="2"/>
  <c r="Z627" i="2"/>
  <c r="Y627" i="2"/>
  <c r="X627" i="2"/>
  <c r="W627" i="2"/>
  <c r="V627" i="2"/>
  <c r="U627" i="2"/>
  <c r="T627" i="2"/>
  <c r="S627" i="2"/>
  <c r="R627" i="2"/>
  <c r="Q627" i="2"/>
  <c r="P627" i="2"/>
  <c r="O627" i="2"/>
  <c r="N627" i="2"/>
  <c r="M627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AA555" i="2"/>
  <c r="Z555" i="2"/>
  <c r="Y555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AA599" i="2"/>
  <c r="Z599" i="2"/>
  <c r="Y599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AA622" i="2"/>
  <c r="Z622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M622" i="2"/>
  <c r="AA562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AA648" i="2"/>
  <c r="Z648" i="2"/>
  <c r="Y648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AA626" i="2"/>
  <c r="Z626" i="2"/>
  <c r="Y626" i="2"/>
  <c r="X626" i="2"/>
  <c r="W626" i="2"/>
  <c r="V626" i="2"/>
  <c r="U626" i="2"/>
  <c r="T626" i="2"/>
  <c r="S626" i="2"/>
  <c r="R626" i="2"/>
  <c r="Q626" i="2"/>
  <c r="P626" i="2"/>
  <c r="O626" i="2"/>
  <c r="N626" i="2"/>
  <c r="M626" i="2"/>
  <c r="AA645" i="2"/>
  <c r="Z645" i="2"/>
  <c r="Y645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AA592" i="2"/>
  <c r="Z592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AA630" i="2"/>
  <c r="Z630" i="2"/>
  <c r="Y630" i="2"/>
  <c r="X630" i="2"/>
  <c r="W630" i="2"/>
  <c r="V630" i="2"/>
  <c r="U630" i="2"/>
  <c r="T630" i="2"/>
  <c r="S630" i="2"/>
  <c r="R630" i="2"/>
  <c r="Q630" i="2"/>
  <c r="P630" i="2"/>
  <c r="O630" i="2"/>
  <c r="N630" i="2"/>
  <c r="M630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AA615" i="2"/>
  <c r="Z615" i="2"/>
  <c r="Y615" i="2"/>
  <c r="X615" i="2"/>
  <c r="W615" i="2"/>
  <c r="V615" i="2"/>
  <c r="U615" i="2"/>
  <c r="T615" i="2"/>
  <c r="S615" i="2"/>
  <c r="R615" i="2"/>
  <c r="Q615" i="2"/>
  <c r="P615" i="2"/>
  <c r="O615" i="2"/>
  <c r="N615" i="2"/>
  <c r="M615" i="2"/>
  <c r="AA649" i="2"/>
  <c r="Z649" i="2"/>
  <c r="Y649" i="2"/>
  <c r="X649" i="2"/>
  <c r="W649" i="2"/>
  <c r="V649" i="2"/>
  <c r="U649" i="2"/>
  <c r="T649" i="2"/>
  <c r="S649" i="2"/>
  <c r="R649" i="2"/>
  <c r="Q649" i="2"/>
  <c r="P649" i="2"/>
  <c r="O649" i="2"/>
  <c r="N649" i="2"/>
  <c r="M649" i="2"/>
  <c r="AA598" i="2"/>
  <c r="Z598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AA639" i="2"/>
  <c r="Z639" i="2"/>
  <c r="Y639" i="2"/>
  <c r="X639" i="2"/>
  <c r="W639" i="2"/>
  <c r="V639" i="2"/>
  <c r="U639" i="2"/>
  <c r="T639" i="2"/>
  <c r="S639" i="2"/>
  <c r="R639" i="2"/>
  <c r="Q639" i="2"/>
  <c r="P639" i="2"/>
  <c r="O639" i="2"/>
  <c r="N639" i="2"/>
  <c r="M639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AA635" i="2"/>
  <c r="Z635" i="2"/>
  <c r="Y635" i="2"/>
  <c r="X635" i="2"/>
  <c r="W635" i="2"/>
  <c r="V635" i="2"/>
  <c r="U635" i="2"/>
  <c r="T635" i="2"/>
  <c r="S635" i="2"/>
  <c r="R635" i="2"/>
  <c r="Q635" i="2"/>
  <c r="P635" i="2"/>
  <c r="O635" i="2"/>
  <c r="N635" i="2"/>
  <c r="M635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AA628" i="2"/>
  <c r="Z628" i="2"/>
  <c r="Y628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AA625" i="2"/>
  <c r="Z625" i="2"/>
  <c r="Y625" i="2"/>
  <c r="X625" i="2"/>
  <c r="W625" i="2"/>
  <c r="V625" i="2"/>
  <c r="U625" i="2"/>
  <c r="T625" i="2"/>
  <c r="S625" i="2"/>
  <c r="R625" i="2"/>
  <c r="Q625" i="2"/>
  <c r="P625" i="2"/>
  <c r="O625" i="2"/>
  <c r="N625" i="2"/>
  <c r="M625" i="2"/>
  <c r="AA634" i="2"/>
  <c r="Z634" i="2"/>
  <c r="Y634" i="2"/>
  <c r="X634" i="2"/>
  <c r="W634" i="2"/>
  <c r="V634" i="2"/>
  <c r="U634" i="2"/>
  <c r="T634" i="2"/>
  <c r="S634" i="2"/>
  <c r="R634" i="2"/>
  <c r="Q634" i="2"/>
  <c r="P634" i="2"/>
  <c r="O634" i="2"/>
  <c r="N634" i="2"/>
  <c r="M634" i="2"/>
  <c r="AA606" i="2"/>
  <c r="Z606" i="2"/>
  <c r="Y606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AA629" i="2"/>
  <c r="Z629" i="2"/>
  <c r="Y629" i="2"/>
  <c r="X629" i="2"/>
  <c r="W629" i="2"/>
  <c r="V629" i="2"/>
  <c r="U629" i="2"/>
  <c r="T629" i="2"/>
  <c r="S629" i="2"/>
  <c r="R629" i="2"/>
  <c r="Q629" i="2"/>
  <c r="P629" i="2"/>
  <c r="O629" i="2"/>
  <c r="N629" i="2"/>
  <c r="M629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AA594" i="2"/>
  <c r="Z594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AA579" i="2"/>
  <c r="Z579" i="2"/>
  <c r="Y579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AA638" i="2"/>
  <c r="Z638" i="2"/>
  <c r="Y638" i="2"/>
  <c r="X638" i="2"/>
  <c r="W638" i="2"/>
  <c r="V638" i="2"/>
  <c r="U638" i="2"/>
  <c r="T638" i="2"/>
  <c r="S638" i="2"/>
  <c r="R638" i="2"/>
  <c r="Q638" i="2"/>
  <c r="P638" i="2"/>
  <c r="O638" i="2"/>
  <c r="N638" i="2"/>
  <c r="M638" i="2"/>
  <c r="AR514" i="2"/>
  <c r="AQ514" i="2"/>
  <c r="AP514" i="2"/>
  <c r="AO514" i="2"/>
  <c r="AN514" i="2"/>
  <c r="AM514" i="2"/>
  <c r="AL514" i="2"/>
  <c r="AK514" i="2"/>
  <c r="AJ514" i="2"/>
  <c r="AI514" i="2"/>
  <c r="AH514" i="2"/>
  <c r="AG514" i="2"/>
  <c r="AF514" i="2"/>
  <c r="AE514" i="2"/>
  <c r="AD514" i="2"/>
  <c r="AC514" i="2"/>
  <c r="AA596" i="2"/>
  <c r="Z596" i="2"/>
  <c r="Y596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AA585" i="2"/>
  <c r="Z585" i="2"/>
  <c r="Y585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AA621" i="2"/>
  <c r="Z621" i="2"/>
  <c r="Y621" i="2"/>
  <c r="X621" i="2"/>
  <c r="W621" i="2"/>
  <c r="V621" i="2"/>
  <c r="U621" i="2"/>
  <c r="T621" i="2"/>
  <c r="S621" i="2"/>
  <c r="R621" i="2"/>
  <c r="Q621" i="2"/>
  <c r="P621" i="2"/>
  <c r="O621" i="2"/>
  <c r="N621" i="2"/>
  <c r="M621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AA636" i="2"/>
  <c r="Z636" i="2"/>
  <c r="Y636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AA608" i="2"/>
  <c r="Z608" i="2"/>
  <c r="Y608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AA593" i="2"/>
  <c r="Z593" i="2"/>
  <c r="Y593" i="2"/>
  <c r="X593" i="2"/>
  <c r="W593" i="2"/>
  <c r="V593" i="2"/>
  <c r="U593" i="2"/>
  <c r="T593" i="2"/>
  <c r="S593" i="2"/>
  <c r="R593" i="2"/>
  <c r="Q593" i="2"/>
  <c r="P593" i="2"/>
  <c r="O593" i="2"/>
  <c r="N593" i="2"/>
  <c r="M593" i="2"/>
  <c r="AA559" i="2"/>
  <c r="Z559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AA590" i="2"/>
  <c r="Z590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AA575" i="2"/>
  <c r="Z575" i="2"/>
  <c r="Y575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AA624" i="2"/>
  <c r="Z624" i="2"/>
  <c r="Y624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AA602" i="2"/>
  <c r="Z602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AA580" i="2"/>
  <c r="Z580" i="2"/>
  <c r="Y580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AR561" i="2"/>
  <c r="AQ561" i="2"/>
  <c r="AP561" i="2"/>
  <c r="AO561" i="2"/>
  <c r="AN561" i="2"/>
  <c r="AM561" i="2"/>
  <c r="AL561" i="2"/>
  <c r="AK561" i="2"/>
  <c r="AJ561" i="2"/>
  <c r="AI561" i="2"/>
  <c r="AH561" i="2"/>
  <c r="AG561" i="2"/>
  <c r="AF561" i="2"/>
  <c r="AE561" i="2"/>
  <c r="AD561" i="2"/>
  <c r="AC561" i="2"/>
  <c r="AR517" i="2"/>
  <c r="AQ517" i="2"/>
  <c r="AP517" i="2"/>
  <c r="AO517" i="2"/>
  <c r="AN517" i="2"/>
  <c r="AM517" i="2"/>
  <c r="AL517" i="2"/>
  <c r="AK517" i="2"/>
  <c r="AJ517" i="2"/>
  <c r="AI517" i="2"/>
  <c r="AH517" i="2"/>
  <c r="AG517" i="2"/>
  <c r="AF517" i="2"/>
  <c r="AE517" i="2"/>
  <c r="AD517" i="2"/>
  <c r="AC517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R500" i="2"/>
  <c r="AQ500" i="2"/>
  <c r="AP500" i="2"/>
  <c r="AO500" i="2"/>
  <c r="AN500" i="2"/>
  <c r="AM500" i="2"/>
  <c r="AL500" i="2"/>
  <c r="AK500" i="2"/>
  <c r="AJ500" i="2"/>
  <c r="AI500" i="2"/>
  <c r="AH500" i="2"/>
  <c r="AG500" i="2"/>
  <c r="AF500" i="2"/>
  <c r="AE500" i="2"/>
  <c r="AD500" i="2"/>
  <c r="AC500" i="2"/>
  <c r="AA609" i="2"/>
  <c r="Z609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AA556" i="2"/>
  <c r="Z556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AA564" i="2"/>
  <c r="Z564" i="2"/>
  <c r="Y564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AA587" i="2"/>
  <c r="Z587" i="2"/>
  <c r="Y587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AA618" i="2"/>
  <c r="Z618" i="2"/>
  <c r="Y618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AR601" i="2"/>
  <c r="AQ601" i="2"/>
  <c r="AP601" i="2"/>
  <c r="AO601" i="2"/>
  <c r="AN601" i="2"/>
  <c r="AM601" i="2"/>
  <c r="AL601" i="2"/>
  <c r="AK601" i="2"/>
  <c r="AJ601" i="2"/>
  <c r="AI601" i="2"/>
  <c r="AH601" i="2"/>
  <c r="AG601" i="2"/>
  <c r="AF601" i="2"/>
  <c r="AE601" i="2"/>
  <c r="AD601" i="2"/>
  <c r="AC601" i="2"/>
  <c r="AA571" i="2"/>
  <c r="Z571" i="2"/>
  <c r="Y571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AR551" i="2"/>
  <c r="AQ551" i="2"/>
  <c r="AP551" i="2"/>
  <c r="AO551" i="2"/>
  <c r="AN551" i="2"/>
  <c r="AM551" i="2"/>
  <c r="AL551" i="2"/>
  <c r="AK551" i="2"/>
  <c r="AJ551" i="2"/>
  <c r="AI551" i="2"/>
  <c r="AH551" i="2"/>
  <c r="AG551" i="2"/>
  <c r="AF551" i="2"/>
  <c r="AE551" i="2"/>
  <c r="AD551" i="2"/>
  <c r="AC551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AR550" i="2"/>
  <c r="AQ550" i="2"/>
  <c r="AP550" i="2"/>
  <c r="AO550" i="2"/>
  <c r="AN550" i="2"/>
  <c r="AM550" i="2"/>
  <c r="AL550" i="2"/>
  <c r="AK550" i="2"/>
  <c r="AJ550" i="2"/>
  <c r="AI550" i="2"/>
  <c r="AH550" i="2"/>
  <c r="AG550" i="2"/>
  <c r="AF550" i="2"/>
  <c r="AE550" i="2"/>
  <c r="AD550" i="2"/>
  <c r="AC550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AA611" i="2"/>
  <c r="Z611" i="2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AA581" i="2"/>
  <c r="Z581" i="2"/>
  <c r="Y581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AR541" i="2"/>
  <c r="AQ541" i="2"/>
  <c r="AP541" i="2"/>
  <c r="AO541" i="2"/>
  <c r="AN541" i="2"/>
  <c r="AM541" i="2"/>
  <c r="AL541" i="2"/>
  <c r="AK541" i="2"/>
  <c r="AJ541" i="2"/>
  <c r="AI541" i="2"/>
  <c r="AH541" i="2"/>
  <c r="AG541" i="2"/>
  <c r="AF541" i="2"/>
  <c r="AE541" i="2"/>
  <c r="AD541" i="2"/>
  <c r="AC54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AR605" i="2"/>
  <c r="AQ605" i="2"/>
  <c r="AP605" i="2"/>
  <c r="AO605" i="2"/>
  <c r="AN605" i="2"/>
  <c r="AM605" i="2"/>
  <c r="AL605" i="2"/>
  <c r="AK605" i="2"/>
  <c r="AJ605" i="2"/>
  <c r="AI605" i="2"/>
  <c r="AH605" i="2"/>
  <c r="AG605" i="2"/>
  <c r="AF605" i="2"/>
  <c r="AE605" i="2"/>
  <c r="AD605" i="2"/>
  <c r="AC605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AR483" i="2"/>
  <c r="AQ483" i="2"/>
  <c r="AP483" i="2"/>
  <c r="AO483" i="2"/>
  <c r="AN483" i="2"/>
  <c r="AM483" i="2"/>
  <c r="AL483" i="2"/>
  <c r="AK483" i="2"/>
  <c r="AJ483" i="2"/>
  <c r="AI483" i="2"/>
  <c r="AH483" i="2"/>
  <c r="AG483" i="2"/>
  <c r="AF483" i="2"/>
  <c r="AE483" i="2"/>
  <c r="AD483" i="2"/>
  <c r="AC483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AR519" i="2"/>
  <c r="AQ519" i="2"/>
  <c r="AP519" i="2"/>
  <c r="AO519" i="2"/>
  <c r="AN519" i="2"/>
  <c r="AM519" i="2"/>
  <c r="AL519" i="2"/>
  <c r="AK519" i="2"/>
  <c r="AJ519" i="2"/>
  <c r="AI519" i="2"/>
  <c r="AH519" i="2"/>
  <c r="AG519" i="2"/>
  <c r="AF519" i="2"/>
  <c r="AE519" i="2"/>
  <c r="AD519" i="2"/>
  <c r="AC519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AR497" i="2"/>
  <c r="AQ497" i="2"/>
  <c r="AP497" i="2"/>
  <c r="AO497" i="2"/>
  <c r="AN497" i="2"/>
  <c r="AM497" i="2"/>
  <c r="AL497" i="2"/>
  <c r="AK497" i="2"/>
  <c r="AJ497" i="2"/>
  <c r="AI497" i="2"/>
  <c r="AH497" i="2"/>
  <c r="AG497" i="2"/>
  <c r="AF497" i="2"/>
  <c r="AE497" i="2"/>
  <c r="AD497" i="2"/>
  <c r="AC49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R572" i="2"/>
  <c r="AQ572" i="2"/>
  <c r="AP572" i="2"/>
  <c r="AO572" i="2"/>
  <c r="AN572" i="2"/>
  <c r="AM572" i="2"/>
  <c r="AL572" i="2"/>
  <c r="AK572" i="2"/>
  <c r="AJ572" i="2"/>
  <c r="AI572" i="2"/>
  <c r="AH572" i="2"/>
  <c r="AG572" i="2"/>
  <c r="AF572" i="2"/>
  <c r="AE572" i="2"/>
  <c r="AD572" i="2"/>
  <c r="AC572" i="2"/>
  <c r="AA570" i="2"/>
  <c r="Z570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AR619" i="2"/>
  <c r="AQ619" i="2"/>
  <c r="AP619" i="2"/>
  <c r="AO619" i="2"/>
  <c r="AN619" i="2"/>
  <c r="AM619" i="2"/>
  <c r="AL619" i="2"/>
  <c r="AK619" i="2"/>
  <c r="AJ619" i="2"/>
  <c r="AI619" i="2"/>
  <c r="AH619" i="2"/>
  <c r="AG619" i="2"/>
  <c r="AF619" i="2"/>
  <c r="AE619" i="2"/>
  <c r="AD619" i="2"/>
  <c r="AC619" i="2"/>
  <c r="AR612" i="2"/>
  <c r="AQ612" i="2"/>
  <c r="AP612" i="2"/>
  <c r="AO612" i="2"/>
  <c r="AN612" i="2"/>
  <c r="AM612" i="2"/>
  <c r="AL612" i="2"/>
  <c r="AK612" i="2"/>
  <c r="AJ612" i="2"/>
  <c r="AI612" i="2"/>
  <c r="AH612" i="2"/>
  <c r="AG612" i="2"/>
  <c r="AF612" i="2"/>
  <c r="AE612" i="2"/>
  <c r="AD612" i="2"/>
  <c r="AC612" i="2"/>
  <c r="AR553" i="2"/>
  <c r="AQ553" i="2"/>
  <c r="AP553" i="2"/>
  <c r="AO553" i="2"/>
  <c r="AN553" i="2"/>
  <c r="AM553" i="2"/>
  <c r="AL553" i="2"/>
  <c r="AK553" i="2"/>
  <c r="AJ553" i="2"/>
  <c r="AI553" i="2"/>
  <c r="AH553" i="2"/>
  <c r="AG553" i="2"/>
  <c r="AF553" i="2"/>
  <c r="AE553" i="2"/>
  <c r="AD553" i="2"/>
  <c r="AC553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AR616" i="2"/>
  <c r="AQ616" i="2"/>
  <c r="AP616" i="2"/>
  <c r="AO616" i="2"/>
  <c r="AN616" i="2"/>
  <c r="AM616" i="2"/>
  <c r="AL616" i="2"/>
  <c r="AK616" i="2"/>
  <c r="AJ616" i="2"/>
  <c r="AI616" i="2"/>
  <c r="AH616" i="2"/>
  <c r="AG616" i="2"/>
  <c r="AF616" i="2"/>
  <c r="AE616" i="2"/>
  <c r="AD616" i="2"/>
  <c r="AC616" i="2"/>
  <c r="AR604" i="2"/>
  <c r="AQ604" i="2"/>
  <c r="AP604" i="2"/>
  <c r="AO604" i="2"/>
  <c r="AN604" i="2"/>
  <c r="AM604" i="2"/>
  <c r="AL604" i="2"/>
  <c r="AK604" i="2"/>
  <c r="AJ604" i="2"/>
  <c r="AI604" i="2"/>
  <c r="AH604" i="2"/>
  <c r="AG604" i="2"/>
  <c r="AF604" i="2"/>
  <c r="AE604" i="2"/>
  <c r="AD604" i="2"/>
  <c r="AC604" i="2"/>
  <c r="AR614" i="2"/>
  <c r="AQ614" i="2"/>
  <c r="AP614" i="2"/>
  <c r="AO614" i="2"/>
  <c r="AN614" i="2"/>
  <c r="AM614" i="2"/>
  <c r="AL614" i="2"/>
  <c r="AK614" i="2"/>
  <c r="AJ614" i="2"/>
  <c r="AI614" i="2"/>
  <c r="AH614" i="2"/>
  <c r="AG614" i="2"/>
  <c r="AF614" i="2"/>
  <c r="AE614" i="2"/>
  <c r="AD614" i="2"/>
  <c r="AC614" i="2"/>
  <c r="AR521" i="2"/>
  <c r="AQ521" i="2"/>
  <c r="AP521" i="2"/>
  <c r="AO521" i="2"/>
  <c r="AN521" i="2"/>
  <c r="AM521" i="2"/>
  <c r="AL521" i="2"/>
  <c r="AK521" i="2"/>
  <c r="AJ521" i="2"/>
  <c r="AI521" i="2"/>
  <c r="AH521" i="2"/>
  <c r="AG521" i="2"/>
  <c r="AF521" i="2"/>
  <c r="AE521" i="2"/>
  <c r="AD521" i="2"/>
  <c r="AC521" i="2"/>
  <c r="AR567" i="2"/>
  <c r="AQ567" i="2"/>
  <c r="AP567" i="2"/>
  <c r="AO567" i="2"/>
  <c r="AN567" i="2"/>
  <c r="AM567" i="2"/>
  <c r="AL567" i="2"/>
  <c r="AK567" i="2"/>
  <c r="AJ567" i="2"/>
  <c r="AI567" i="2"/>
  <c r="AH567" i="2"/>
  <c r="AG567" i="2"/>
  <c r="AF567" i="2"/>
  <c r="AE567" i="2"/>
  <c r="AD567" i="2"/>
  <c r="AC56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AR505" i="2"/>
  <c r="AQ505" i="2"/>
  <c r="AP505" i="2"/>
  <c r="AO505" i="2"/>
  <c r="AN505" i="2"/>
  <c r="AM505" i="2"/>
  <c r="AL505" i="2"/>
  <c r="AK505" i="2"/>
  <c r="AJ505" i="2"/>
  <c r="AI505" i="2"/>
  <c r="AH505" i="2"/>
  <c r="AG505" i="2"/>
  <c r="AF505" i="2"/>
  <c r="AE505" i="2"/>
  <c r="AD505" i="2"/>
  <c r="AC505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AA557" i="2"/>
  <c r="Z557" i="2"/>
  <c r="Y557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AR481" i="2"/>
  <c r="AQ481" i="2"/>
  <c r="AP481" i="2"/>
  <c r="AO481" i="2"/>
  <c r="AN481" i="2"/>
  <c r="AM481" i="2"/>
  <c r="AL481" i="2"/>
  <c r="AK481" i="2"/>
  <c r="AJ481" i="2"/>
  <c r="AI481" i="2"/>
  <c r="AH481" i="2"/>
  <c r="AG481" i="2"/>
  <c r="AF481" i="2"/>
  <c r="AE481" i="2"/>
  <c r="AD481" i="2"/>
  <c r="AC481" i="2"/>
  <c r="AR597" i="2"/>
  <c r="AQ597" i="2"/>
  <c r="AP597" i="2"/>
  <c r="AO597" i="2"/>
  <c r="AN597" i="2"/>
  <c r="AM597" i="2"/>
  <c r="AL597" i="2"/>
  <c r="AK597" i="2"/>
  <c r="AJ597" i="2"/>
  <c r="AI597" i="2"/>
  <c r="AH597" i="2"/>
  <c r="AG597" i="2"/>
  <c r="AF597" i="2"/>
  <c r="AE597" i="2"/>
  <c r="AD597" i="2"/>
  <c r="AC597" i="2"/>
  <c r="AR620" i="2"/>
  <c r="AQ620" i="2"/>
  <c r="AP620" i="2"/>
  <c r="AO620" i="2"/>
  <c r="AN620" i="2"/>
  <c r="AM620" i="2"/>
  <c r="AL620" i="2"/>
  <c r="AK620" i="2"/>
  <c r="AJ620" i="2"/>
  <c r="AI620" i="2"/>
  <c r="AH620" i="2"/>
  <c r="AG620" i="2"/>
  <c r="AF620" i="2"/>
  <c r="AE620" i="2"/>
  <c r="AD620" i="2"/>
  <c r="AC620" i="2"/>
  <c r="AR546" i="2"/>
  <c r="AQ546" i="2"/>
  <c r="AP546" i="2"/>
  <c r="AO546" i="2"/>
  <c r="AN546" i="2"/>
  <c r="AM546" i="2"/>
  <c r="AL546" i="2"/>
  <c r="AK546" i="2"/>
  <c r="AJ546" i="2"/>
  <c r="AI546" i="2"/>
  <c r="AH546" i="2"/>
  <c r="AG546" i="2"/>
  <c r="AF546" i="2"/>
  <c r="AE546" i="2"/>
  <c r="AD546" i="2"/>
  <c r="AC546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R600" i="2"/>
  <c r="AQ600" i="2"/>
  <c r="AP600" i="2"/>
  <c r="AO600" i="2"/>
  <c r="AN600" i="2"/>
  <c r="AM600" i="2"/>
  <c r="AL600" i="2"/>
  <c r="AK600" i="2"/>
  <c r="AJ600" i="2"/>
  <c r="AI600" i="2"/>
  <c r="AH600" i="2"/>
  <c r="AG600" i="2"/>
  <c r="AF600" i="2"/>
  <c r="AE600" i="2"/>
  <c r="AD600" i="2"/>
  <c r="AC600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AR584" i="2"/>
  <c r="AQ584" i="2"/>
  <c r="AP584" i="2"/>
  <c r="AO584" i="2"/>
  <c r="AN584" i="2"/>
  <c r="AM584" i="2"/>
  <c r="AL584" i="2"/>
  <c r="AK584" i="2"/>
  <c r="AJ584" i="2"/>
  <c r="AI584" i="2"/>
  <c r="AH584" i="2"/>
  <c r="AG584" i="2"/>
  <c r="AF584" i="2"/>
  <c r="AE584" i="2"/>
  <c r="AD584" i="2"/>
  <c r="AC584" i="2"/>
  <c r="AR540" i="2"/>
  <c r="AQ540" i="2"/>
  <c r="AP540" i="2"/>
  <c r="AO540" i="2"/>
  <c r="AN540" i="2"/>
  <c r="AM540" i="2"/>
  <c r="AL540" i="2"/>
  <c r="AK540" i="2"/>
  <c r="AJ540" i="2"/>
  <c r="AI540" i="2"/>
  <c r="AH540" i="2"/>
  <c r="AG540" i="2"/>
  <c r="AF540" i="2"/>
  <c r="AE540" i="2"/>
  <c r="AD540" i="2"/>
  <c r="AC540" i="2"/>
  <c r="AR538" i="2"/>
  <c r="AQ538" i="2"/>
  <c r="AP538" i="2"/>
  <c r="AO538" i="2"/>
  <c r="AN538" i="2"/>
  <c r="AM538" i="2"/>
  <c r="AL538" i="2"/>
  <c r="AK538" i="2"/>
  <c r="AJ538" i="2"/>
  <c r="AI538" i="2"/>
  <c r="AH538" i="2"/>
  <c r="AG538" i="2"/>
  <c r="AF538" i="2"/>
  <c r="AE538" i="2"/>
  <c r="AD538" i="2"/>
  <c r="AC538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R532" i="2"/>
  <c r="AQ532" i="2"/>
  <c r="AP532" i="2"/>
  <c r="AO532" i="2"/>
  <c r="AN532" i="2"/>
  <c r="AM532" i="2"/>
  <c r="AL532" i="2"/>
  <c r="AK532" i="2"/>
  <c r="AJ532" i="2"/>
  <c r="AI532" i="2"/>
  <c r="AH532" i="2"/>
  <c r="AG532" i="2"/>
  <c r="AF532" i="2"/>
  <c r="AE532" i="2"/>
  <c r="AD532" i="2"/>
  <c r="AC532" i="2"/>
  <c r="AR560" i="2"/>
  <c r="AQ560" i="2"/>
  <c r="AP560" i="2"/>
  <c r="AO560" i="2"/>
  <c r="AN560" i="2"/>
  <c r="AM560" i="2"/>
  <c r="AL560" i="2"/>
  <c r="AK560" i="2"/>
  <c r="AJ560" i="2"/>
  <c r="AI560" i="2"/>
  <c r="AH560" i="2"/>
  <c r="AG560" i="2"/>
  <c r="AF560" i="2"/>
  <c r="AE560" i="2"/>
  <c r="AD560" i="2"/>
  <c r="AC560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AR563" i="2"/>
  <c r="AQ563" i="2"/>
  <c r="AP563" i="2"/>
  <c r="AO563" i="2"/>
  <c r="AN563" i="2"/>
  <c r="AM563" i="2"/>
  <c r="AL563" i="2"/>
  <c r="AK563" i="2"/>
  <c r="AJ563" i="2"/>
  <c r="AI563" i="2"/>
  <c r="AH563" i="2"/>
  <c r="AG563" i="2"/>
  <c r="AF563" i="2"/>
  <c r="AE563" i="2"/>
  <c r="AD563" i="2"/>
  <c r="AC563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AR591" i="2"/>
  <c r="AQ591" i="2"/>
  <c r="AP591" i="2"/>
  <c r="AO591" i="2"/>
  <c r="AN591" i="2"/>
  <c r="AM591" i="2"/>
  <c r="AL591" i="2"/>
  <c r="AK591" i="2"/>
  <c r="AJ591" i="2"/>
  <c r="AI591" i="2"/>
  <c r="AH591" i="2"/>
  <c r="AG591" i="2"/>
  <c r="AF591" i="2"/>
  <c r="AE591" i="2"/>
  <c r="AD591" i="2"/>
  <c r="AC591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AR565" i="2"/>
  <c r="AQ565" i="2"/>
  <c r="AP565" i="2"/>
  <c r="AO565" i="2"/>
  <c r="AN565" i="2"/>
  <c r="AM565" i="2"/>
  <c r="AL565" i="2"/>
  <c r="AK565" i="2"/>
  <c r="AJ565" i="2"/>
  <c r="AI565" i="2"/>
  <c r="AH565" i="2"/>
  <c r="AG565" i="2"/>
  <c r="AF565" i="2"/>
  <c r="AE565" i="2"/>
  <c r="AD565" i="2"/>
  <c r="AC565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AR576" i="2"/>
  <c r="AQ576" i="2"/>
  <c r="AP576" i="2"/>
  <c r="AO576" i="2"/>
  <c r="AN576" i="2"/>
  <c r="AM576" i="2"/>
  <c r="AL576" i="2"/>
  <c r="AK576" i="2"/>
  <c r="AJ576" i="2"/>
  <c r="AI576" i="2"/>
  <c r="AH576" i="2"/>
  <c r="AG576" i="2"/>
  <c r="AF576" i="2"/>
  <c r="AE576" i="2"/>
  <c r="AD576" i="2"/>
  <c r="AC576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R569" i="2"/>
  <c r="AQ569" i="2"/>
  <c r="AP569" i="2"/>
  <c r="AO569" i="2"/>
  <c r="AN569" i="2"/>
  <c r="AM569" i="2"/>
  <c r="AL569" i="2"/>
  <c r="AK569" i="2"/>
  <c r="AJ569" i="2"/>
  <c r="AI569" i="2"/>
  <c r="AH569" i="2"/>
  <c r="AG569" i="2"/>
  <c r="AF569" i="2"/>
  <c r="AE569" i="2"/>
  <c r="AD569" i="2"/>
  <c r="AC5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AR539" i="2"/>
  <c r="AQ539" i="2"/>
  <c r="AP539" i="2"/>
  <c r="AO539" i="2"/>
  <c r="AN539" i="2"/>
  <c r="AM539" i="2"/>
  <c r="AL539" i="2"/>
  <c r="AK539" i="2"/>
  <c r="AJ539" i="2"/>
  <c r="AI539" i="2"/>
  <c r="AH539" i="2"/>
  <c r="AG539" i="2"/>
  <c r="AF539" i="2"/>
  <c r="AE539" i="2"/>
  <c r="AD539" i="2"/>
  <c r="AC539" i="2"/>
  <c r="AR493" i="2"/>
  <c r="AQ493" i="2"/>
  <c r="AP493" i="2"/>
  <c r="AO493" i="2"/>
  <c r="AN493" i="2"/>
  <c r="AM493" i="2"/>
  <c r="AL493" i="2"/>
  <c r="AK493" i="2"/>
  <c r="AJ493" i="2"/>
  <c r="AI493" i="2"/>
  <c r="AH493" i="2"/>
  <c r="AG493" i="2"/>
  <c r="AF493" i="2"/>
  <c r="AE493" i="2"/>
  <c r="AD493" i="2"/>
  <c r="AC493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R588" i="2"/>
  <c r="AQ588" i="2"/>
  <c r="AP588" i="2"/>
  <c r="AO588" i="2"/>
  <c r="AN588" i="2"/>
  <c r="AM588" i="2"/>
  <c r="AL588" i="2"/>
  <c r="AK588" i="2"/>
  <c r="AJ588" i="2"/>
  <c r="AI588" i="2"/>
  <c r="AH588" i="2"/>
  <c r="AG588" i="2"/>
  <c r="AF588" i="2"/>
  <c r="AE588" i="2"/>
  <c r="AD588" i="2"/>
  <c r="AC588" i="2"/>
  <c r="AR518" i="2"/>
  <c r="AQ518" i="2"/>
  <c r="AP518" i="2"/>
  <c r="AO518" i="2"/>
  <c r="AN518" i="2"/>
  <c r="AM518" i="2"/>
  <c r="AL518" i="2"/>
  <c r="AK518" i="2"/>
  <c r="AJ518" i="2"/>
  <c r="AI518" i="2"/>
  <c r="AH518" i="2"/>
  <c r="AG518" i="2"/>
  <c r="AF518" i="2"/>
  <c r="AE518" i="2"/>
  <c r="AD518" i="2"/>
  <c r="AC518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AR509" i="2"/>
  <c r="AQ509" i="2"/>
  <c r="AP509" i="2"/>
  <c r="AO509" i="2"/>
  <c r="AN509" i="2"/>
  <c r="AM509" i="2"/>
  <c r="AL509" i="2"/>
  <c r="AK509" i="2"/>
  <c r="AJ509" i="2"/>
  <c r="AI509" i="2"/>
  <c r="AH509" i="2"/>
  <c r="AG509" i="2"/>
  <c r="AF509" i="2"/>
  <c r="AE509" i="2"/>
  <c r="AD509" i="2"/>
  <c r="AC509" i="2"/>
  <c r="AR582" i="2"/>
  <c r="AQ582" i="2"/>
  <c r="AP582" i="2"/>
  <c r="AO582" i="2"/>
  <c r="AN582" i="2"/>
  <c r="AM582" i="2"/>
  <c r="AL582" i="2"/>
  <c r="AK582" i="2"/>
  <c r="AJ582" i="2"/>
  <c r="AI582" i="2"/>
  <c r="AH582" i="2"/>
  <c r="AG582" i="2"/>
  <c r="AF582" i="2"/>
  <c r="AE582" i="2"/>
  <c r="AD582" i="2"/>
  <c r="AC582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AR558" i="2"/>
  <c r="AQ558" i="2"/>
  <c r="AP558" i="2"/>
  <c r="AO558" i="2"/>
  <c r="AN558" i="2"/>
  <c r="AM558" i="2"/>
  <c r="AL558" i="2"/>
  <c r="AK558" i="2"/>
  <c r="AJ558" i="2"/>
  <c r="AI558" i="2"/>
  <c r="AH558" i="2"/>
  <c r="AG558" i="2"/>
  <c r="AF558" i="2"/>
  <c r="AE558" i="2"/>
  <c r="AD558" i="2"/>
  <c r="AC558" i="2"/>
  <c r="AR595" i="2"/>
  <c r="AQ595" i="2"/>
  <c r="AP595" i="2"/>
  <c r="AO595" i="2"/>
  <c r="AN595" i="2"/>
  <c r="AM595" i="2"/>
  <c r="AL595" i="2"/>
  <c r="AK595" i="2"/>
  <c r="AJ595" i="2"/>
  <c r="AI595" i="2"/>
  <c r="AH595" i="2"/>
  <c r="AG595" i="2"/>
  <c r="AF595" i="2"/>
  <c r="AE595" i="2"/>
  <c r="AD595" i="2"/>
  <c r="AC595" i="2"/>
  <c r="AR537" i="2"/>
  <c r="AQ537" i="2"/>
  <c r="AP537" i="2"/>
  <c r="AO537" i="2"/>
  <c r="AN537" i="2"/>
  <c r="AM537" i="2"/>
  <c r="AL537" i="2"/>
  <c r="AK537" i="2"/>
  <c r="AJ537" i="2"/>
  <c r="AI537" i="2"/>
  <c r="AH537" i="2"/>
  <c r="AG537" i="2"/>
  <c r="AF537" i="2"/>
  <c r="AE537" i="2"/>
  <c r="AD537" i="2"/>
  <c r="AC537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AR491" i="2"/>
  <c r="AQ491" i="2"/>
  <c r="AP491" i="2"/>
  <c r="AO491" i="2"/>
  <c r="AN491" i="2"/>
  <c r="AM491" i="2"/>
  <c r="AL491" i="2"/>
  <c r="AK491" i="2"/>
  <c r="AJ491" i="2"/>
  <c r="AI491" i="2"/>
  <c r="AH491" i="2"/>
  <c r="AG491" i="2"/>
  <c r="AF491" i="2"/>
  <c r="AE491" i="2"/>
  <c r="AD491" i="2"/>
  <c r="AC491" i="2"/>
  <c r="AR488" i="2"/>
  <c r="AQ488" i="2"/>
  <c r="AP488" i="2"/>
  <c r="AO488" i="2"/>
  <c r="AN488" i="2"/>
  <c r="AM488" i="2"/>
  <c r="AL488" i="2"/>
  <c r="AK488" i="2"/>
  <c r="AJ488" i="2"/>
  <c r="AI488" i="2"/>
  <c r="AH488" i="2"/>
  <c r="AG488" i="2"/>
  <c r="AF488" i="2"/>
  <c r="AE488" i="2"/>
  <c r="AD488" i="2"/>
  <c r="AC488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AR536" i="2"/>
  <c r="AQ536" i="2"/>
  <c r="AP536" i="2"/>
  <c r="AO536" i="2"/>
  <c r="AN536" i="2"/>
  <c r="AM536" i="2"/>
  <c r="AL536" i="2"/>
  <c r="AK536" i="2"/>
  <c r="AJ536" i="2"/>
  <c r="AI536" i="2"/>
  <c r="AH536" i="2"/>
  <c r="AG536" i="2"/>
  <c r="AF536" i="2"/>
  <c r="AE536" i="2"/>
  <c r="AD536" i="2"/>
  <c r="AC5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R583" i="2"/>
  <c r="AQ583" i="2"/>
  <c r="AP583" i="2"/>
  <c r="AO583" i="2"/>
  <c r="AN583" i="2"/>
  <c r="AM583" i="2"/>
  <c r="AL583" i="2"/>
  <c r="AK583" i="2"/>
  <c r="AJ583" i="2"/>
  <c r="AI583" i="2"/>
  <c r="AH583" i="2"/>
  <c r="AG583" i="2"/>
  <c r="AF583" i="2"/>
  <c r="AE583" i="2"/>
  <c r="AD583" i="2"/>
  <c r="AC583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AR603" i="2"/>
  <c r="AQ603" i="2"/>
  <c r="AP603" i="2"/>
  <c r="AO603" i="2"/>
  <c r="AN603" i="2"/>
  <c r="AM603" i="2"/>
  <c r="AL603" i="2"/>
  <c r="AK603" i="2"/>
  <c r="AJ603" i="2"/>
  <c r="AI603" i="2"/>
  <c r="AH603" i="2"/>
  <c r="AG603" i="2"/>
  <c r="AF603" i="2"/>
  <c r="AE603" i="2"/>
  <c r="AD603" i="2"/>
  <c r="AC603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AR523" i="2"/>
  <c r="AQ523" i="2"/>
  <c r="AP523" i="2"/>
  <c r="AO523" i="2"/>
  <c r="AN523" i="2"/>
  <c r="AM523" i="2"/>
  <c r="AL523" i="2"/>
  <c r="AK523" i="2"/>
  <c r="AJ523" i="2"/>
  <c r="AI523" i="2"/>
  <c r="AH523" i="2"/>
  <c r="AG523" i="2"/>
  <c r="AF523" i="2"/>
  <c r="AE523" i="2"/>
  <c r="AD523" i="2"/>
  <c r="AC523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AR631" i="2"/>
  <c r="AQ631" i="2"/>
  <c r="AP631" i="2"/>
  <c r="AO631" i="2"/>
  <c r="AN631" i="2"/>
  <c r="AM631" i="2"/>
  <c r="AL631" i="2"/>
  <c r="AK631" i="2"/>
  <c r="AJ631" i="2"/>
  <c r="AI631" i="2"/>
  <c r="AH631" i="2"/>
  <c r="AG631" i="2"/>
  <c r="AF631" i="2"/>
  <c r="AE631" i="2"/>
  <c r="AD631" i="2"/>
  <c r="AC631" i="2"/>
  <c r="AR544" i="2"/>
  <c r="AQ544" i="2"/>
  <c r="AP544" i="2"/>
  <c r="AO544" i="2"/>
  <c r="AN544" i="2"/>
  <c r="AM544" i="2"/>
  <c r="AL544" i="2"/>
  <c r="AK544" i="2"/>
  <c r="AJ544" i="2"/>
  <c r="AI544" i="2"/>
  <c r="AH544" i="2"/>
  <c r="AG544" i="2"/>
  <c r="AF544" i="2"/>
  <c r="AE544" i="2"/>
  <c r="AD544" i="2"/>
  <c r="AC544" i="2"/>
  <c r="AR566" i="2"/>
  <c r="AQ566" i="2"/>
  <c r="AP566" i="2"/>
  <c r="AO566" i="2"/>
  <c r="AN566" i="2"/>
  <c r="AM566" i="2"/>
  <c r="AL566" i="2"/>
  <c r="AK566" i="2"/>
  <c r="AJ566" i="2"/>
  <c r="AI566" i="2"/>
  <c r="AH566" i="2"/>
  <c r="AG566" i="2"/>
  <c r="AF566" i="2"/>
  <c r="AE566" i="2"/>
  <c r="AD566" i="2"/>
  <c r="AC56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AR548" i="2"/>
  <c r="AQ548" i="2"/>
  <c r="AP548" i="2"/>
  <c r="AO548" i="2"/>
  <c r="AN548" i="2"/>
  <c r="AM548" i="2"/>
  <c r="AL548" i="2"/>
  <c r="AK548" i="2"/>
  <c r="AJ548" i="2"/>
  <c r="AI548" i="2"/>
  <c r="AH548" i="2"/>
  <c r="AG548" i="2"/>
  <c r="AF548" i="2"/>
  <c r="AE548" i="2"/>
  <c r="AD548" i="2"/>
  <c r="AC548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AR642" i="2"/>
  <c r="AQ642" i="2"/>
  <c r="AP642" i="2"/>
  <c r="AO642" i="2"/>
  <c r="AN642" i="2"/>
  <c r="AM642" i="2"/>
  <c r="AL642" i="2"/>
  <c r="AK642" i="2"/>
  <c r="AJ642" i="2"/>
  <c r="AI642" i="2"/>
  <c r="AH642" i="2"/>
  <c r="AG642" i="2"/>
  <c r="AF642" i="2"/>
  <c r="AE642" i="2"/>
  <c r="AD642" i="2"/>
  <c r="AC642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R568" i="2"/>
  <c r="AQ568" i="2"/>
  <c r="AP568" i="2"/>
  <c r="AO568" i="2"/>
  <c r="AN568" i="2"/>
  <c r="AM568" i="2"/>
  <c r="AL568" i="2"/>
  <c r="AK568" i="2"/>
  <c r="AJ568" i="2"/>
  <c r="AI568" i="2"/>
  <c r="AH568" i="2"/>
  <c r="AG568" i="2"/>
  <c r="AF568" i="2"/>
  <c r="AE568" i="2"/>
  <c r="AD568" i="2"/>
  <c r="AC568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R578" i="2"/>
  <c r="AQ578" i="2"/>
  <c r="AP578" i="2"/>
  <c r="AO578" i="2"/>
  <c r="AN578" i="2"/>
  <c r="AM578" i="2"/>
  <c r="AL578" i="2"/>
  <c r="AK578" i="2"/>
  <c r="AJ578" i="2"/>
  <c r="AI578" i="2"/>
  <c r="AH578" i="2"/>
  <c r="AG578" i="2"/>
  <c r="AF578" i="2"/>
  <c r="AE578" i="2"/>
  <c r="AD578" i="2"/>
  <c r="AC578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AR547" i="2"/>
  <c r="AQ547" i="2"/>
  <c r="AP547" i="2"/>
  <c r="AO547" i="2"/>
  <c r="AN547" i="2"/>
  <c r="AM547" i="2"/>
  <c r="AL547" i="2"/>
  <c r="AK547" i="2"/>
  <c r="AJ547" i="2"/>
  <c r="AI547" i="2"/>
  <c r="AH547" i="2"/>
  <c r="AG547" i="2"/>
  <c r="AF547" i="2"/>
  <c r="AE547" i="2"/>
  <c r="AD547" i="2"/>
  <c r="AC547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AR545" i="2"/>
  <c r="AQ545" i="2"/>
  <c r="AP545" i="2"/>
  <c r="AO545" i="2"/>
  <c r="AN545" i="2"/>
  <c r="AM545" i="2"/>
  <c r="AL545" i="2"/>
  <c r="AK545" i="2"/>
  <c r="AJ545" i="2"/>
  <c r="AI545" i="2"/>
  <c r="AH545" i="2"/>
  <c r="AG545" i="2"/>
  <c r="AF545" i="2"/>
  <c r="AE545" i="2"/>
  <c r="AD545" i="2"/>
  <c r="AC545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R512" i="2"/>
  <c r="AQ512" i="2"/>
  <c r="AP512" i="2"/>
  <c r="AO512" i="2"/>
  <c r="AN512" i="2"/>
  <c r="AM512" i="2"/>
  <c r="AL512" i="2"/>
  <c r="AK512" i="2"/>
  <c r="AJ512" i="2"/>
  <c r="AI512" i="2"/>
  <c r="AH512" i="2"/>
  <c r="AG512" i="2"/>
  <c r="AF512" i="2"/>
  <c r="AE512" i="2"/>
  <c r="AD512" i="2"/>
  <c r="AC512" i="2"/>
  <c r="AR640" i="2"/>
  <c r="AQ640" i="2"/>
  <c r="AP640" i="2"/>
  <c r="AO640" i="2"/>
  <c r="AN640" i="2"/>
  <c r="AM640" i="2"/>
  <c r="AL640" i="2"/>
  <c r="AK640" i="2"/>
  <c r="AJ640" i="2"/>
  <c r="AI640" i="2"/>
  <c r="AH640" i="2"/>
  <c r="AG640" i="2"/>
  <c r="AF640" i="2"/>
  <c r="AE640" i="2"/>
  <c r="AD640" i="2"/>
  <c r="AC640" i="2"/>
  <c r="AR589" i="2"/>
  <c r="AQ589" i="2"/>
  <c r="AP589" i="2"/>
  <c r="AO589" i="2"/>
  <c r="AN589" i="2"/>
  <c r="AM589" i="2"/>
  <c r="AL589" i="2"/>
  <c r="AK589" i="2"/>
  <c r="AJ589" i="2"/>
  <c r="AI589" i="2"/>
  <c r="AH589" i="2"/>
  <c r="AG589" i="2"/>
  <c r="AF589" i="2"/>
  <c r="AE589" i="2"/>
  <c r="AD589" i="2"/>
  <c r="AC589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AR513" i="2"/>
  <c r="AQ513" i="2"/>
  <c r="AP513" i="2"/>
  <c r="AO513" i="2"/>
  <c r="AN513" i="2"/>
  <c r="AM513" i="2"/>
  <c r="AL513" i="2"/>
  <c r="AK513" i="2"/>
  <c r="AJ513" i="2"/>
  <c r="AI513" i="2"/>
  <c r="AH513" i="2"/>
  <c r="AG513" i="2"/>
  <c r="AF513" i="2"/>
  <c r="AE513" i="2"/>
  <c r="AD513" i="2"/>
  <c r="AC513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AR531" i="2"/>
  <c r="AQ531" i="2"/>
  <c r="AP531" i="2"/>
  <c r="AO531" i="2"/>
  <c r="AN531" i="2"/>
  <c r="AM531" i="2"/>
  <c r="AL531" i="2"/>
  <c r="AK531" i="2"/>
  <c r="AJ531" i="2"/>
  <c r="AI531" i="2"/>
  <c r="AH531" i="2"/>
  <c r="AG531" i="2"/>
  <c r="AF531" i="2"/>
  <c r="AE531" i="2"/>
  <c r="AD531" i="2"/>
  <c r="AC531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AR524" i="2"/>
  <c r="AQ524" i="2"/>
  <c r="AP524" i="2"/>
  <c r="AO524" i="2"/>
  <c r="AN524" i="2"/>
  <c r="AM524" i="2"/>
  <c r="AL524" i="2"/>
  <c r="AK524" i="2"/>
  <c r="AJ524" i="2"/>
  <c r="AI524" i="2"/>
  <c r="AH524" i="2"/>
  <c r="AG524" i="2"/>
  <c r="AF524" i="2"/>
  <c r="AE524" i="2"/>
  <c r="AD524" i="2"/>
  <c r="AC524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AR484" i="2"/>
  <c r="AQ484" i="2"/>
  <c r="AP484" i="2"/>
  <c r="AO484" i="2"/>
  <c r="AN484" i="2"/>
  <c r="AM484" i="2"/>
  <c r="AL484" i="2"/>
  <c r="AK484" i="2"/>
  <c r="AJ484" i="2"/>
  <c r="AI484" i="2"/>
  <c r="AH484" i="2"/>
  <c r="AG484" i="2"/>
  <c r="AF484" i="2"/>
  <c r="AE484" i="2"/>
  <c r="AD484" i="2"/>
  <c r="AC484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R586" i="2"/>
  <c r="AQ586" i="2"/>
  <c r="AP586" i="2"/>
  <c r="AO586" i="2"/>
  <c r="AN586" i="2"/>
  <c r="AM586" i="2"/>
  <c r="AL586" i="2"/>
  <c r="AK586" i="2"/>
  <c r="AJ586" i="2"/>
  <c r="AI586" i="2"/>
  <c r="AH586" i="2"/>
  <c r="AG586" i="2"/>
  <c r="AF586" i="2"/>
  <c r="AE586" i="2"/>
  <c r="AD586" i="2"/>
  <c r="AC58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R515" i="2"/>
  <c r="AQ515" i="2"/>
  <c r="AP515" i="2"/>
  <c r="AO515" i="2"/>
  <c r="AN515" i="2"/>
  <c r="AM515" i="2"/>
  <c r="AL515" i="2"/>
  <c r="AK515" i="2"/>
  <c r="AJ515" i="2"/>
  <c r="AI515" i="2"/>
  <c r="AH515" i="2"/>
  <c r="AG515" i="2"/>
  <c r="AF515" i="2"/>
  <c r="AE515" i="2"/>
  <c r="AD515" i="2"/>
  <c r="AC515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AR487" i="2"/>
  <c r="AQ487" i="2"/>
  <c r="AP487" i="2"/>
  <c r="AO487" i="2"/>
  <c r="AN487" i="2"/>
  <c r="AM487" i="2"/>
  <c r="AL487" i="2"/>
  <c r="AK487" i="2"/>
  <c r="AJ487" i="2"/>
  <c r="AI487" i="2"/>
  <c r="AH487" i="2"/>
  <c r="AG487" i="2"/>
  <c r="AF487" i="2"/>
  <c r="AE487" i="2"/>
  <c r="AD487" i="2"/>
  <c r="AC487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R525" i="2"/>
  <c r="AQ525" i="2"/>
  <c r="AP525" i="2"/>
  <c r="AO525" i="2"/>
  <c r="AN525" i="2"/>
  <c r="AM525" i="2"/>
  <c r="AL525" i="2"/>
  <c r="AK525" i="2"/>
  <c r="AJ525" i="2"/>
  <c r="AI525" i="2"/>
  <c r="AH525" i="2"/>
  <c r="AG525" i="2"/>
  <c r="AF525" i="2"/>
  <c r="AE525" i="2"/>
  <c r="AD525" i="2"/>
  <c r="AC525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AR542" i="2"/>
  <c r="AQ542" i="2"/>
  <c r="AP542" i="2"/>
  <c r="AO542" i="2"/>
  <c r="AN542" i="2"/>
  <c r="AM542" i="2"/>
  <c r="AL542" i="2"/>
  <c r="AK542" i="2"/>
  <c r="AJ542" i="2"/>
  <c r="AI542" i="2"/>
  <c r="AH542" i="2"/>
  <c r="AG542" i="2"/>
  <c r="AF542" i="2"/>
  <c r="AE542" i="2"/>
  <c r="AD542" i="2"/>
  <c r="AC542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R499" i="2"/>
  <c r="AQ499" i="2"/>
  <c r="AP499" i="2"/>
  <c r="AO499" i="2"/>
  <c r="AN499" i="2"/>
  <c r="AM499" i="2"/>
  <c r="AL499" i="2"/>
  <c r="AK499" i="2"/>
  <c r="AJ499" i="2"/>
  <c r="AI499" i="2"/>
  <c r="AH499" i="2"/>
  <c r="AG499" i="2"/>
  <c r="AF499" i="2"/>
  <c r="AE499" i="2"/>
  <c r="AD499" i="2"/>
  <c r="AC499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R504" i="2"/>
  <c r="AQ504" i="2"/>
  <c r="AP504" i="2"/>
  <c r="AO504" i="2"/>
  <c r="AN504" i="2"/>
  <c r="AM504" i="2"/>
  <c r="AL504" i="2"/>
  <c r="AK504" i="2"/>
  <c r="AJ504" i="2"/>
  <c r="AI504" i="2"/>
  <c r="AH504" i="2"/>
  <c r="AG504" i="2"/>
  <c r="AF504" i="2"/>
  <c r="AE504" i="2"/>
  <c r="AD504" i="2"/>
  <c r="AC504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AR610" i="2"/>
  <c r="AQ610" i="2"/>
  <c r="AP610" i="2"/>
  <c r="AO610" i="2"/>
  <c r="AN610" i="2"/>
  <c r="AM610" i="2"/>
  <c r="AL610" i="2"/>
  <c r="AK610" i="2"/>
  <c r="AJ610" i="2"/>
  <c r="AI610" i="2"/>
  <c r="AH610" i="2"/>
  <c r="AG610" i="2"/>
  <c r="AF610" i="2"/>
  <c r="AE610" i="2"/>
  <c r="AD610" i="2"/>
  <c r="AC610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AR522" i="2"/>
  <c r="AQ522" i="2"/>
  <c r="AP522" i="2"/>
  <c r="AO522" i="2"/>
  <c r="AN522" i="2"/>
  <c r="AM522" i="2"/>
  <c r="AL522" i="2"/>
  <c r="AK522" i="2"/>
  <c r="AJ522" i="2"/>
  <c r="AI522" i="2"/>
  <c r="AH522" i="2"/>
  <c r="AG522" i="2"/>
  <c r="AF522" i="2"/>
  <c r="AE522" i="2"/>
  <c r="AD522" i="2"/>
  <c r="AC522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K7" i="1"/>
  <c r="K5" i="1"/>
  <c r="K4" i="1"/>
  <c r="K3" i="1"/>
  <c r="K2" i="1"/>
  <c r="G49" i="2" l="1"/>
  <c r="G19" i="2"/>
  <c r="G143" i="2"/>
  <c r="E38" i="10" s="1"/>
  <c r="G163" i="2"/>
  <c r="G159" i="2"/>
  <c r="E42" i="10" s="1"/>
  <c r="G345" i="2"/>
  <c r="E85" i="10" s="1"/>
  <c r="G385" i="2"/>
  <c r="G393" i="2"/>
  <c r="E98" i="10" s="1"/>
  <c r="G498" i="2"/>
  <c r="E32" i="9" s="1"/>
  <c r="G269" i="2"/>
  <c r="G598" i="2"/>
  <c r="E49" i="9" s="1"/>
  <c r="G486" i="2"/>
  <c r="G255" i="2"/>
  <c r="G623" i="2"/>
  <c r="G399" i="2"/>
  <c r="G198" i="2"/>
  <c r="G580" i="2"/>
  <c r="E123" i="10" s="1"/>
  <c r="G501" i="2"/>
  <c r="G632" i="2"/>
  <c r="G406" i="2"/>
  <c r="G537" i="2"/>
  <c r="J42" i="3"/>
  <c r="G224" i="2"/>
  <c r="G6" i="2"/>
  <c r="E4" i="12" s="1"/>
  <c r="G20" i="2"/>
  <c r="G78" i="2"/>
  <c r="G171" i="2"/>
  <c r="E45" i="10" s="1"/>
  <c r="G114" i="2"/>
  <c r="G201" i="2"/>
  <c r="G305" i="2"/>
  <c r="E74" i="10" s="1"/>
  <c r="G366" i="2"/>
  <c r="E92" i="10" s="1"/>
  <c r="G515" i="2"/>
  <c r="G289" i="2"/>
  <c r="G293" i="2"/>
  <c r="G601" i="2"/>
  <c r="G115" i="2"/>
  <c r="G205" i="2"/>
  <c r="G188" i="2"/>
  <c r="G330" i="2"/>
  <c r="E15" i="9" s="1"/>
  <c r="G433" i="2"/>
  <c r="E166" i="17" s="1"/>
  <c r="G470" i="2"/>
  <c r="E28" i="9" s="1"/>
  <c r="G367" i="2"/>
  <c r="G446" i="2"/>
  <c r="E48" i="6" s="1"/>
  <c r="G599" i="2"/>
  <c r="G43" i="2"/>
  <c r="G243" i="2"/>
  <c r="E64" i="10" s="1"/>
  <c r="G283" i="2"/>
  <c r="G508" i="2"/>
  <c r="E33" i="9" s="1"/>
  <c r="G423" i="2"/>
  <c r="G541" i="2"/>
  <c r="G220" i="2"/>
  <c r="E59" i="10" s="1"/>
  <c r="G223" i="2"/>
  <c r="G102" i="2"/>
  <c r="G377" i="2"/>
  <c r="E115" i="17" s="1"/>
  <c r="G295" i="2"/>
  <c r="E71" i="10" s="1"/>
  <c r="G181" i="2"/>
  <c r="E17" i="8" s="1"/>
  <c r="G140" i="2"/>
  <c r="G222" i="2"/>
  <c r="G516" i="2"/>
  <c r="E117" i="10" s="1"/>
  <c r="G567" i="2"/>
  <c r="G475" i="2"/>
  <c r="E29" i="9" s="1"/>
  <c r="G520" i="2"/>
  <c r="E35" i="9" s="1"/>
  <c r="G605" i="2"/>
  <c r="G317" i="2"/>
  <c r="G5" i="2"/>
  <c r="G10" i="2"/>
  <c r="G44" i="2"/>
  <c r="G144" i="2"/>
  <c r="G194" i="2"/>
  <c r="G249" i="2"/>
  <c r="G276" i="2"/>
  <c r="G589" i="2"/>
  <c r="G279" i="2"/>
  <c r="G527" i="2"/>
  <c r="E37" i="9" s="1"/>
  <c r="G435" i="2"/>
  <c r="G417" i="2"/>
  <c r="G469" i="2"/>
  <c r="E27" i="9" s="1"/>
  <c r="G458" i="2"/>
  <c r="G394" i="2"/>
  <c r="G634" i="2"/>
  <c r="E134" i="10" s="1"/>
  <c r="G476" i="2"/>
  <c r="E50" i="6" s="1"/>
  <c r="G648" i="2"/>
  <c r="G14" i="2"/>
  <c r="E7" i="10" s="1"/>
  <c r="G21" i="2"/>
  <c r="E9" i="10" s="1"/>
  <c r="G23" i="2"/>
  <c r="G13" i="2"/>
  <c r="E6" i="12" s="1"/>
  <c r="G287" i="2"/>
  <c r="E70" i="10" s="1"/>
  <c r="G337" i="2"/>
  <c r="E83" i="10" s="1"/>
  <c r="G361" i="2"/>
  <c r="E90" i="10" s="1"/>
  <c r="G506" i="2"/>
  <c r="E116" i="10" s="1"/>
  <c r="G518" i="2"/>
  <c r="G421" i="2"/>
  <c r="G526" i="2"/>
  <c r="E36" i="9" s="1"/>
  <c r="G411" i="2"/>
  <c r="G502" i="2"/>
  <c r="G596" i="2"/>
  <c r="E48" i="9" s="1"/>
  <c r="G165" i="2"/>
  <c r="E31" i="17" s="1"/>
  <c r="G153" i="2"/>
  <c r="E39" i="10" s="1"/>
  <c r="G113" i="2"/>
  <c r="G298" i="2"/>
  <c r="E72" i="10" s="1"/>
  <c r="G373" i="2"/>
  <c r="G449" i="2"/>
  <c r="G407" i="2"/>
  <c r="E102" i="10" s="1"/>
  <c r="G556" i="2"/>
  <c r="E42" i="9" s="1"/>
  <c r="G535" i="2"/>
  <c r="E40" i="9" s="1"/>
  <c r="G636" i="2"/>
  <c r="E135" i="10" s="1"/>
  <c r="G434" i="2"/>
  <c r="G34" i="2"/>
  <c r="E11" i="10" s="1"/>
  <c r="G17" i="2"/>
  <c r="E7" i="12" s="1"/>
  <c r="G89" i="2"/>
  <c r="E24" i="10" s="1"/>
  <c r="G80" i="2"/>
  <c r="E21" i="10" s="1"/>
  <c r="G111" i="2"/>
  <c r="E6" i="9" s="1"/>
  <c r="G88" i="2"/>
  <c r="E23" i="10" s="1"/>
  <c r="G38" i="2"/>
  <c r="G86" i="2"/>
  <c r="E3" i="9" s="1"/>
  <c r="G53" i="2"/>
  <c r="E16" i="10" s="1"/>
  <c r="G68" i="2"/>
  <c r="E21" i="15" s="1"/>
  <c r="G31" i="2"/>
  <c r="G123" i="2"/>
  <c r="E32" i="10" s="1"/>
  <c r="G77" i="2"/>
  <c r="E2" i="9" s="1"/>
  <c r="G169" i="2"/>
  <c r="E43" i="10" s="1"/>
  <c r="G126" i="2"/>
  <c r="G94" i="2"/>
  <c r="G146" i="2"/>
  <c r="E48" i="17" s="1"/>
  <c r="G85" i="2"/>
  <c r="G203" i="2"/>
  <c r="E54" i="10" s="1"/>
  <c r="G138" i="2"/>
  <c r="G231" i="2"/>
  <c r="G324" i="2"/>
  <c r="E78" i="10" s="1"/>
  <c r="G234" i="2"/>
  <c r="E61" i="10" s="1"/>
  <c r="G359" i="2"/>
  <c r="E88" i="10" s="1"/>
  <c r="G404" i="2"/>
  <c r="E101" i="10" s="1"/>
  <c r="G299" i="2"/>
  <c r="G291" i="2"/>
  <c r="G401" i="2"/>
  <c r="E150" i="17" s="1"/>
  <c r="G253" i="2"/>
  <c r="G512" i="2"/>
  <c r="G339" i="2"/>
  <c r="G333" i="2"/>
  <c r="G397" i="2"/>
  <c r="E19" i="9" s="1"/>
  <c r="G588" i="2"/>
  <c r="E236" i="17" s="1"/>
  <c r="G569" i="2"/>
  <c r="G430" i="2"/>
  <c r="E76" i="12" s="1"/>
  <c r="G546" i="2"/>
  <c r="E206" i="17" s="1"/>
  <c r="G521" i="2"/>
  <c r="G357" i="2"/>
  <c r="G342" i="2"/>
  <c r="G529" i="2"/>
  <c r="G343" i="2"/>
  <c r="G561" i="2"/>
  <c r="G514" i="2"/>
  <c r="G555" i="2"/>
  <c r="G641" i="2"/>
  <c r="E63" i="6" s="1"/>
  <c r="G650" i="2"/>
  <c r="G543" i="2"/>
  <c r="G199" i="2"/>
  <c r="G241" i="2"/>
  <c r="E26" i="7" s="1"/>
  <c r="G429" i="2"/>
  <c r="G560" i="2"/>
  <c r="E218" i="17" s="1"/>
  <c r="G481" i="2"/>
  <c r="G519" i="2"/>
  <c r="G534" i="2"/>
  <c r="E38" i="9" s="1"/>
  <c r="G402" i="2"/>
  <c r="G379" i="2"/>
  <c r="G590" i="2"/>
  <c r="G533" i="2"/>
  <c r="E39" i="9" s="1"/>
  <c r="G593" i="2"/>
  <c r="E46" i="9" s="1"/>
  <c r="G579" i="2"/>
  <c r="E45" i="9" s="1"/>
  <c r="G594" i="2"/>
  <c r="E47" i="9" s="1"/>
  <c r="G438" i="2"/>
  <c r="E47" i="6" s="1"/>
  <c r="G76" i="2"/>
  <c r="G39" i="2"/>
  <c r="E13" i="10" s="1"/>
  <c r="G182" i="2"/>
  <c r="E56" i="17" s="1"/>
  <c r="G230" i="2"/>
  <c r="G328" i="2"/>
  <c r="G8" i="2"/>
  <c r="E5" i="10" s="1"/>
  <c r="G7" i="2"/>
  <c r="E4" i="10" s="1"/>
  <c r="G112" i="2"/>
  <c r="E2" i="16" s="1"/>
  <c r="G33" i="2"/>
  <c r="E10" i="10" s="1"/>
  <c r="G128" i="2"/>
  <c r="E34" i="10" s="1"/>
  <c r="G109" i="2"/>
  <c r="E5" i="9" s="1"/>
  <c r="G22" i="2"/>
  <c r="G157" i="2"/>
  <c r="E44" i="15" s="1"/>
  <c r="G51" i="2"/>
  <c r="E14" i="17" s="1"/>
  <c r="G73" i="2"/>
  <c r="E28" i="17" s="1"/>
  <c r="G18" i="2"/>
  <c r="G258" i="2"/>
  <c r="E61" i="17" s="1"/>
  <c r="G57" i="2"/>
  <c r="E9" i="11" s="1"/>
  <c r="G150" i="2"/>
  <c r="E41" i="15" s="1"/>
  <c r="G134" i="2"/>
  <c r="G211" i="2"/>
  <c r="G274" i="2"/>
  <c r="G214" i="2"/>
  <c r="G504" i="2"/>
  <c r="G369" i="2"/>
  <c r="G388" i="2"/>
  <c r="E96" i="10" s="1"/>
  <c r="G178" i="2"/>
  <c r="G350" i="2"/>
  <c r="E86" i="10" s="1"/>
  <c r="G306" i="2"/>
  <c r="E57" i="13" s="1"/>
  <c r="G484" i="2"/>
  <c r="G455" i="2"/>
  <c r="G642" i="2"/>
  <c r="G422" i="2"/>
  <c r="G584" i="2"/>
  <c r="G505" i="2"/>
  <c r="G483" i="2"/>
  <c r="G250" i="2"/>
  <c r="G372" i="2"/>
  <c r="G628" i="2"/>
  <c r="G459" i="2"/>
  <c r="G645" i="2"/>
  <c r="G633" i="2"/>
  <c r="G260" i="2"/>
  <c r="E95" i="17" s="1"/>
  <c r="G390" i="2"/>
  <c r="E97" i="10" s="1"/>
  <c r="G445" i="2"/>
  <c r="E22" i="9" s="1"/>
  <c r="G91" i="2"/>
  <c r="E27" i="15" s="1"/>
  <c r="G26" i="2"/>
  <c r="E11" i="12" s="1"/>
  <c r="G42" i="2"/>
  <c r="E11" i="17" s="1"/>
  <c r="G40" i="2"/>
  <c r="E14" i="10" s="1"/>
  <c r="G63" i="2"/>
  <c r="E20" i="17" s="1"/>
  <c r="G98" i="2"/>
  <c r="E30" i="17" s="1"/>
  <c r="G148" i="2"/>
  <c r="E8" i="9" s="1"/>
  <c r="G104" i="2"/>
  <c r="E12" i="7" s="1"/>
  <c r="G105" i="2"/>
  <c r="G47" i="2"/>
  <c r="G215" i="2"/>
  <c r="E10" i="9" s="1"/>
  <c r="G225" i="2"/>
  <c r="E60" i="10" s="1"/>
  <c r="G121" i="2"/>
  <c r="G281" i="2"/>
  <c r="E68" i="10" s="1"/>
  <c r="G101" i="2"/>
  <c r="G228" i="2"/>
  <c r="G238" i="2"/>
  <c r="G325" i="2"/>
  <c r="G242" i="2"/>
  <c r="G340" i="2"/>
  <c r="G371" i="2"/>
  <c r="E93" i="10" s="1"/>
  <c r="G268" i="2"/>
  <c r="G474" i="2"/>
  <c r="E110" i="10" s="1"/>
  <c r="G294" i="2"/>
  <c r="G262" i="2"/>
  <c r="G524" i="2"/>
  <c r="G548" i="2"/>
  <c r="G440" i="2"/>
  <c r="G468" i="2"/>
  <c r="G582" i="2"/>
  <c r="G436" i="2"/>
  <c r="E106" i="10" s="1"/>
  <c r="G565" i="2"/>
  <c r="G413" i="2"/>
  <c r="G538" i="2"/>
  <c r="G557" i="2"/>
  <c r="E43" i="9" s="1"/>
  <c r="G503" i="2"/>
  <c r="E115" i="10" s="1"/>
  <c r="G467" i="2"/>
  <c r="E26" i="9" s="1"/>
  <c r="G551" i="2"/>
  <c r="G609" i="2"/>
  <c r="E129" i="10" s="1"/>
  <c r="G500" i="2"/>
  <c r="G517" i="2"/>
  <c r="G624" i="2"/>
  <c r="E132" i="10" s="1"/>
  <c r="G621" i="2"/>
  <c r="E131" i="10" s="1"/>
  <c r="G549" i="2"/>
  <c r="E41" i="9" s="1"/>
  <c r="G638" i="2"/>
  <c r="E137" i="10" s="1"/>
  <c r="G615" i="2"/>
  <c r="G592" i="2"/>
  <c r="E127" i="10" s="1"/>
  <c r="G426" i="2"/>
  <c r="G574" i="2"/>
  <c r="G312" i="2"/>
  <c r="E75" i="10" s="1"/>
  <c r="G11" i="2"/>
  <c r="E5" i="12" s="1"/>
  <c r="G29" i="2"/>
  <c r="E4" i="17" s="1"/>
  <c r="G167" i="2"/>
  <c r="E33" i="17" s="1"/>
  <c r="G419" i="2"/>
  <c r="E138" i="17" s="1"/>
  <c r="G284" i="2"/>
  <c r="G15" i="2"/>
  <c r="E8" i="10" s="1"/>
  <c r="G45" i="2"/>
  <c r="E15" i="10" s="1"/>
  <c r="G36" i="2"/>
  <c r="E7" i="15" s="1"/>
  <c r="G83" i="2"/>
  <c r="E25" i="17" s="1"/>
  <c r="G32" i="2"/>
  <c r="E6" i="11" s="1"/>
  <c r="G92" i="2"/>
  <c r="E25" i="10" s="1"/>
  <c r="G50" i="2"/>
  <c r="E16" i="17" s="1"/>
  <c r="G70" i="2"/>
  <c r="E23" i="17" s="1"/>
  <c r="G179" i="2"/>
  <c r="E63" i="17" s="1"/>
  <c r="G227" i="2"/>
  <c r="E49" i="17" s="1"/>
  <c r="G108" i="2"/>
  <c r="E28" i="10" s="1"/>
  <c r="G170" i="2"/>
  <c r="E44" i="10" s="1"/>
  <c r="G137" i="2"/>
  <c r="E43" i="17" s="1"/>
  <c r="G180" i="2"/>
  <c r="G251" i="2"/>
  <c r="E84" i="17" s="1"/>
  <c r="G183" i="2"/>
  <c r="G141" i="2"/>
  <c r="G90" i="2"/>
  <c r="G300" i="2"/>
  <c r="E73" i="10" s="1"/>
  <c r="G314" i="2"/>
  <c r="E104" i="17" s="1"/>
  <c r="G286" i="2"/>
  <c r="E69" i="10" s="1"/>
  <c r="G210" i="2"/>
  <c r="G415" i="2"/>
  <c r="E156" i="17" s="1"/>
  <c r="G568" i="2"/>
  <c r="G583" i="2"/>
  <c r="E231" i="17" s="1"/>
  <c r="G447" i="2"/>
  <c r="G414" i="2"/>
  <c r="G420" i="2"/>
  <c r="E104" i="10" s="1"/>
  <c r="G443" i="2"/>
  <c r="G453" i="2"/>
  <c r="G387" i="2"/>
  <c r="G425" i="2"/>
  <c r="G193" i="2"/>
  <c r="E50" i="10" s="1"/>
  <c r="G173" i="2"/>
  <c r="G132" i="2"/>
  <c r="E37" i="10" s="1"/>
  <c r="G71" i="2"/>
  <c r="G72" i="2"/>
  <c r="E18" i="10" s="1"/>
  <c r="G131" i="2"/>
  <c r="E36" i="10" s="1"/>
  <c r="G84" i="2"/>
  <c r="E22" i="10" s="1"/>
  <c r="G65" i="2"/>
  <c r="G79" i="2"/>
  <c r="E20" i="10" s="1"/>
  <c r="G52" i="2"/>
  <c r="E11" i="13" s="1"/>
  <c r="G177" i="2"/>
  <c r="E62" i="17" s="1"/>
  <c r="G318" i="2"/>
  <c r="G119" i="2"/>
  <c r="E26" i="12" s="1"/>
  <c r="G288" i="2"/>
  <c r="G248" i="2"/>
  <c r="E85" i="17" s="1"/>
  <c r="G209" i="2"/>
  <c r="G263" i="2"/>
  <c r="G336" i="2"/>
  <c r="E82" i="10" s="1"/>
  <c r="G391" i="2"/>
  <c r="G525" i="2"/>
  <c r="G353" i="2"/>
  <c r="G323" i="2"/>
  <c r="G381" i="2"/>
  <c r="G531" i="2"/>
  <c r="G578" i="2"/>
  <c r="G566" i="2"/>
  <c r="G509" i="2"/>
  <c r="G365" i="2"/>
  <c r="E43" i="6" s="1"/>
  <c r="G553" i="2"/>
  <c r="G550" i="2"/>
  <c r="G432" i="2"/>
  <c r="G630" i="2"/>
  <c r="E52" i="9" s="1"/>
  <c r="G273" i="2"/>
  <c r="E97" i="17" s="1"/>
  <c r="G133" i="2"/>
  <c r="E19" i="17" s="1"/>
  <c r="G116" i="2"/>
  <c r="E30" i="10" s="1"/>
  <c r="G58" i="2"/>
  <c r="E17" i="17" s="1"/>
  <c r="G75" i="2"/>
  <c r="E19" i="10" s="1"/>
  <c r="G125" i="2"/>
  <c r="E36" i="17" s="1"/>
  <c r="G120" i="2"/>
  <c r="E35" i="17" s="1"/>
  <c r="G206" i="2"/>
  <c r="G147" i="2"/>
  <c r="G196" i="2"/>
  <c r="E51" i="10" s="1"/>
  <c r="G332" i="2"/>
  <c r="E80" i="10" s="1"/>
  <c r="G374" i="2"/>
  <c r="E94" i="10" s="1"/>
  <c r="G398" i="2"/>
  <c r="E100" i="10" s="1"/>
  <c r="G309" i="2"/>
  <c r="G462" i="2"/>
  <c r="E25" i="9" s="1"/>
  <c r="G362" i="2"/>
  <c r="G595" i="2"/>
  <c r="G355" i="2"/>
  <c r="G452" i="2"/>
  <c r="G490" i="2"/>
  <c r="E114" i="10" s="1"/>
  <c r="G497" i="2"/>
  <c r="G383" i="2"/>
  <c r="G587" i="2"/>
  <c r="E126" i="10" s="1"/>
  <c r="G564" i="2"/>
  <c r="E44" i="9" s="1"/>
  <c r="G368" i="2"/>
  <c r="G559" i="2"/>
  <c r="E120" i="10" s="1"/>
  <c r="G460" i="2"/>
  <c r="G412" i="2"/>
  <c r="G492" i="2"/>
  <c r="G376" i="2"/>
  <c r="G573" i="2"/>
  <c r="G67" i="2"/>
  <c r="E20" i="15" s="1"/>
  <c r="G197" i="2"/>
  <c r="E7" i="16" s="1"/>
  <c r="G117" i="2"/>
  <c r="G239" i="2"/>
  <c r="E11" i="9" s="1"/>
  <c r="G9" i="2"/>
  <c r="E6" i="10" s="1"/>
  <c r="G3" i="2"/>
  <c r="E2" i="10" s="1"/>
  <c r="G25" i="2"/>
  <c r="E5" i="13" s="1"/>
  <c r="G106" i="2"/>
  <c r="E27" i="10" s="1"/>
  <c r="G110" i="2"/>
  <c r="E29" i="10" s="1"/>
  <c r="G87" i="2"/>
  <c r="E26" i="17" s="1"/>
  <c r="G191" i="2"/>
  <c r="E38" i="17" s="1"/>
  <c r="G129" i="2"/>
  <c r="E35" i="10" s="1"/>
  <c r="G145" i="2"/>
  <c r="E7" i="9" s="1"/>
  <c r="G48" i="2"/>
  <c r="G204" i="2"/>
  <c r="E55" i="10" s="1"/>
  <c r="G187" i="2"/>
  <c r="E48" i="10" s="1"/>
  <c r="G160" i="2"/>
  <c r="G322" i="2"/>
  <c r="E16" i="16" s="1"/>
  <c r="G81" i="2"/>
  <c r="G217" i="2"/>
  <c r="E58" i="10" s="1"/>
  <c r="G610" i="2"/>
  <c r="E160" i="15" s="1"/>
  <c r="G448" i="2"/>
  <c r="G176" i="2"/>
  <c r="E59" i="17" s="1"/>
  <c r="G499" i="2"/>
  <c r="G271" i="2"/>
  <c r="G311" i="2"/>
  <c r="E14" i="9" s="1"/>
  <c r="G334" i="2"/>
  <c r="E81" i="10" s="1"/>
  <c r="G354" i="2"/>
  <c r="E17" i="9" s="1"/>
  <c r="G437" i="2"/>
  <c r="E107" i="10" s="1"/>
  <c r="G603" i="2"/>
  <c r="G576" i="2"/>
  <c r="G405" i="2"/>
  <c r="G480" i="2"/>
  <c r="E112" i="10" s="1"/>
  <c r="G614" i="2"/>
  <c r="G471" i="2"/>
  <c r="G618" i="2"/>
  <c r="E51" i="9" s="1"/>
  <c r="G389" i="2"/>
  <c r="G464" i="2"/>
  <c r="G602" i="2"/>
  <c r="E50" i="9" s="1"/>
  <c r="G575" i="2"/>
  <c r="G639" i="2"/>
  <c r="E138" i="10" s="1"/>
  <c r="G644" i="2"/>
  <c r="G233" i="2"/>
  <c r="G16" i="2"/>
  <c r="E2" i="17" s="1"/>
  <c r="G41" i="2"/>
  <c r="E9" i="15" s="1"/>
  <c r="G28" i="2"/>
  <c r="E5" i="17" s="1"/>
  <c r="G24" i="2"/>
  <c r="E3" i="17" s="1"/>
  <c r="G37" i="2"/>
  <c r="E12" i="10" s="1"/>
  <c r="G12" i="2"/>
  <c r="G55" i="2"/>
  <c r="E17" i="10" s="1"/>
  <c r="G27" i="2"/>
  <c r="E3" i="7" s="1"/>
  <c r="G96" i="2"/>
  <c r="E26" i="10" s="1"/>
  <c r="G122" i="2"/>
  <c r="E31" i="10" s="1"/>
  <c r="G2" i="2"/>
  <c r="E2" i="12" s="1"/>
  <c r="G46" i="2"/>
  <c r="E15" i="17" s="1"/>
  <c r="G62" i="2"/>
  <c r="E22" i="17" s="1"/>
  <c r="G60" i="2"/>
  <c r="E17" i="15" s="1"/>
  <c r="G103" i="2"/>
  <c r="E29" i="17" s="1"/>
  <c r="G142" i="2"/>
  <c r="G151" i="2"/>
  <c r="G256" i="2"/>
  <c r="G175" i="2"/>
  <c r="E36" i="12" s="1"/>
  <c r="G346" i="2"/>
  <c r="G136" i="2"/>
  <c r="E45" i="17" s="1"/>
  <c r="G185" i="2"/>
  <c r="E46" i="10" s="1"/>
  <c r="G237" i="2"/>
  <c r="E63" i="10" s="1"/>
  <c r="G135" i="2"/>
  <c r="G164" i="2"/>
  <c r="E18" i="11" s="1"/>
  <c r="G315" i="2"/>
  <c r="E77" i="10" s="1"/>
  <c r="G282" i="2"/>
  <c r="E36" i="6" s="1"/>
  <c r="G360" i="2"/>
  <c r="E89" i="10" s="1"/>
  <c r="G259" i="2"/>
  <c r="G348" i="2"/>
  <c r="G408" i="2"/>
  <c r="E123" i="15" s="1"/>
  <c r="G386" i="2"/>
  <c r="G267" i="2"/>
  <c r="G375" i="2"/>
  <c r="G266" i="2"/>
  <c r="G450" i="2"/>
  <c r="G591" i="2"/>
  <c r="G604" i="2"/>
  <c r="G612" i="2"/>
  <c r="G572" i="2"/>
  <c r="G611" i="2"/>
  <c r="E130" i="10" s="1"/>
  <c r="G479" i="2"/>
  <c r="G478" i="2"/>
  <c r="G461" i="2"/>
  <c r="G608" i="2"/>
  <c r="G585" i="2"/>
  <c r="E125" i="10" s="1"/>
  <c r="G442" i="2"/>
  <c r="G454" i="2"/>
  <c r="E49" i="6" s="1"/>
  <c r="G482" i="2"/>
  <c r="G627" i="2"/>
  <c r="E133" i="10" s="1"/>
  <c r="E39" i="15"/>
  <c r="E2" i="13"/>
  <c r="E2" i="11"/>
  <c r="E4" i="13"/>
  <c r="E3" i="11"/>
  <c r="E12" i="17"/>
  <c r="E11" i="15"/>
  <c r="E27" i="17"/>
  <c r="E24" i="15"/>
  <c r="E42" i="17"/>
  <c r="E38" i="15"/>
  <c r="E34" i="13"/>
  <c r="E18" i="7"/>
  <c r="E77" i="17"/>
  <c r="E63" i="15"/>
  <c r="E100" i="17"/>
  <c r="E84" i="15"/>
  <c r="E3" i="13"/>
  <c r="E2" i="7"/>
  <c r="E8" i="12"/>
  <c r="E5" i="6"/>
  <c r="E10" i="17"/>
  <c r="E8" i="15"/>
  <c r="E3" i="8"/>
  <c r="E5" i="15"/>
  <c r="E17" i="13"/>
  <c r="E6" i="7"/>
  <c r="E14" i="13"/>
  <c r="E5" i="7"/>
  <c r="E12" i="12"/>
  <c r="E7" i="8"/>
  <c r="E4" i="15"/>
  <c r="E6" i="15"/>
  <c r="E24" i="17"/>
  <c r="E21" i="17"/>
  <c r="E9" i="17"/>
  <c r="E4" i="11"/>
  <c r="E8" i="17"/>
  <c r="E12" i="15"/>
  <c r="E181" i="17"/>
  <c r="E251" i="17"/>
  <c r="E161" i="15"/>
  <c r="E226" i="17"/>
  <c r="E69" i="16"/>
  <c r="AB650" i="4"/>
  <c r="AB644" i="4"/>
  <c r="AB641" i="4"/>
  <c r="AB648" i="4"/>
  <c r="AB651" i="4"/>
  <c r="AB645" i="4"/>
  <c r="AB649" i="4"/>
  <c r="AB646" i="4"/>
  <c r="AB647" i="4"/>
  <c r="AB630" i="4"/>
  <c r="AB620" i="4"/>
  <c r="AB610" i="4"/>
  <c r="AB600" i="4"/>
  <c r="AB590" i="4"/>
  <c r="AB627" i="4"/>
  <c r="AB617" i="4"/>
  <c r="AB607" i="4"/>
  <c r="AB597" i="4"/>
  <c r="AB639" i="4"/>
  <c r="AB637" i="4"/>
  <c r="AB634" i="4"/>
  <c r="AB624" i="4"/>
  <c r="AB614" i="4"/>
  <c r="AB604" i="4"/>
  <c r="AB594" i="4"/>
  <c r="AB631" i="4"/>
  <c r="AB621" i="4"/>
  <c r="AB611" i="4"/>
  <c r="AB601" i="4"/>
  <c r="AB591" i="4"/>
  <c r="AB643" i="4"/>
  <c r="AB642" i="4"/>
  <c r="AB628" i="4"/>
  <c r="AB618" i="4"/>
  <c r="AB608" i="4"/>
  <c r="AB598" i="4"/>
  <c r="AB635" i="4"/>
  <c r="AB625" i="4"/>
  <c r="AB615" i="4"/>
  <c r="AB605" i="4"/>
  <c r="AB595" i="4"/>
  <c r="AB638" i="4"/>
  <c r="AB632" i="4"/>
  <c r="AB622" i="4"/>
  <c r="AB612" i="4"/>
  <c r="AB602" i="4"/>
  <c r="AB636" i="4"/>
  <c r="AB626" i="4"/>
  <c r="AB616" i="4"/>
  <c r="AB606" i="4"/>
  <c r="AB596" i="4"/>
  <c r="AB640" i="4"/>
  <c r="AB633" i="4"/>
  <c r="AB609" i="4"/>
  <c r="AB585" i="4"/>
  <c r="AB575" i="4"/>
  <c r="AB565" i="4"/>
  <c r="AB555" i="4"/>
  <c r="AB545" i="4"/>
  <c r="AB535" i="4"/>
  <c r="AB525" i="4"/>
  <c r="AB515" i="4"/>
  <c r="AB505" i="4"/>
  <c r="AB495" i="4"/>
  <c r="AB603" i="4"/>
  <c r="AB588" i="4"/>
  <c r="AB582" i="4"/>
  <c r="AB572" i="4"/>
  <c r="AB562" i="4"/>
  <c r="AB552" i="4"/>
  <c r="AB542" i="4"/>
  <c r="AB532" i="4"/>
  <c r="AB522" i="4"/>
  <c r="AB512" i="4"/>
  <c r="AB502" i="4"/>
  <c r="AB629" i="4"/>
  <c r="AB592" i="4"/>
  <c r="AB579" i="4"/>
  <c r="AB569" i="4"/>
  <c r="AB559" i="4"/>
  <c r="AB549" i="4"/>
  <c r="AB539" i="4"/>
  <c r="AB529" i="4"/>
  <c r="AB519" i="4"/>
  <c r="AB509" i="4"/>
  <c r="AB623" i="4"/>
  <c r="AB586" i="4"/>
  <c r="AB576" i="4"/>
  <c r="AB566" i="4"/>
  <c r="AB556" i="4"/>
  <c r="AB546" i="4"/>
  <c r="AB536" i="4"/>
  <c r="AB526" i="4"/>
  <c r="AB516" i="4"/>
  <c r="AB506" i="4"/>
  <c r="AB599" i="4"/>
  <c r="AB583" i="4"/>
  <c r="AB573" i="4"/>
  <c r="AB563" i="4"/>
  <c r="AB553" i="4"/>
  <c r="AB543" i="4"/>
  <c r="AB533" i="4"/>
  <c r="AB523" i="4"/>
  <c r="AB513" i="4"/>
  <c r="AB503" i="4"/>
  <c r="AB580" i="4"/>
  <c r="AB570" i="4"/>
  <c r="AB560" i="4"/>
  <c r="AB550" i="4"/>
  <c r="AB540" i="4"/>
  <c r="AB530" i="4"/>
  <c r="AB520" i="4"/>
  <c r="AB510" i="4"/>
  <c r="AB619" i="4"/>
  <c r="AB593" i="4"/>
  <c r="AB587" i="4"/>
  <c r="AB577" i="4"/>
  <c r="AB567" i="4"/>
  <c r="AB557" i="4"/>
  <c r="AB547" i="4"/>
  <c r="AB537" i="4"/>
  <c r="AB527" i="4"/>
  <c r="AB517" i="4"/>
  <c r="AB613" i="4"/>
  <c r="AB584" i="4"/>
  <c r="AB574" i="4"/>
  <c r="AB578" i="4"/>
  <c r="AB568" i="4"/>
  <c r="AB558" i="4"/>
  <c r="AB548" i="4"/>
  <c r="AB538" i="4"/>
  <c r="AB528" i="4"/>
  <c r="AB518" i="4"/>
  <c r="AB508" i="4"/>
  <c r="AB564" i="4"/>
  <c r="AB514" i="4"/>
  <c r="AB499" i="4"/>
  <c r="AB497" i="4"/>
  <c r="AB492" i="4"/>
  <c r="AB482" i="4"/>
  <c r="AB472" i="4"/>
  <c r="AB462" i="4"/>
  <c r="AB452" i="4"/>
  <c r="AB442" i="4"/>
  <c r="AB432" i="4"/>
  <c r="AB422" i="4"/>
  <c r="AB412" i="4"/>
  <c r="AB402" i="4"/>
  <c r="AB589" i="4"/>
  <c r="AB571" i="4"/>
  <c r="AB561" i="4"/>
  <c r="AB511" i="4"/>
  <c r="AB504" i="4"/>
  <c r="AB489" i="4"/>
  <c r="AB479" i="4"/>
  <c r="AB469" i="4"/>
  <c r="AB459" i="4"/>
  <c r="AB449" i="4"/>
  <c r="AB439" i="4"/>
  <c r="AB429" i="4"/>
  <c r="AB419" i="4"/>
  <c r="AB409" i="4"/>
  <c r="AB534" i="4"/>
  <c r="AB486" i="4"/>
  <c r="AB476" i="4"/>
  <c r="AB466" i="4"/>
  <c r="AB456" i="4"/>
  <c r="AB446" i="4"/>
  <c r="AB436" i="4"/>
  <c r="AB531" i="4"/>
  <c r="AB493" i="4"/>
  <c r="AB483" i="4"/>
  <c r="AB473" i="4"/>
  <c r="AB463" i="4"/>
  <c r="AB453" i="4"/>
  <c r="AB443" i="4"/>
  <c r="AB433" i="4"/>
  <c r="AB581" i="4"/>
  <c r="AB554" i="4"/>
  <c r="AB501" i="4"/>
  <c r="AB490" i="4"/>
  <c r="AB480" i="4"/>
  <c r="AB470" i="4"/>
  <c r="AB460" i="4"/>
  <c r="AB450" i="4"/>
  <c r="AB440" i="4"/>
  <c r="AB430" i="4"/>
  <c r="AB551" i="4"/>
  <c r="AB498" i="4"/>
  <c r="AB496" i="4"/>
  <c r="AB487" i="4"/>
  <c r="AB477" i="4"/>
  <c r="AB467" i="4"/>
  <c r="AB457" i="4"/>
  <c r="AB447" i="4"/>
  <c r="AB437" i="4"/>
  <c r="AB524" i="4"/>
  <c r="AB494" i="4"/>
  <c r="AB484" i="4"/>
  <c r="AB474" i="4"/>
  <c r="AB464" i="4"/>
  <c r="AB454" i="4"/>
  <c r="AB444" i="4"/>
  <c r="AB434" i="4"/>
  <c r="AB521" i="4"/>
  <c r="AB500" i="4"/>
  <c r="AB544" i="4"/>
  <c r="AB507" i="4"/>
  <c r="AB488" i="4"/>
  <c r="AB478" i="4"/>
  <c r="AB468" i="4"/>
  <c r="AB458" i="4"/>
  <c r="AB448" i="4"/>
  <c r="AB438" i="4"/>
  <c r="AB428" i="4"/>
  <c r="AB418" i="4"/>
  <c r="AB541" i="4"/>
  <c r="AB471" i="4"/>
  <c r="AB465" i="4"/>
  <c r="AB417" i="4"/>
  <c r="AB406" i="4"/>
  <c r="AB491" i="4"/>
  <c r="AB441" i="4"/>
  <c r="AB414" i="4"/>
  <c r="AB404" i="4"/>
  <c r="AB485" i="4"/>
  <c r="AB435" i="4"/>
  <c r="AB421" i="4"/>
  <c r="AB411" i="4"/>
  <c r="AB461" i="4"/>
  <c r="AB420" i="4"/>
  <c r="AB416" i="4"/>
  <c r="AB408" i="4"/>
  <c r="AB455" i="4"/>
  <c r="AB413" i="4"/>
  <c r="AB481" i="4"/>
  <c r="AB431" i="4"/>
  <c r="AB426" i="4"/>
  <c r="AB425" i="4"/>
  <c r="AB410" i="4"/>
  <c r="AB475" i="4"/>
  <c r="AB427" i="4"/>
  <c r="AB424" i="4"/>
  <c r="AB407" i="4"/>
  <c r="AB405" i="4"/>
  <c r="AB403" i="4"/>
  <c r="AB451" i="4"/>
  <c r="AB423" i="4"/>
  <c r="AB445" i="4"/>
  <c r="AB415" i="4"/>
  <c r="E3" i="12"/>
  <c r="E2" i="6"/>
  <c r="E30" i="13"/>
  <c r="E16" i="7"/>
  <c r="E47" i="12"/>
  <c r="E22" i="8"/>
  <c r="E20" i="11"/>
  <c r="E39" i="13"/>
  <c r="E76" i="17"/>
  <c r="E68" i="15"/>
  <c r="G292" i="2"/>
  <c r="K397" i="4"/>
  <c r="K392" i="4"/>
  <c r="K387" i="4"/>
  <c r="K382" i="4"/>
  <c r="K377" i="4"/>
  <c r="K372" i="4"/>
  <c r="K367" i="4"/>
  <c r="K362" i="4"/>
  <c r="K357" i="4"/>
  <c r="K352" i="4"/>
  <c r="K347" i="4"/>
  <c r="K342" i="4"/>
  <c r="K337" i="4"/>
  <c r="K332" i="4"/>
  <c r="K400" i="4"/>
  <c r="K395" i="4"/>
  <c r="K390" i="4"/>
  <c r="K385" i="4"/>
  <c r="K380" i="4"/>
  <c r="K375" i="4"/>
  <c r="K370" i="4"/>
  <c r="K365" i="4"/>
  <c r="K360" i="4"/>
  <c r="K355" i="4"/>
  <c r="K350" i="4"/>
  <c r="K345" i="4"/>
  <c r="K340" i="4"/>
  <c r="K335" i="4"/>
  <c r="K398" i="4"/>
  <c r="K393" i="4"/>
  <c r="K388" i="4"/>
  <c r="K383" i="4"/>
  <c r="K378" i="4"/>
  <c r="K373" i="4"/>
  <c r="K368" i="4"/>
  <c r="K363" i="4"/>
  <c r="K358" i="4"/>
  <c r="K353" i="4"/>
  <c r="K348" i="4"/>
  <c r="K343" i="4"/>
  <c r="K338" i="4"/>
  <c r="K333" i="4"/>
  <c r="K396" i="4"/>
  <c r="K391" i="4"/>
  <c r="K386" i="4"/>
  <c r="K381" i="4"/>
  <c r="K376" i="4"/>
  <c r="K371" i="4"/>
  <c r="K366" i="4"/>
  <c r="K361" i="4"/>
  <c r="K356" i="4"/>
  <c r="K351" i="4"/>
  <c r="K346" i="4"/>
  <c r="K341" i="4"/>
  <c r="K336" i="4"/>
  <c r="K401" i="4"/>
  <c r="K399" i="4"/>
  <c r="K394" i="4"/>
  <c r="K389" i="4"/>
  <c r="K374" i="4"/>
  <c r="K349" i="4"/>
  <c r="K339" i="4"/>
  <c r="K324" i="4"/>
  <c r="K319" i="4"/>
  <c r="K314" i="4"/>
  <c r="K309" i="4"/>
  <c r="K304" i="4"/>
  <c r="K299" i="4"/>
  <c r="K294" i="4"/>
  <c r="K289" i="4"/>
  <c r="K284" i="4"/>
  <c r="K279" i="4"/>
  <c r="K274" i="4"/>
  <c r="K269" i="4"/>
  <c r="K264" i="4"/>
  <c r="K259" i="4"/>
  <c r="K254" i="4"/>
  <c r="K249" i="4"/>
  <c r="K244" i="4"/>
  <c r="K364" i="4"/>
  <c r="K334" i="4"/>
  <c r="K329" i="4"/>
  <c r="K327" i="4"/>
  <c r="K322" i="4"/>
  <c r="K317" i="4"/>
  <c r="K312" i="4"/>
  <c r="K307" i="4"/>
  <c r="K302" i="4"/>
  <c r="K297" i="4"/>
  <c r="K292" i="4"/>
  <c r="K287" i="4"/>
  <c r="K282" i="4"/>
  <c r="K277" i="4"/>
  <c r="K272" i="4"/>
  <c r="K267" i="4"/>
  <c r="K262" i="4"/>
  <c r="K257" i="4"/>
  <c r="K252" i="4"/>
  <c r="K247" i="4"/>
  <c r="K242" i="4"/>
  <c r="K379" i="4"/>
  <c r="K354" i="4"/>
  <c r="K331" i="4"/>
  <c r="K325" i="4"/>
  <c r="K320" i="4"/>
  <c r="K315" i="4"/>
  <c r="K310" i="4"/>
  <c r="K305" i="4"/>
  <c r="K300" i="4"/>
  <c r="K295" i="4"/>
  <c r="K290" i="4"/>
  <c r="K285" i="4"/>
  <c r="K280" i="4"/>
  <c r="K275" i="4"/>
  <c r="K270" i="4"/>
  <c r="K265" i="4"/>
  <c r="K260" i="4"/>
  <c r="K255" i="4"/>
  <c r="K250" i="4"/>
  <c r="K245" i="4"/>
  <c r="K369" i="4"/>
  <c r="K344" i="4"/>
  <c r="K328" i="4"/>
  <c r="K323" i="4"/>
  <c r="K318" i="4"/>
  <c r="K384" i="4"/>
  <c r="K359" i="4"/>
  <c r="K330" i="4"/>
  <c r="K326" i="4"/>
  <c r="K321" i="4"/>
  <c r="K316" i="4"/>
  <c r="K311" i="4"/>
  <c r="K306" i="4"/>
  <c r="K301" i="4"/>
  <c r="K296" i="4"/>
  <c r="K291" i="4"/>
  <c r="K286" i="4"/>
  <c r="K281" i="4"/>
  <c r="K276" i="4"/>
  <c r="K271" i="4"/>
  <c r="K266" i="4"/>
  <c r="K261" i="4"/>
  <c r="K256" i="4"/>
  <c r="K251" i="4"/>
  <c r="K246" i="4"/>
  <c r="K308" i="4"/>
  <c r="K283" i="4"/>
  <c r="K258" i="4"/>
  <c r="K253" i="4"/>
  <c r="K239" i="4"/>
  <c r="K234" i="4"/>
  <c r="K229" i="4"/>
  <c r="K224" i="4"/>
  <c r="K219" i="4"/>
  <c r="K214" i="4"/>
  <c r="K209" i="4"/>
  <c r="K204" i="4"/>
  <c r="K199" i="4"/>
  <c r="K194" i="4"/>
  <c r="K189" i="4"/>
  <c r="K184" i="4"/>
  <c r="K179" i="4"/>
  <c r="K174" i="4"/>
  <c r="K169" i="4"/>
  <c r="K164" i="4"/>
  <c r="K159" i="4"/>
  <c r="K154" i="4"/>
  <c r="K149" i="4"/>
  <c r="K144" i="4"/>
  <c r="K139" i="4"/>
  <c r="K298" i="4"/>
  <c r="K273" i="4"/>
  <c r="K237" i="4"/>
  <c r="K232" i="4"/>
  <c r="K227" i="4"/>
  <c r="K222" i="4"/>
  <c r="K217" i="4"/>
  <c r="K212" i="4"/>
  <c r="K207" i="4"/>
  <c r="K202" i="4"/>
  <c r="K197" i="4"/>
  <c r="K192" i="4"/>
  <c r="K187" i="4"/>
  <c r="K182" i="4"/>
  <c r="K177" i="4"/>
  <c r="K172" i="4"/>
  <c r="K167" i="4"/>
  <c r="K162" i="4"/>
  <c r="K157" i="4"/>
  <c r="K313" i="4"/>
  <c r="K288" i="4"/>
  <c r="K263" i="4"/>
  <c r="K243" i="4"/>
  <c r="K240" i="4"/>
  <c r="K235" i="4"/>
  <c r="K230" i="4"/>
  <c r="K225" i="4"/>
  <c r="K220" i="4"/>
  <c r="K215" i="4"/>
  <c r="K210" i="4"/>
  <c r="K205" i="4"/>
  <c r="K200" i="4"/>
  <c r="K195" i="4"/>
  <c r="K190" i="4"/>
  <c r="K185" i="4"/>
  <c r="K180" i="4"/>
  <c r="K175" i="4"/>
  <c r="K170" i="4"/>
  <c r="K165" i="4"/>
  <c r="K160" i="4"/>
  <c r="K155" i="4"/>
  <c r="K150" i="4"/>
  <c r="K303" i="4"/>
  <c r="K278" i="4"/>
  <c r="K248" i="4"/>
  <c r="K238" i="4"/>
  <c r="K233" i="4"/>
  <c r="K228" i="4"/>
  <c r="K223" i="4"/>
  <c r="K218" i="4"/>
  <c r="K213" i="4"/>
  <c r="K208" i="4"/>
  <c r="K203" i="4"/>
  <c r="K198" i="4"/>
  <c r="K193" i="4"/>
  <c r="K188" i="4"/>
  <c r="K183" i="4"/>
  <c r="K178" i="4"/>
  <c r="K173" i="4"/>
  <c r="K168" i="4"/>
  <c r="K163" i="4"/>
  <c r="K293" i="4"/>
  <c r="K268" i="4"/>
  <c r="K241" i="4"/>
  <c r="K236" i="4"/>
  <c r="K231" i="4"/>
  <c r="K226" i="4"/>
  <c r="K134" i="4"/>
  <c r="K129" i="4"/>
  <c r="K124" i="4"/>
  <c r="K119" i="4"/>
  <c r="K114" i="4"/>
  <c r="K109" i="4"/>
  <c r="K104" i="4"/>
  <c r="K99" i="4"/>
  <c r="K94" i="4"/>
  <c r="K89" i="4"/>
  <c r="K84" i="4"/>
  <c r="K79" i="4"/>
  <c r="K74" i="4"/>
  <c r="K69" i="4"/>
  <c r="K64" i="4"/>
  <c r="K59" i="4"/>
  <c r="K54" i="4"/>
  <c r="K49" i="4"/>
  <c r="K211" i="4"/>
  <c r="K186" i="4"/>
  <c r="K171" i="4"/>
  <c r="K166" i="4"/>
  <c r="K156" i="4"/>
  <c r="K151" i="4"/>
  <c r="K146" i="4"/>
  <c r="K137" i="4"/>
  <c r="K132" i="4"/>
  <c r="K127" i="4"/>
  <c r="K122" i="4"/>
  <c r="K117" i="4"/>
  <c r="K112" i="4"/>
  <c r="K107" i="4"/>
  <c r="K102" i="4"/>
  <c r="K97" i="4"/>
  <c r="K92" i="4"/>
  <c r="K87" i="4"/>
  <c r="K82" i="4"/>
  <c r="K77" i="4"/>
  <c r="K72" i="4"/>
  <c r="K67" i="4"/>
  <c r="K62" i="4"/>
  <c r="K201" i="4"/>
  <c r="K176" i="4"/>
  <c r="K148" i="4"/>
  <c r="K141" i="4"/>
  <c r="K135" i="4"/>
  <c r="K130" i="4"/>
  <c r="K125" i="4"/>
  <c r="K120" i="4"/>
  <c r="K115" i="4"/>
  <c r="K110" i="4"/>
  <c r="K105" i="4"/>
  <c r="K100" i="4"/>
  <c r="K95" i="4"/>
  <c r="K90" i="4"/>
  <c r="K85" i="4"/>
  <c r="K80" i="4"/>
  <c r="K75" i="4"/>
  <c r="K70" i="4"/>
  <c r="K65" i="4"/>
  <c r="K216" i="4"/>
  <c r="K191" i="4"/>
  <c r="K143" i="4"/>
  <c r="K161" i="4"/>
  <c r="K153" i="4"/>
  <c r="K145" i="4"/>
  <c r="K133" i="4"/>
  <c r="K128" i="4"/>
  <c r="K123" i="4"/>
  <c r="K118" i="4"/>
  <c r="K113" i="4"/>
  <c r="K108" i="4"/>
  <c r="K103" i="4"/>
  <c r="K98" i="4"/>
  <c r="K93" i="4"/>
  <c r="K88" i="4"/>
  <c r="K83" i="4"/>
  <c r="K78" i="4"/>
  <c r="K73" i="4"/>
  <c r="K206" i="4"/>
  <c r="K181" i="4"/>
  <c r="K147" i="4"/>
  <c r="K138" i="4"/>
  <c r="K158" i="4"/>
  <c r="K140" i="4"/>
  <c r="K221" i="4"/>
  <c r="K196" i="4"/>
  <c r="K152" i="4"/>
  <c r="K142" i="4"/>
  <c r="K136" i="4"/>
  <c r="K111" i="4"/>
  <c r="K86" i="4"/>
  <c r="K47" i="4"/>
  <c r="K56" i="4"/>
  <c r="K43" i="4"/>
  <c r="K38" i="4"/>
  <c r="K33" i="4"/>
  <c r="K28" i="4"/>
  <c r="K23" i="4"/>
  <c r="K18" i="4"/>
  <c r="K13" i="4"/>
  <c r="K8" i="4"/>
  <c r="K3" i="4"/>
  <c r="K126" i="4"/>
  <c r="K101" i="4"/>
  <c r="K76" i="4"/>
  <c r="K63" i="4"/>
  <c r="K58" i="4"/>
  <c r="K51" i="4"/>
  <c r="K41" i="4"/>
  <c r="K36" i="4"/>
  <c r="K31" i="4"/>
  <c r="K26" i="4"/>
  <c r="K21" i="4"/>
  <c r="K16" i="4"/>
  <c r="K11" i="4"/>
  <c r="K6" i="4"/>
  <c r="K116" i="4"/>
  <c r="K91" i="4"/>
  <c r="K71" i="4"/>
  <c r="K53" i="4"/>
  <c r="K66" i="4"/>
  <c r="K55" i="4"/>
  <c r="K46" i="4"/>
  <c r="K44" i="4"/>
  <c r="K39" i="4"/>
  <c r="K34" i="4"/>
  <c r="K29" i="4"/>
  <c r="K24" i="4"/>
  <c r="K19" i="4"/>
  <c r="K14" i="4"/>
  <c r="K9" i="4"/>
  <c r="K4" i="4"/>
  <c r="K131" i="4"/>
  <c r="K106" i="4"/>
  <c r="K81" i="4"/>
  <c r="K61" i="4"/>
  <c r="K57" i="4"/>
  <c r="K48" i="4"/>
  <c r="K60" i="4"/>
  <c r="K50" i="4"/>
  <c r="K42" i="4"/>
  <c r="K37" i="4"/>
  <c r="K32" i="4"/>
  <c r="K27" i="4"/>
  <c r="K22" i="4"/>
  <c r="K17" i="4"/>
  <c r="K12" i="4"/>
  <c r="K7" i="4"/>
  <c r="K2" i="4"/>
  <c r="K121" i="4"/>
  <c r="K96" i="4"/>
  <c r="K68" i="4"/>
  <c r="K52" i="4"/>
  <c r="K45" i="4"/>
  <c r="K40" i="4"/>
  <c r="K35" i="4"/>
  <c r="K30" i="4"/>
  <c r="K25" i="4"/>
  <c r="K20" i="4"/>
  <c r="K15" i="4"/>
  <c r="K10" i="4"/>
  <c r="K5" i="4"/>
  <c r="AC641" i="4"/>
  <c r="AC648" i="4"/>
  <c r="AC651" i="4"/>
  <c r="AC645" i="4"/>
  <c r="AC649" i="4"/>
  <c r="AC646" i="4"/>
  <c r="AC644" i="4"/>
  <c r="AC627" i="4"/>
  <c r="AC617" i="4"/>
  <c r="AC607" i="4"/>
  <c r="AC597" i="4"/>
  <c r="AC587" i="4"/>
  <c r="AC639" i="4"/>
  <c r="AC637" i="4"/>
  <c r="AC634" i="4"/>
  <c r="AC624" i="4"/>
  <c r="AC614" i="4"/>
  <c r="AC604" i="4"/>
  <c r="AC594" i="4"/>
  <c r="AC631" i="4"/>
  <c r="AC621" i="4"/>
  <c r="AC611" i="4"/>
  <c r="AC601" i="4"/>
  <c r="AC591" i="4"/>
  <c r="AC650" i="4"/>
  <c r="AC647" i="4"/>
  <c r="AC643" i="4"/>
  <c r="AC642" i="4"/>
  <c r="AC628" i="4"/>
  <c r="AC618" i="4"/>
  <c r="AC608" i="4"/>
  <c r="AC598" i="4"/>
  <c r="AC635" i="4"/>
  <c r="AC625" i="4"/>
  <c r="AC615" i="4"/>
  <c r="AC605" i="4"/>
  <c r="AC595" i="4"/>
  <c r="AC638" i="4"/>
  <c r="AC632" i="4"/>
  <c r="AC622" i="4"/>
  <c r="AC612" i="4"/>
  <c r="AC602" i="4"/>
  <c r="AC629" i="4"/>
  <c r="AC619" i="4"/>
  <c r="AC609" i="4"/>
  <c r="AC599" i="4"/>
  <c r="AC636" i="4"/>
  <c r="AC640" i="4"/>
  <c r="AC633" i="4"/>
  <c r="AC623" i="4"/>
  <c r="AC613" i="4"/>
  <c r="AC603" i="4"/>
  <c r="AC593" i="4"/>
  <c r="AC630" i="4"/>
  <c r="AC606" i="4"/>
  <c r="AC588" i="4"/>
  <c r="AC582" i="4"/>
  <c r="AC572" i="4"/>
  <c r="AC562" i="4"/>
  <c r="AC552" i="4"/>
  <c r="AC542" i="4"/>
  <c r="AC532" i="4"/>
  <c r="AC522" i="4"/>
  <c r="AC512" i="4"/>
  <c r="AC502" i="4"/>
  <c r="AC600" i="4"/>
  <c r="AC592" i="4"/>
  <c r="AC579" i="4"/>
  <c r="AC569" i="4"/>
  <c r="AC559" i="4"/>
  <c r="AC549" i="4"/>
  <c r="AC539" i="4"/>
  <c r="AC529" i="4"/>
  <c r="AC519" i="4"/>
  <c r="AC509" i="4"/>
  <c r="AC499" i="4"/>
  <c r="AC626" i="4"/>
  <c r="AC586" i="4"/>
  <c r="AC576" i="4"/>
  <c r="AC566" i="4"/>
  <c r="AC556" i="4"/>
  <c r="AC546" i="4"/>
  <c r="AC536" i="4"/>
  <c r="AC526" i="4"/>
  <c r="AC516" i="4"/>
  <c r="AC620" i="4"/>
  <c r="AC583" i="4"/>
  <c r="AC573" i="4"/>
  <c r="AC563" i="4"/>
  <c r="AC553" i="4"/>
  <c r="AC543" i="4"/>
  <c r="AC533" i="4"/>
  <c r="AC523" i="4"/>
  <c r="AC513" i="4"/>
  <c r="AC503" i="4"/>
  <c r="AC596" i="4"/>
  <c r="AC580" i="4"/>
  <c r="AC570" i="4"/>
  <c r="AC560" i="4"/>
  <c r="AC550" i="4"/>
  <c r="AC540" i="4"/>
  <c r="AC530" i="4"/>
  <c r="AC520" i="4"/>
  <c r="AC510" i="4"/>
  <c r="AC577" i="4"/>
  <c r="AC567" i="4"/>
  <c r="AC557" i="4"/>
  <c r="AC547" i="4"/>
  <c r="AC537" i="4"/>
  <c r="AC527" i="4"/>
  <c r="AC517" i="4"/>
  <c r="AC507" i="4"/>
  <c r="AC616" i="4"/>
  <c r="AC590" i="4"/>
  <c r="AC584" i="4"/>
  <c r="AC574" i="4"/>
  <c r="AC564" i="4"/>
  <c r="AC554" i="4"/>
  <c r="AC544" i="4"/>
  <c r="AC534" i="4"/>
  <c r="AC524" i="4"/>
  <c r="AC514" i="4"/>
  <c r="AC610" i="4"/>
  <c r="AC589" i="4"/>
  <c r="AC581" i="4"/>
  <c r="AC571" i="4"/>
  <c r="AC585" i="4"/>
  <c r="AC575" i="4"/>
  <c r="AC565" i="4"/>
  <c r="AC555" i="4"/>
  <c r="AC545" i="4"/>
  <c r="AC535" i="4"/>
  <c r="AC525" i="4"/>
  <c r="AC515" i="4"/>
  <c r="AC505" i="4"/>
  <c r="AC561" i="4"/>
  <c r="AC511" i="4"/>
  <c r="AC504" i="4"/>
  <c r="AC495" i="4"/>
  <c r="AC489" i="4"/>
  <c r="AC479" i="4"/>
  <c r="AC469" i="4"/>
  <c r="AC459" i="4"/>
  <c r="AC449" i="4"/>
  <c r="AC439" i="4"/>
  <c r="AC429" i="4"/>
  <c r="AC419" i="4"/>
  <c r="AC409" i="4"/>
  <c r="AC558" i="4"/>
  <c r="AC486" i="4"/>
  <c r="AC476" i="4"/>
  <c r="AC466" i="4"/>
  <c r="AC456" i="4"/>
  <c r="AC446" i="4"/>
  <c r="AC436" i="4"/>
  <c r="AC426" i="4"/>
  <c r="AC416" i="4"/>
  <c r="AC531" i="4"/>
  <c r="AC508" i="4"/>
  <c r="AC493" i="4"/>
  <c r="AC483" i="4"/>
  <c r="AC473" i="4"/>
  <c r="AC463" i="4"/>
  <c r="AC453" i="4"/>
  <c r="AC443" i="4"/>
  <c r="AC433" i="4"/>
  <c r="AC528" i="4"/>
  <c r="AC501" i="4"/>
  <c r="AC490" i="4"/>
  <c r="AC480" i="4"/>
  <c r="AC470" i="4"/>
  <c r="AC460" i="4"/>
  <c r="AC450" i="4"/>
  <c r="AC440" i="4"/>
  <c r="AC430" i="4"/>
  <c r="AC551" i="4"/>
  <c r="AC498" i="4"/>
  <c r="AC496" i="4"/>
  <c r="AC487" i="4"/>
  <c r="AC477" i="4"/>
  <c r="AC467" i="4"/>
  <c r="AC457" i="4"/>
  <c r="AC447" i="4"/>
  <c r="AC437" i="4"/>
  <c r="AC427" i="4"/>
  <c r="AC548" i="4"/>
  <c r="AC506" i="4"/>
  <c r="AC494" i="4"/>
  <c r="AC484" i="4"/>
  <c r="AC474" i="4"/>
  <c r="AC464" i="4"/>
  <c r="AC454" i="4"/>
  <c r="AC444" i="4"/>
  <c r="AC434" i="4"/>
  <c r="AC521" i="4"/>
  <c r="AC500" i="4"/>
  <c r="AC491" i="4"/>
  <c r="AC481" i="4"/>
  <c r="AC471" i="4"/>
  <c r="AC461" i="4"/>
  <c r="AC451" i="4"/>
  <c r="AC441" i="4"/>
  <c r="AC431" i="4"/>
  <c r="AC568" i="4"/>
  <c r="AC518" i="4"/>
  <c r="AC541" i="4"/>
  <c r="AC485" i="4"/>
  <c r="AC475" i="4"/>
  <c r="AC465" i="4"/>
  <c r="AC455" i="4"/>
  <c r="AC445" i="4"/>
  <c r="AC435" i="4"/>
  <c r="AC425" i="4"/>
  <c r="AC578" i="4"/>
  <c r="AC538" i="4"/>
  <c r="AC468" i="4"/>
  <c r="AC422" i="4"/>
  <c r="AC417" i="4"/>
  <c r="AC406" i="4"/>
  <c r="AC462" i="4"/>
  <c r="AC414" i="4"/>
  <c r="AC404" i="4"/>
  <c r="AC488" i="4"/>
  <c r="AC438" i="4"/>
  <c r="AC421" i="4"/>
  <c r="AC411" i="4"/>
  <c r="AC402" i="4"/>
  <c r="AC497" i="4"/>
  <c r="AC482" i="4"/>
  <c r="AC432" i="4"/>
  <c r="AC420" i="4"/>
  <c r="AC408" i="4"/>
  <c r="AC458" i="4"/>
  <c r="AC413" i="4"/>
  <c r="AC452" i="4"/>
  <c r="AC410" i="4"/>
  <c r="AC478" i="4"/>
  <c r="AC424" i="4"/>
  <c r="AC407" i="4"/>
  <c r="AC405" i="4"/>
  <c r="AC403" i="4"/>
  <c r="AC472" i="4"/>
  <c r="AC423" i="4"/>
  <c r="AC448" i="4"/>
  <c r="AC418" i="4"/>
  <c r="AC415" i="4"/>
  <c r="AC492" i="4"/>
  <c r="AC442" i="4"/>
  <c r="AC428" i="4"/>
  <c r="AC412" i="4"/>
  <c r="E25" i="12"/>
  <c r="E10" i="8"/>
  <c r="G382" i="2"/>
  <c r="G64" i="2"/>
  <c r="G74" i="2"/>
  <c r="G154" i="2"/>
  <c r="E40" i="10" s="1"/>
  <c r="G465" i="2"/>
  <c r="G208" i="2"/>
  <c r="E56" i="10" s="1"/>
  <c r="G56" i="2"/>
  <c r="G152" i="2"/>
  <c r="E20" i="16"/>
  <c r="G139" i="2"/>
  <c r="G272" i="2"/>
  <c r="G264" i="2"/>
  <c r="G174" i="2"/>
  <c r="G212" i="2"/>
  <c r="E57" i="10" s="1"/>
  <c r="E38" i="12"/>
  <c r="G162" i="2"/>
  <c r="G216" i="2"/>
  <c r="G356" i="2"/>
  <c r="G235" i="2"/>
  <c r="E62" i="10" s="1"/>
  <c r="G219" i="2"/>
  <c r="G275" i="2"/>
  <c r="E52" i="13"/>
  <c r="E30" i="7"/>
  <c r="G327" i="2"/>
  <c r="E18" i="13"/>
  <c r="E13" i="11"/>
  <c r="E29" i="13"/>
  <c r="E15" i="7"/>
  <c r="E40" i="13"/>
  <c r="E21" i="7"/>
  <c r="E20" i="13"/>
  <c r="E7" i="7"/>
  <c r="G93" i="2"/>
  <c r="E65" i="12"/>
  <c r="E29" i="8"/>
  <c r="M400" i="4"/>
  <c r="M395" i="4"/>
  <c r="M390" i="4"/>
  <c r="M385" i="4"/>
  <c r="M380" i="4"/>
  <c r="M375" i="4"/>
  <c r="M370" i="4"/>
  <c r="M365" i="4"/>
  <c r="M360" i="4"/>
  <c r="M355" i="4"/>
  <c r="M350" i="4"/>
  <c r="M345" i="4"/>
  <c r="M340" i="4"/>
  <c r="M335" i="4"/>
  <c r="M330" i="4"/>
  <c r="M398" i="4"/>
  <c r="M393" i="4"/>
  <c r="M388" i="4"/>
  <c r="M383" i="4"/>
  <c r="M378" i="4"/>
  <c r="M373" i="4"/>
  <c r="M368" i="4"/>
  <c r="M363" i="4"/>
  <c r="M358" i="4"/>
  <c r="M353" i="4"/>
  <c r="M348" i="4"/>
  <c r="M343" i="4"/>
  <c r="M338" i="4"/>
  <c r="M396" i="4"/>
  <c r="M391" i="4"/>
  <c r="M386" i="4"/>
  <c r="M381" i="4"/>
  <c r="M376" i="4"/>
  <c r="M371" i="4"/>
  <c r="M366" i="4"/>
  <c r="M361" i="4"/>
  <c r="M356" i="4"/>
  <c r="M351" i="4"/>
  <c r="M346" i="4"/>
  <c r="M341" i="4"/>
  <c r="M336" i="4"/>
  <c r="M401" i="4"/>
  <c r="M399" i="4"/>
  <c r="M394" i="4"/>
  <c r="M389" i="4"/>
  <c r="M384" i="4"/>
  <c r="M379" i="4"/>
  <c r="M374" i="4"/>
  <c r="M369" i="4"/>
  <c r="M364" i="4"/>
  <c r="M359" i="4"/>
  <c r="M354" i="4"/>
  <c r="M349" i="4"/>
  <c r="M344" i="4"/>
  <c r="M339" i="4"/>
  <c r="M397" i="4"/>
  <c r="M392" i="4"/>
  <c r="M387" i="4"/>
  <c r="M377" i="4"/>
  <c r="M352" i="4"/>
  <c r="M334" i="4"/>
  <c r="M329" i="4"/>
  <c r="M327" i="4"/>
  <c r="M322" i="4"/>
  <c r="M317" i="4"/>
  <c r="M312" i="4"/>
  <c r="M307" i="4"/>
  <c r="M302" i="4"/>
  <c r="M297" i="4"/>
  <c r="M292" i="4"/>
  <c r="M287" i="4"/>
  <c r="M282" i="4"/>
  <c r="M277" i="4"/>
  <c r="M272" i="4"/>
  <c r="M267" i="4"/>
  <c r="M262" i="4"/>
  <c r="M257" i="4"/>
  <c r="M252" i="4"/>
  <c r="M247" i="4"/>
  <c r="M242" i="4"/>
  <c r="M367" i="4"/>
  <c r="M331" i="4"/>
  <c r="M342" i="4"/>
  <c r="M325" i="4"/>
  <c r="M320" i="4"/>
  <c r="M315" i="4"/>
  <c r="M310" i="4"/>
  <c r="M305" i="4"/>
  <c r="M300" i="4"/>
  <c r="M295" i="4"/>
  <c r="M290" i="4"/>
  <c r="M285" i="4"/>
  <c r="M280" i="4"/>
  <c r="M275" i="4"/>
  <c r="M270" i="4"/>
  <c r="M265" i="4"/>
  <c r="M260" i="4"/>
  <c r="M255" i="4"/>
  <c r="M250" i="4"/>
  <c r="M245" i="4"/>
  <c r="M382" i="4"/>
  <c r="M357" i="4"/>
  <c r="M333" i="4"/>
  <c r="M328" i="4"/>
  <c r="M323" i="4"/>
  <c r="M318" i="4"/>
  <c r="M313" i="4"/>
  <c r="M308" i="4"/>
  <c r="M303" i="4"/>
  <c r="M298" i="4"/>
  <c r="M293" i="4"/>
  <c r="M288" i="4"/>
  <c r="M283" i="4"/>
  <c r="M278" i="4"/>
  <c r="M273" i="4"/>
  <c r="M268" i="4"/>
  <c r="M263" i="4"/>
  <c r="M258" i="4"/>
  <c r="M253" i="4"/>
  <c r="M248" i="4"/>
  <c r="M243" i="4"/>
  <c r="M372" i="4"/>
  <c r="M347" i="4"/>
  <c r="M326" i="4"/>
  <c r="M321" i="4"/>
  <c r="M316" i="4"/>
  <c r="M362" i="4"/>
  <c r="M332" i="4"/>
  <c r="M337" i="4"/>
  <c r="M324" i="4"/>
  <c r="M319" i="4"/>
  <c r="M314" i="4"/>
  <c r="M309" i="4"/>
  <c r="M304" i="4"/>
  <c r="M299" i="4"/>
  <c r="M294" i="4"/>
  <c r="M289" i="4"/>
  <c r="M284" i="4"/>
  <c r="M279" i="4"/>
  <c r="M274" i="4"/>
  <c r="M269" i="4"/>
  <c r="M264" i="4"/>
  <c r="M259" i="4"/>
  <c r="M254" i="4"/>
  <c r="M249" i="4"/>
  <c r="M244" i="4"/>
  <c r="M311" i="4"/>
  <c r="M286" i="4"/>
  <c r="M261" i="4"/>
  <c r="M237" i="4"/>
  <c r="M232" i="4"/>
  <c r="M227" i="4"/>
  <c r="M222" i="4"/>
  <c r="M217" i="4"/>
  <c r="M212" i="4"/>
  <c r="M207" i="4"/>
  <c r="M202" i="4"/>
  <c r="M197" i="4"/>
  <c r="M192" i="4"/>
  <c r="M187" i="4"/>
  <c r="M182" i="4"/>
  <c r="M177" i="4"/>
  <c r="M172" i="4"/>
  <c r="M167" i="4"/>
  <c r="M162" i="4"/>
  <c r="M157" i="4"/>
  <c r="M152" i="4"/>
  <c r="M147" i="4"/>
  <c r="M142" i="4"/>
  <c r="M301" i="4"/>
  <c r="M276" i="4"/>
  <c r="M251" i="4"/>
  <c r="M240" i="4"/>
  <c r="M235" i="4"/>
  <c r="M230" i="4"/>
  <c r="M225" i="4"/>
  <c r="M220" i="4"/>
  <c r="M215" i="4"/>
  <c r="M210" i="4"/>
  <c r="M205" i="4"/>
  <c r="M200" i="4"/>
  <c r="M195" i="4"/>
  <c r="M190" i="4"/>
  <c r="M185" i="4"/>
  <c r="M180" i="4"/>
  <c r="M175" i="4"/>
  <c r="M170" i="4"/>
  <c r="M165" i="4"/>
  <c r="M160" i="4"/>
  <c r="M155" i="4"/>
  <c r="M291" i="4"/>
  <c r="M266" i="4"/>
  <c r="M246" i="4"/>
  <c r="M238" i="4"/>
  <c r="M233" i="4"/>
  <c r="M228" i="4"/>
  <c r="M223" i="4"/>
  <c r="M218" i="4"/>
  <c r="M213" i="4"/>
  <c r="M208" i="4"/>
  <c r="M203" i="4"/>
  <c r="M198" i="4"/>
  <c r="M193" i="4"/>
  <c r="M188" i="4"/>
  <c r="M183" i="4"/>
  <c r="M178" i="4"/>
  <c r="M173" i="4"/>
  <c r="M168" i="4"/>
  <c r="M163" i="4"/>
  <c r="M158" i="4"/>
  <c r="M153" i="4"/>
  <c r="M306" i="4"/>
  <c r="M281" i="4"/>
  <c r="M256" i="4"/>
  <c r="M241" i="4"/>
  <c r="M236" i="4"/>
  <c r="M231" i="4"/>
  <c r="M226" i="4"/>
  <c r="M221" i="4"/>
  <c r="M216" i="4"/>
  <c r="M211" i="4"/>
  <c r="M206" i="4"/>
  <c r="M201" i="4"/>
  <c r="M196" i="4"/>
  <c r="M191" i="4"/>
  <c r="M186" i="4"/>
  <c r="M181" i="4"/>
  <c r="M176" i="4"/>
  <c r="M171" i="4"/>
  <c r="M166" i="4"/>
  <c r="M161" i="4"/>
  <c r="M296" i="4"/>
  <c r="M271" i="4"/>
  <c r="M239" i="4"/>
  <c r="M234" i="4"/>
  <c r="M229" i="4"/>
  <c r="M169" i="4"/>
  <c r="M151" i="4"/>
  <c r="M146" i="4"/>
  <c r="M137" i="4"/>
  <c r="M132" i="4"/>
  <c r="M127" i="4"/>
  <c r="M122" i="4"/>
  <c r="M117" i="4"/>
  <c r="M112" i="4"/>
  <c r="M107" i="4"/>
  <c r="M102" i="4"/>
  <c r="M97" i="4"/>
  <c r="M92" i="4"/>
  <c r="M87" i="4"/>
  <c r="M82" i="4"/>
  <c r="M77" i="4"/>
  <c r="M72" i="4"/>
  <c r="M67" i="4"/>
  <c r="M62" i="4"/>
  <c r="M57" i="4"/>
  <c r="M52" i="4"/>
  <c r="M47" i="4"/>
  <c r="M214" i="4"/>
  <c r="M189" i="4"/>
  <c r="M148" i="4"/>
  <c r="M139" i="4"/>
  <c r="M154" i="4"/>
  <c r="M141" i="4"/>
  <c r="M135" i="4"/>
  <c r="M130" i="4"/>
  <c r="M125" i="4"/>
  <c r="M120" i="4"/>
  <c r="M115" i="4"/>
  <c r="M110" i="4"/>
  <c r="M105" i="4"/>
  <c r="M100" i="4"/>
  <c r="M95" i="4"/>
  <c r="M90" i="4"/>
  <c r="M85" i="4"/>
  <c r="M80" i="4"/>
  <c r="M75" i="4"/>
  <c r="M70" i="4"/>
  <c r="M65" i="4"/>
  <c r="M204" i="4"/>
  <c r="M179" i="4"/>
  <c r="M150" i="4"/>
  <c r="M143" i="4"/>
  <c r="M145" i="4"/>
  <c r="M133" i="4"/>
  <c r="M128" i="4"/>
  <c r="M123" i="4"/>
  <c r="M118" i="4"/>
  <c r="M113" i="4"/>
  <c r="M108" i="4"/>
  <c r="M103" i="4"/>
  <c r="M98" i="4"/>
  <c r="M93" i="4"/>
  <c r="M88" i="4"/>
  <c r="M83" i="4"/>
  <c r="M78" i="4"/>
  <c r="M73" i="4"/>
  <c r="M68" i="4"/>
  <c r="M63" i="4"/>
  <c r="M219" i="4"/>
  <c r="M194" i="4"/>
  <c r="M138" i="4"/>
  <c r="M164" i="4"/>
  <c r="M159" i="4"/>
  <c r="M140" i="4"/>
  <c r="M136" i="4"/>
  <c r="M131" i="4"/>
  <c r="M126" i="4"/>
  <c r="M121" i="4"/>
  <c r="M116" i="4"/>
  <c r="M111" i="4"/>
  <c r="M106" i="4"/>
  <c r="M101" i="4"/>
  <c r="M96" i="4"/>
  <c r="M91" i="4"/>
  <c r="M86" i="4"/>
  <c r="M81" i="4"/>
  <c r="M76" i="4"/>
  <c r="M209" i="4"/>
  <c r="M184" i="4"/>
  <c r="M149" i="4"/>
  <c r="M224" i="4"/>
  <c r="M199" i="4"/>
  <c r="M174" i="4"/>
  <c r="M156" i="4"/>
  <c r="M144" i="4"/>
  <c r="M114" i="4"/>
  <c r="M89" i="4"/>
  <c r="M49" i="4"/>
  <c r="M58" i="4"/>
  <c r="M51" i="4"/>
  <c r="M41" i="4"/>
  <c r="M36" i="4"/>
  <c r="M31" i="4"/>
  <c r="M26" i="4"/>
  <c r="M21" i="4"/>
  <c r="M16" i="4"/>
  <c r="M11" i="4"/>
  <c r="M6" i="4"/>
  <c r="M129" i="4"/>
  <c r="M104" i="4"/>
  <c r="M79" i="4"/>
  <c r="M53" i="4"/>
  <c r="M71" i="4"/>
  <c r="M66" i="4"/>
  <c r="M64" i="4"/>
  <c r="M55" i="4"/>
  <c r="M46" i="4"/>
  <c r="M44" i="4"/>
  <c r="M39" i="4"/>
  <c r="M34" i="4"/>
  <c r="M29" i="4"/>
  <c r="M24" i="4"/>
  <c r="M19" i="4"/>
  <c r="M14" i="4"/>
  <c r="M9" i="4"/>
  <c r="M4" i="4"/>
  <c r="M119" i="4"/>
  <c r="M94" i="4"/>
  <c r="M61" i="4"/>
  <c r="M48" i="4"/>
  <c r="M60" i="4"/>
  <c r="M50" i="4"/>
  <c r="M42" i="4"/>
  <c r="M37" i="4"/>
  <c r="M32" i="4"/>
  <c r="M27" i="4"/>
  <c r="M22" i="4"/>
  <c r="M17" i="4"/>
  <c r="M12" i="4"/>
  <c r="M7" i="4"/>
  <c r="M2" i="4"/>
  <c r="M134" i="4"/>
  <c r="M109" i="4"/>
  <c r="M84" i="4"/>
  <c r="M45" i="4"/>
  <c r="M40" i="4"/>
  <c r="M35" i="4"/>
  <c r="M30" i="4"/>
  <c r="M25" i="4"/>
  <c r="M20" i="4"/>
  <c r="M15" i="4"/>
  <c r="M10" i="4"/>
  <c r="M5" i="4"/>
  <c r="M124" i="4"/>
  <c r="M99" i="4"/>
  <c r="M74" i="4"/>
  <c r="M54" i="4"/>
  <c r="M69" i="4"/>
  <c r="M59" i="4"/>
  <c r="M56" i="4"/>
  <c r="M43" i="4"/>
  <c r="M38" i="4"/>
  <c r="M33" i="4"/>
  <c r="M28" i="4"/>
  <c r="M23" i="4"/>
  <c r="M18" i="4"/>
  <c r="M13" i="4"/>
  <c r="M8" i="4"/>
  <c r="M3" i="4"/>
  <c r="AE651" i="4"/>
  <c r="AE645" i="4"/>
  <c r="AE642" i="4"/>
  <c r="AE649" i="4"/>
  <c r="AE646" i="4"/>
  <c r="AE650" i="4"/>
  <c r="AE647" i="4"/>
  <c r="AE648" i="4"/>
  <c r="AE631" i="4"/>
  <c r="AE621" i="4"/>
  <c r="AE611" i="4"/>
  <c r="AE601" i="4"/>
  <c r="AE591" i="4"/>
  <c r="AE643" i="4"/>
  <c r="AE628" i="4"/>
  <c r="AE618" i="4"/>
  <c r="AE608" i="4"/>
  <c r="AE598" i="4"/>
  <c r="AE635" i="4"/>
  <c r="AE625" i="4"/>
  <c r="AE615" i="4"/>
  <c r="AE605" i="4"/>
  <c r="AE595" i="4"/>
  <c r="AE644" i="4"/>
  <c r="AE632" i="4"/>
  <c r="AE622" i="4"/>
  <c r="AE612" i="4"/>
  <c r="AE602" i="4"/>
  <c r="AE592" i="4"/>
  <c r="AE638" i="4"/>
  <c r="AE629" i="4"/>
  <c r="AE619" i="4"/>
  <c r="AE609" i="4"/>
  <c r="AE599" i="4"/>
  <c r="AE641" i="4"/>
  <c r="AE636" i="4"/>
  <c r="AE626" i="4"/>
  <c r="AE616" i="4"/>
  <c r="AE606" i="4"/>
  <c r="AE596" i="4"/>
  <c r="AE640" i="4"/>
  <c r="AE633" i="4"/>
  <c r="AE623" i="4"/>
  <c r="AE613" i="4"/>
  <c r="AE603" i="4"/>
  <c r="AE627" i="4"/>
  <c r="AE617" i="4"/>
  <c r="AE607" i="4"/>
  <c r="AE597" i="4"/>
  <c r="AE639" i="4"/>
  <c r="AE637" i="4"/>
  <c r="AE634" i="4"/>
  <c r="AE630" i="4"/>
  <c r="AE600" i="4"/>
  <c r="AE586" i="4"/>
  <c r="AE576" i="4"/>
  <c r="AE566" i="4"/>
  <c r="AE556" i="4"/>
  <c r="AE546" i="4"/>
  <c r="AE536" i="4"/>
  <c r="AE526" i="4"/>
  <c r="AE516" i="4"/>
  <c r="AE506" i="4"/>
  <c r="AE496" i="4"/>
  <c r="AE594" i="4"/>
  <c r="AE583" i="4"/>
  <c r="AE573" i="4"/>
  <c r="AE563" i="4"/>
  <c r="AE553" i="4"/>
  <c r="AE543" i="4"/>
  <c r="AE533" i="4"/>
  <c r="AE523" i="4"/>
  <c r="AE513" i="4"/>
  <c r="AE503" i="4"/>
  <c r="AE620" i="4"/>
  <c r="AE580" i="4"/>
  <c r="AE570" i="4"/>
  <c r="AE560" i="4"/>
  <c r="AE550" i="4"/>
  <c r="AE540" i="4"/>
  <c r="AE530" i="4"/>
  <c r="AE520" i="4"/>
  <c r="AE510" i="4"/>
  <c r="AE614" i="4"/>
  <c r="AE577" i="4"/>
  <c r="AE567" i="4"/>
  <c r="AE557" i="4"/>
  <c r="AE547" i="4"/>
  <c r="AE537" i="4"/>
  <c r="AE527" i="4"/>
  <c r="AE517" i="4"/>
  <c r="AE507" i="4"/>
  <c r="AE593" i="4"/>
  <c r="AE587" i="4"/>
  <c r="AE584" i="4"/>
  <c r="AE574" i="4"/>
  <c r="AE564" i="4"/>
  <c r="AE554" i="4"/>
  <c r="AE544" i="4"/>
  <c r="AE534" i="4"/>
  <c r="AE524" i="4"/>
  <c r="AE514" i="4"/>
  <c r="AE504" i="4"/>
  <c r="AE590" i="4"/>
  <c r="AE589" i="4"/>
  <c r="AE581" i="4"/>
  <c r="AE571" i="4"/>
  <c r="AE561" i="4"/>
  <c r="AE551" i="4"/>
  <c r="AE541" i="4"/>
  <c r="AE531" i="4"/>
  <c r="AE521" i="4"/>
  <c r="AE511" i="4"/>
  <c r="AE610" i="4"/>
  <c r="AE578" i="4"/>
  <c r="AE568" i="4"/>
  <c r="AE558" i="4"/>
  <c r="AE548" i="4"/>
  <c r="AE538" i="4"/>
  <c r="AE528" i="4"/>
  <c r="AE518" i="4"/>
  <c r="AE508" i="4"/>
  <c r="AE604" i="4"/>
  <c r="AE585" i="4"/>
  <c r="AE575" i="4"/>
  <c r="AE624" i="4"/>
  <c r="AE579" i="4"/>
  <c r="AE569" i="4"/>
  <c r="AE559" i="4"/>
  <c r="AE549" i="4"/>
  <c r="AE539" i="4"/>
  <c r="AE529" i="4"/>
  <c r="AE519" i="4"/>
  <c r="AE509" i="4"/>
  <c r="AE555" i="4"/>
  <c r="AE493" i="4"/>
  <c r="AE483" i="4"/>
  <c r="AE473" i="4"/>
  <c r="AE463" i="4"/>
  <c r="AE453" i="4"/>
  <c r="AE443" i="4"/>
  <c r="AE433" i="4"/>
  <c r="AE423" i="4"/>
  <c r="AE413" i="4"/>
  <c r="AE403" i="4"/>
  <c r="AE552" i="4"/>
  <c r="AE505" i="4"/>
  <c r="AE501" i="4"/>
  <c r="AE490" i="4"/>
  <c r="AE480" i="4"/>
  <c r="AE470" i="4"/>
  <c r="AE460" i="4"/>
  <c r="AE450" i="4"/>
  <c r="AE440" i="4"/>
  <c r="AE430" i="4"/>
  <c r="AE420" i="4"/>
  <c r="AE410" i="4"/>
  <c r="AE588" i="4"/>
  <c r="AE582" i="4"/>
  <c r="AE525" i="4"/>
  <c r="AE498" i="4"/>
  <c r="AE487" i="4"/>
  <c r="AE477" i="4"/>
  <c r="AE467" i="4"/>
  <c r="AE457" i="4"/>
  <c r="AE447" i="4"/>
  <c r="AE437" i="4"/>
  <c r="AE522" i="4"/>
  <c r="AE494" i="4"/>
  <c r="AE484" i="4"/>
  <c r="AE474" i="4"/>
  <c r="AE464" i="4"/>
  <c r="AE454" i="4"/>
  <c r="AE444" i="4"/>
  <c r="AE434" i="4"/>
  <c r="AE545" i="4"/>
  <c r="AE500" i="4"/>
  <c r="AE491" i="4"/>
  <c r="AE481" i="4"/>
  <c r="AE471" i="4"/>
  <c r="AE461" i="4"/>
  <c r="AE451" i="4"/>
  <c r="AE441" i="4"/>
  <c r="AE431" i="4"/>
  <c r="AE542" i="4"/>
  <c r="AE488" i="4"/>
  <c r="AE478" i="4"/>
  <c r="AE468" i="4"/>
  <c r="AE458" i="4"/>
  <c r="AE448" i="4"/>
  <c r="AE438" i="4"/>
  <c r="AE565" i="4"/>
  <c r="AE515" i="4"/>
  <c r="AE485" i="4"/>
  <c r="AE475" i="4"/>
  <c r="AE465" i="4"/>
  <c r="AE455" i="4"/>
  <c r="AE445" i="4"/>
  <c r="AE435" i="4"/>
  <c r="AE562" i="4"/>
  <c r="AE512" i="4"/>
  <c r="AE497" i="4"/>
  <c r="AE535" i="4"/>
  <c r="AE495" i="4"/>
  <c r="AE489" i="4"/>
  <c r="AE479" i="4"/>
  <c r="AE469" i="4"/>
  <c r="AE459" i="4"/>
  <c r="AE449" i="4"/>
  <c r="AE439" i="4"/>
  <c r="AE429" i="4"/>
  <c r="AE419" i="4"/>
  <c r="AE572" i="4"/>
  <c r="AE532" i="4"/>
  <c r="AE499" i="4"/>
  <c r="AE462" i="4"/>
  <c r="AE421" i="4"/>
  <c r="AE411" i="4"/>
  <c r="AE402" i="4"/>
  <c r="AE456" i="4"/>
  <c r="AE408" i="4"/>
  <c r="AE482" i="4"/>
  <c r="AE432" i="4"/>
  <c r="AE476" i="4"/>
  <c r="AE416" i="4"/>
  <c r="AE452" i="4"/>
  <c r="AE425" i="4"/>
  <c r="AE424" i="4"/>
  <c r="AE407" i="4"/>
  <c r="AE405" i="4"/>
  <c r="AE446" i="4"/>
  <c r="AE426" i="4"/>
  <c r="AE502" i="4"/>
  <c r="AE472" i="4"/>
  <c r="AE427" i="4"/>
  <c r="AE418" i="4"/>
  <c r="AE415" i="4"/>
  <c r="AE466" i="4"/>
  <c r="AE428" i="4"/>
  <c r="AE412" i="4"/>
  <c r="AE492" i="4"/>
  <c r="AE442" i="4"/>
  <c r="AE417" i="4"/>
  <c r="AE409" i="4"/>
  <c r="AE486" i="4"/>
  <c r="AE436" i="4"/>
  <c r="AE422" i="4"/>
  <c r="AE414" i="4"/>
  <c r="AE406" i="4"/>
  <c r="AE404" i="4"/>
  <c r="G186" i="2"/>
  <c r="E47" i="10" s="1"/>
  <c r="G522" i="2"/>
  <c r="E25" i="13"/>
  <c r="E15" i="11"/>
  <c r="G290" i="2"/>
  <c r="G213" i="2"/>
  <c r="G97" i="2"/>
  <c r="G127" i="2"/>
  <c r="G344" i="2"/>
  <c r="E84" i="10" s="1"/>
  <c r="G301" i="2"/>
  <c r="G245" i="2"/>
  <c r="G358" i="2"/>
  <c r="E87" i="10" s="1"/>
  <c r="G380" i="2"/>
  <c r="E18" i="9" s="1"/>
  <c r="E36" i="13"/>
  <c r="E19" i="7"/>
  <c r="E145" i="17"/>
  <c r="E29" i="16"/>
  <c r="E223" i="17"/>
  <c r="E66" i="16"/>
  <c r="E232" i="17"/>
  <c r="E75" i="16"/>
  <c r="E46" i="17"/>
  <c r="E37" i="15"/>
  <c r="V642" i="4"/>
  <c r="V649" i="4"/>
  <c r="V639" i="4"/>
  <c r="V646" i="4"/>
  <c r="V650" i="4"/>
  <c r="V647" i="4"/>
  <c r="V651" i="4"/>
  <c r="V645" i="4"/>
  <c r="V628" i="4"/>
  <c r="V618" i="4"/>
  <c r="V608" i="4"/>
  <c r="V598" i="4"/>
  <c r="V588" i="4"/>
  <c r="V648" i="4"/>
  <c r="V641" i="4"/>
  <c r="V635" i="4"/>
  <c r="V625" i="4"/>
  <c r="V615" i="4"/>
  <c r="V605" i="4"/>
  <c r="V595" i="4"/>
  <c r="V638" i="4"/>
  <c r="V632" i="4"/>
  <c r="V622" i="4"/>
  <c r="V612" i="4"/>
  <c r="V602" i="4"/>
  <c r="V592" i="4"/>
  <c r="V640" i="4"/>
  <c r="V629" i="4"/>
  <c r="V619" i="4"/>
  <c r="V609" i="4"/>
  <c r="V599" i="4"/>
  <c r="V636" i="4"/>
  <c r="V626" i="4"/>
  <c r="V616" i="4"/>
  <c r="V606" i="4"/>
  <c r="V596" i="4"/>
  <c r="V633" i="4"/>
  <c r="V623" i="4"/>
  <c r="V613" i="4"/>
  <c r="V603" i="4"/>
  <c r="V643" i="4"/>
  <c r="V630" i="4"/>
  <c r="V620" i="4"/>
  <c r="V610" i="4"/>
  <c r="V600" i="4"/>
  <c r="V644" i="4"/>
  <c r="V637" i="4"/>
  <c r="V634" i="4"/>
  <c r="V624" i="4"/>
  <c r="V614" i="4"/>
  <c r="V604" i="4"/>
  <c r="V594" i="4"/>
  <c r="V631" i="4"/>
  <c r="V627" i="4"/>
  <c r="V590" i="4"/>
  <c r="V583" i="4"/>
  <c r="V573" i="4"/>
  <c r="V563" i="4"/>
  <c r="V553" i="4"/>
  <c r="V543" i="4"/>
  <c r="V533" i="4"/>
  <c r="V523" i="4"/>
  <c r="V513" i="4"/>
  <c r="V503" i="4"/>
  <c r="V621" i="4"/>
  <c r="V589" i="4"/>
  <c r="V580" i="4"/>
  <c r="V570" i="4"/>
  <c r="V560" i="4"/>
  <c r="V550" i="4"/>
  <c r="V540" i="4"/>
  <c r="V530" i="4"/>
  <c r="V520" i="4"/>
  <c r="V510" i="4"/>
  <c r="V500" i="4"/>
  <c r="V597" i="4"/>
  <c r="V591" i="4"/>
  <c r="V587" i="4"/>
  <c r="V577" i="4"/>
  <c r="V567" i="4"/>
  <c r="V557" i="4"/>
  <c r="V547" i="4"/>
  <c r="V537" i="4"/>
  <c r="V527" i="4"/>
  <c r="V517" i="4"/>
  <c r="V584" i="4"/>
  <c r="V574" i="4"/>
  <c r="V564" i="4"/>
  <c r="V554" i="4"/>
  <c r="V544" i="4"/>
  <c r="V534" i="4"/>
  <c r="V524" i="4"/>
  <c r="V514" i="4"/>
  <c r="V504" i="4"/>
  <c r="V617" i="4"/>
  <c r="V581" i="4"/>
  <c r="V571" i="4"/>
  <c r="V561" i="4"/>
  <c r="V551" i="4"/>
  <c r="V541" i="4"/>
  <c r="V531" i="4"/>
  <c r="V521" i="4"/>
  <c r="V511" i="4"/>
  <c r="V611" i="4"/>
  <c r="V578" i="4"/>
  <c r="V568" i="4"/>
  <c r="V558" i="4"/>
  <c r="V548" i="4"/>
  <c r="V538" i="4"/>
  <c r="V528" i="4"/>
  <c r="V518" i="4"/>
  <c r="V508" i="4"/>
  <c r="V585" i="4"/>
  <c r="V575" i="4"/>
  <c r="V565" i="4"/>
  <c r="V555" i="4"/>
  <c r="V545" i="4"/>
  <c r="V535" i="4"/>
  <c r="V525" i="4"/>
  <c r="V515" i="4"/>
  <c r="V593" i="4"/>
  <c r="V582" i="4"/>
  <c r="V572" i="4"/>
  <c r="V607" i="4"/>
  <c r="V601" i="4"/>
  <c r="V586" i="4"/>
  <c r="V576" i="4"/>
  <c r="V566" i="4"/>
  <c r="V556" i="4"/>
  <c r="V546" i="4"/>
  <c r="V536" i="4"/>
  <c r="V526" i="4"/>
  <c r="V516" i="4"/>
  <c r="V506" i="4"/>
  <c r="V532" i="4"/>
  <c r="V498" i="4"/>
  <c r="V490" i="4"/>
  <c r="V480" i="4"/>
  <c r="V470" i="4"/>
  <c r="V460" i="4"/>
  <c r="V450" i="4"/>
  <c r="V440" i="4"/>
  <c r="V430" i="4"/>
  <c r="V420" i="4"/>
  <c r="V410" i="4"/>
  <c r="V529" i="4"/>
  <c r="V507" i="4"/>
  <c r="V496" i="4"/>
  <c r="V487" i="4"/>
  <c r="V477" i="4"/>
  <c r="V467" i="4"/>
  <c r="V457" i="4"/>
  <c r="V447" i="4"/>
  <c r="V437" i="4"/>
  <c r="V427" i="4"/>
  <c r="V417" i="4"/>
  <c r="V407" i="4"/>
  <c r="V552" i="4"/>
  <c r="V494" i="4"/>
  <c r="V484" i="4"/>
  <c r="V474" i="4"/>
  <c r="V464" i="4"/>
  <c r="V454" i="4"/>
  <c r="V444" i="4"/>
  <c r="V434" i="4"/>
  <c r="V549" i="4"/>
  <c r="V491" i="4"/>
  <c r="V481" i="4"/>
  <c r="V471" i="4"/>
  <c r="V461" i="4"/>
  <c r="V451" i="4"/>
  <c r="V441" i="4"/>
  <c r="V431" i="4"/>
  <c r="V522" i="4"/>
  <c r="V488" i="4"/>
  <c r="V478" i="4"/>
  <c r="V468" i="4"/>
  <c r="V458" i="4"/>
  <c r="V448" i="4"/>
  <c r="V438" i="4"/>
  <c r="V428" i="4"/>
  <c r="V569" i="4"/>
  <c r="V519" i="4"/>
  <c r="V505" i="4"/>
  <c r="V502" i="4"/>
  <c r="V497" i="4"/>
  <c r="V485" i="4"/>
  <c r="V475" i="4"/>
  <c r="V465" i="4"/>
  <c r="V455" i="4"/>
  <c r="V445" i="4"/>
  <c r="V435" i="4"/>
  <c r="V542" i="4"/>
  <c r="V499" i="4"/>
  <c r="V495" i="4"/>
  <c r="V492" i="4"/>
  <c r="V482" i="4"/>
  <c r="V472" i="4"/>
  <c r="V462" i="4"/>
  <c r="V452" i="4"/>
  <c r="V442" i="4"/>
  <c r="V432" i="4"/>
  <c r="V539" i="4"/>
  <c r="V579" i="4"/>
  <c r="V562" i="4"/>
  <c r="V512" i="4"/>
  <c r="V501" i="4"/>
  <c r="V486" i="4"/>
  <c r="V476" i="4"/>
  <c r="V466" i="4"/>
  <c r="V456" i="4"/>
  <c r="V446" i="4"/>
  <c r="V436" i="4"/>
  <c r="V426" i="4"/>
  <c r="V559" i="4"/>
  <c r="V489" i="4"/>
  <c r="V439" i="4"/>
  <c r="V424" i="4"/>
  <c r="V416" i="4"/>
  <c r="V509" i="4"/>
  <c r="V483" i="4"/>
  <c r="V433" i="4"/>
  <c r="V419" i="4"/>
  <c r="V413" i="4"/>
  <c r="V459" i="4"/>
  <c r="V418" i="4"/>
  <c r="V405" i="4"/>
  <c r="V453" i="4"/>
  <c r="V423" i="4"/>
  <c r="V415" i="4"/>
  <c r="V403" i="4"/>
  <c r="V479" i="4"/>
  <c r="V429" i="4"/>
  <c r="V412" i="4"/>
  <c r="V473" i="4"/>
  <c r="V422" i="4"/>
  <c r="V409" i="4"/>
  <c r="V449" i="4"/>
  <c r="V421" i="4"/>
  <c r="V414" i="4"/>
  <c r="V493" i="4"/>
  <c r="V443" i="4"/>
  <c r="V411" i="4"/>
  <c r="V406" i="4"/>
  <c r="V404" i="4"/>
  <c r="V469" i="4"/>
  <c r="V408" i="4"/>
  <c r="V402" i="4"/>
  <c r="V463" i="4"/>
  <c r="V425" i="4"/>
  <c r="AF651" i="4"/>
  <c r="AF642" i="4"/>
  <c r="AF649" i="4"/>
  <c r="AF639" i="4"/>
  <c r="AF646" i="4"/>
  <c r="AF650" i="4"/>
  <c r="AF647" i="4"/>
  <c r="AF645" i="4"/>
  <c r="AF643" i="4"/>
  <c r="AF628" i="4"/>
  <c r="AF618" i="4"/>
  <c r="AF608" i="4"/>
  <c r="AF598" i="4"/>
  <c r="AF588" i="4"/>
  <c r="AF635" i="4"/>
  <c r="AF625" i="4"/>
  <c r="AF615" i="4"/>
  <c r="AF605" i="4"/>
  <c r="AF595" i="4"/>
  <c r="AF644" i="4"/>
  <c r="AF632" i="4"/>
  <c r="AF622" i="4"/>
  <c r="AF612" i="4"/>
  <c r="AF602" i="4"/>
  <c r="AF592" i="4"/>
  <c r="AF638" i="4"/>
  <c r="AF629" i="4"/>
  <c r="AF619" i="4"/>
  <c r="AF609" i="4"/>
  <c r="AF599" i="4"/>
  <c r="AF641" i="4"/>
  <c r="AF636" i="4"/>
  <c r="AF626" i="4"/>
  <c r="AF616" i="4"/>
  <c r="AF606" i="4"/>
  <c r="AF596" i="4"/>
  <c r="AF640" i="4"/>
  <c r="AF633" i="4"/>
  <c r="AF623" i="4"/>
  <c r="AF613" i="4"/>
  <c r="AF603" i="4"/>
  <c r="AF593" i="4"/>
  <c r="AF630" i="4"/>
  <c r="AF620" i="4"/>
  <c r="AF610" i="4"/>
  <c r="AF600" i="4"/>
  <c r="AF637" i="4"/>
  <c r="AF634" i="4"/>
  <c r="AF624" i="4"/>
  <c r="AF614" i="4"/>
  <c r="AF604" i="4"/>
  <c r="AF594" i="4"/>
  <c r="AF648" i="4"/>
  <c r="AF631" i="4"/>
  <c r="AF597" i="4"/>
  <c r="AF583" i="4"/>
  <c r="AF573" i="4"/>
  <c r="AF563" i="4"/>
  <c r="AF553" i="4"/>
  <c r="AF543" i="4"/>
  <c r="AF533" i="4"/>
  <c r="AF523" i="4"/>
  <c r="AF513" i="4"/>
  <c r="AF503" i="4"/>
  <c r="AF580" i="4"/>
  <c r="AF570" i="4"/>
  <c r="AF560" i="4"/>
  <c r="AF550" i="4"/>
  <c r="AF540" i="4"/>
  <c r="AF530" i="4"/>
  <c r="AF520" i="4"/>
  <c r="AF510" i="4"/>
  <c r="AF500" i="4"/>
  <c r="AF617" i="4"/>
  <c r="AF577" i="4"/>
  <c r="AF567" i="4"/>
  <c r="AF557" i="4"/>
  <c r="AF547" i="4"/>
  <c r="AF537" i="4"/>
  <c r="AF527" i="4"/>
  <c r="AF517" i="4"/>
  <c r="AF611" i="4"/>
  <c r="AF587" i="4"/>
  <c r="AF584" i="4"/>
  <c r="AF574" i="4"/>
  <c r="AF564" i="4"/>
  <c r="AF554" i="4"/>
  <c r="AF544" i="4"/>
  <c r="AF534" i="4"/>
  <c r="AF524" i="4"/>
  <c r="AF514" i="4"/>
  <c r="AF504" i="4"/>
  <c r="AF590" i="4"/>
  <c r="AF589" i="4"/>
  <c r="AF581" i="4"/>
  <c r="AF571" i="4"/>
  <c r="AF561" i="4"/>
  <c r="AF551" i="4"/>
  <c r="AF541" i="4"/>
  <c r="AF531" i="4"/>
  <c r="AF521" i="4"/>
  <c r="AF511" i="4"/>
  <c r="AF578" i="4"/>
  <c r="AF568" i="4"/>
  <c r="AF558" i="4"/>
  <c r="AF548" i="4"/>
  <c r="AF538" i="4"/>
  <c r="AF528" i="4"/>
  <c r="AF518" i="4"/>
  <c r="AF508" i="4"/>
  <c r="AF607" i="4"/>
  <c r="AF585" i="4"/>
  <c r="AF575" i="4"/>
  <c r="AF565" i="4"/>
  <c r="AF555" i="4"/>
  <c r="AF545" i="4"/>
  <c r="AF535" i="4"/>
  <c r="AF525" i="4"/>
  <c r="AF515" i="4"/>
  <c r="AF601" i="4"/>
  <c r="AF582" i="4"/>
  <c r="AF572" i="4"/>
  <c r="AF627" i="4"/>
  <c r="AF591" i="4"/>
  <c r="AF621" i="4"/>
  <c r="AF586" i="4"/>
  <c r="AF576" i="4"/>
  <c r="AF566" i="4"/>
  <c r="AF556" i="4"/>
  <c r="AF546" i="4"/>
  <c r="AF536" i="4"/>
  <c r="AF526" i="4"/>
  <c r="AF516" i="4"/>
  <c r="AF506" i="4"/>
  <c r="AF552" i="4"/>
  <c r="AF505" i="4"/>
  <c r="AF501" i="4"/>
  <c r="AF490" i="4"/>
  <c r="AF480" i="4"/>
  <c r="AF470" i="4"/>
  <c r="AF460" i="4"/>
  <c r="AF450" i="4"/>
  <c r="AF440" i="4"/>
  <c r="AF430" i="4"/>
  <c r="AF420" i="4"/>
  <c r="AF410" i="4"/>
  <c r="AF549" i="4"/>
  <c r="AF498" i="4"/>
  <c r="AF487" i="4"/>
  <c r="AF477" i="4"/>
  <c r="AF467" i="4"/>
  <c r="AF457" i="4"/>
  <c r="AF447" i="4"/>
  <c r="AF437" i="4"/>
  <c r="AF427" i="4"/>
  <c r="AF417" i="4"/>
  <c r="AF407" i="4"/>
  <c r="AF522" i="4"/>
  <c r="AF496" i="4"/>
  <c r="AF494" i="4"/>
  <c r="AF484" i="4"/>
  <c r="AF474" i="4"/>
  <c r="AF464" i="4"/>
  <c r="AF454" i="4"/>
  <c r="AF444" i="4"/>
  <c r="AF434" i="4"/>
  <c r="AF519" i="4"/>
  <c r="AF491" i="4"/>
  <c r="AF481" i="4"/>
  <c r="AF471" i="4"/>
  <c r="AF461" i="4"/>
  <c r="AF451" i="4"/>
  <c r="AF441" i="4"/>
  <c r="AF431" i="4"/>
  <c r="AF569" i="4"/>
  <c r="AF542" i="4"/>
  <c r="AF488" i="4"/>
  <c r="AF478" i="4"/>
  <c r="AF468" i="4"/>
  <c r="AF458" i="4"/>
  <c r="AF448" i="4"/>
  <c r="AF438" i="4"/>
  <c r="AF428" i="4"/>
  <c r="AF539" i="4"/>
  <c r="AF485" i="4"/>
  <c r="AF475" i="4"/>
  <c r="AF465" i="4"/>
  <c r="AF455" i="4"/>
  <c r="AF445" i="4"/>
  <c r="AF435" i="4"/>
  <c r="AF562" i="4"/>
  <c r="AF512" i="4"/>
  <c r="AF497" i="4"/>
  <c r="AF492" i="4"/>
  <c r="AF482" i="4"/>
  <c r="AF472" i="4"/>
  <c r="AF462" i="4"/>
  <c r="AF452" i="4"/>
  <c r="AF442" i="4"/>
  <c r="AF432" i="4"/>
  <c r="AF579" i="4"/>
  <c r="AF559" i="4"/>
  <c r="AF509" i="4"/>
  <c r="AF507" i="4"/>
  <c r="AF532" i="4"/>
  <c r="AF502" i="4"/>
  <c r="AF499" i="4"/>
  <c r="AF486" i="4"/>
  <c r="AF476" i="4"/>
  <c r="AF466" i="4"/>
  <c r="AF456" i="4"/>
  <c r="AF446" i="4"/>
  <c r="AF436" i="4"/>
  <c r="AF426" i="4"/>
  <c r="AF529" i="4"/>
  <c r="AF459" i="4"/>
  <c r="AF408" i="4"/>
  <c r="AF453" i="4"/>
  <c r="AF479" i="4"/>
  <c r="AF416" i="4"/>
  <c r="AF473" i="4"/>
  <c r="AF425" i="4"/>
  <c r="AF424" i="4"/>
  <c r="AF413" i="4"/>
  <c r="AF405" i="4"/>
  <c r="AF449" i="4"/>
  <c r="AF419" i="4"/>
  <c r="AF403" i="4"/>
  <c r="AF493" i="4"/>
  <c r="AF443" i="4"/>
  <c r="AF418" i="4"/>
  <c r="AF415" i="4"/>
  <c r="AF469" i="4"/>
  <c r="AF423" i="4"/>
  <c r="AF412" i="4"/>
  <c r="AF463" i="4"/>
  <c r="AF409" i="4"/>
  <c r="AF495" i="4"/>
  <c r="AF489" i="4"/>
  <c r="AF439" i="4"/>
  <c r="AF422" i="4"/>
  <c r="AF414" i="4"/>
  <c r="AF406" i="4"/>
  <c r="AF404" i="4"/>
  <c r="AF483" i="4"/>
  <c r="AF433" i="4"/>
  <c r="AF429" i="4"/>
  <c r="AF421" i="4"/>
  <c r="AF411" i="4"/>
  <c r="AF402" i="4"/>
  <c r="E13" i="12"/>
  <c r="E7" i="6"/>
  <c r="E10" i="13"/>
  <c r="E8" i="11"/>
  <c r="E67" i="17"/>
  <c r="E55" i="15"/>
  <c r="E39" i="17"/>
  <c r="E34" i="15"/>
  <c r="E37" i="12"/>
  <c r="E16" i="8"/>
  <c r="E102" i="17"/>
  <c r="E17" i="16"/>
  <c r="E21" i="13"/>
  <c r="E8" i="7"/>
  <c r="G100" i="2"/>
  <c r="G149" i="2"/>
  <c r="E19" i="12"/>
  <c r="E13" i="6"/>
  <c r="E24" i="13"/>
  <c r="E11" i="7"/>
  <c r="G265" i="2"/>
  <c r="G335" i="2"/>
  <c r="E16" i="9" s="1"/>
  <c r="G297" i="2"/>
  <c r="G246" i="2"/>
  <c r="E116" i="17"/>
  <c r="E98" i="15"/>
  <c r="G190" i="2"/>
  <c r="G218" i="2"/>
  <c r="E140" i="17"/>
  <c r="E118" i="15"/>
  <c r="E121" i="15"/>
  <c r="T401" i="4"/>
  <c r="T397" i="4"/>
  <c r="T392" i="4"/>
  <c r="T387" i="4"/>
  <c r="T382" i="4"/>
  <c r="T377" i="4"/>
  <c r="T372" i="4"/>
  <c r="T367" i="4"/>
  <c r="T362" i="4"/>
  <c r="T357" i="4"/>
  <c r="T352" i="4"/>
  <c r="T347" i="4"/>
  <c r="T342" i="4"/>
  <c r="T395" i="4"/>
  <c r="T390" i="4"/>
  <c r="T385" i="4"/>
  <c r="T380" i="4"/>
  <c r="T375" i="4"/>
  <c r="T370" i="4"/>
  <c r="T365" i="4"/>
  <c r="T360" i="4"/>
  <c r="T355" i="4"/>
  <c r="T350" i="4"/>
  <c r="T345" i="4"/>
  <c r="T400" i="4"/>
  <c r="T398" i="4"/>
  <c r="T393" i="4"/>
  <c r="T388" i="4"/>
  <c r="T383" i="4"/>
  <c r="T378" i="4"/>
  <c r="T373" i="4"/>
  <c r="T368" i="4"/>
  <c r="T363" i="4"/>
  <c r="T358" i="4"/>
  <c r="T353" i="4"/>
  <c r="T348" i="4"/>
  <c r="T343" i="4"/>
  <c r="T396" i="4"/>
  <c r="T391" i="4"/>
  <c r="T399" i="4"/>
  <c r="T394" i="4"/>
  <c r="T389" i="4"/>
  <c r="T384" i="4"/>
  <c r="T379" i="4"/>
  <c r="T374" i="4"/>
  <c r="T369" i="4"/>
  <c r="T364" i="4"/>
  <c r="T359" i="4"/>
  <c r="T354" i="4"/>
  <c r="T349" i="4"/>
  <c r="T344" i="4"/>
  <c r="T330" i="4"/>
  <c r="T326" i="4"/>
  <c r="T321" i="4"/>
  <c r="T316" i="4"/>
  <c r="T311" i="4"/>
  <c r="T306" i="4"/>
  <c r="T301" i="4"/>
  <c r="T296" i="4"/>
  <c r="T291" i="4"/>
  <c r="T286" i="4"/>
  <c r="T281" i="4"/>
  <c r="T276" i="4"/>
  <c r="T271" i="4"/>
  <c r="T266" i="4"/>
  <c r="T261" i="4"/>
  <c r="T256" i="4"/>
  <c r="T251" i="4"/>
  <c r="T386" i="4"/>
  <c r="T376" i="4"/>
  <c r="T351" i="4"/>
  <c r="T332" i="4"/>
  <c r="T324" i="4"/>
  <c r="T319" i="4"/>
  <c r="T314" i="4"/>
  <c r="T309" i="4"/>
  <c r="T304" i="4"/>
  <c r="T299" i="4"/>
  <c r="T294" i="4"/>
  <c r="T289" i="4"/>
  <c r="T284" i="4"/>
  <c r="T279" i="4"/>
  <c r="T274" i="4"/>
  <c r="T269" i="4"/>
  <c r="T264" i="4"/>
  <c r="T259" i="4"/>
  <c r="T254" i="4"/>
  <c r="T366" i="4"/>
  <c r="T336" i="4"/>
  <c r="T335" i="4"/>
  <c r="T327" i="4"/>
  <c r="T322" i="4"/>
  <c r="T317" i="4"/>
  <c r="T312" i="4"/>
  <c r="T307" i="4"/>
  <c r="T302" i="4"/>
  <c r="T297" i="4"/>
  <c r="T292" i="4"/>
  <c r="T287" i="4"/>
  <c r="T282" i="4"/>
  <c r="T277" i="4"/>
  <c r="T272" i="4"/>
  <c r="T267" i="4"/>
  <c r="T262" i="4"/>
  <c r="T257" i="4"/>
  <c r="T252" i="4"/>
  <c r="T381" i="4"/>
  <c r="T356" i="4"/>
  <c r="T338" i="4"/>
  <c r="T337" i="4"/>
  <c r="T329" i="4"/>
  <c r="T341" i="4"/>
  <c r="T340" i="4"/>
  <c r="T339" i="4"/>
  <c r="T334" i="4"/>
  <c r="T331" i="4"/>
  <c r="T325" i="4"/>
  <c r="T320" i="4"/>
  <c r="T315" i="4"/>
  <c r="T310" i="4"/>
  <c r="T305" i="4"/>
  <c r="T300" i="4"/>
  <c r="T295" i="4"/>
  <c r="T290" i="4"/>
  <c r="T285" i="4"/>
  <c r="T280" i="4"/>
  <c r="T275" i="4"/>
  <c r="T270" i="4"/>
  <c r="T265" i="4"/>
  <c r="T260" i="4"/>
  <c r="T255" i="4"/>
  <c r="T371" i="4"/>
  <c r="T346" i="4"/>
  <c r="T333" i="4"/>
  <c r="T323" i="4"/>
  <c r="T318" i="4"/>
  <c r="T361" i="4"/>
  <c r="T328" i="4"/>
  <c r="T247" i="4"/>
  <c r="T246" i="4"/>
  <c r="T241" i="4"/>
  <c r="T298" i="4"/>
  <c r="T273" i="4"/>
  <c r="T248" i="4"/>
  <c r="T239" i="4"/>
  <c r="T234" i="4"/>
  <c r="T229" i="4"/>
  <c r="T224" i="4"/>
  <c r="T219" i="4"/>
  <c r="T214" i="4"/>
  <c r="T209" i="4"/>
  <c r="T204" i="4"/>
  <c r="T199" i="4"/>
  <c r="T194" i="4"/>
  <c r="T189" i="4"/>
  <c r="T184" i="4"/>
  <c r="T179" i="4"/>
  <c r="T174" i="4"/>
  <c r="T169" i="4"/>
  <c r="T164" i="4"/>
  <c r="T249" i="4"/>
  <c r="T313" i="4"/>
  <c r="T288" i="4"/>
  <c r="T263" i="4"/>
  <c r="T237" i="4"/>
  <c r="T232" i="4"/>
  <c r="T227" i="4"/>
  <c r="T222" i="4"/>
  <c r="T217" i="4"/>
  <c r="T212" i="4"/>
  <c r="T207" i="4"/>
  <c r="T202" i="4"/>
  <c r="T197" i="4"/>
  <c r="T192" i="4"/>
  <c r="T187" i="4"/>
  <c r="T182" i="4"/>
  <c r="T177" i="4"/>
  <c r="T172" i="4"/>
  <c r="T167" i="4"/>
  <c r="T303" i="4"/>
  <c r="T278" i="4"/>
  <c r="T250" i="4"/>
  <c r="T240" i="4"/>
  <c r="T235" i="4"/>
  <c r="T230" i="4"/>
  <c r="T225" i="4"/>
  <c r="T220" i="4"/>
  <c r="T215" i="4"/>
  <c r="T210" i="4"/>
  <c r="T205" i="4"/>
  <c r="T200" i="4"/>
  <c r="T195" i="4"/>
  <c r="T190" i="4"/>
  <c r="T185" i="4"/>
  <c r="T180" i="4"/>
  <c r="T175" i="4"/>
  <c r="T170" i="4"/>
  <c r="T293" i="4"/>
  <c r="T268" i="4"/>
  <c r="T238" i="4"/>
  <c r="T233" i="4"/>
  <c r="T228" i="4"/>
  <c r="T223" i="4"/>
  <c r="T218" i="4"/>
  <c r="T213" i="4"/>
  <c r="T208" i="4"/>
  <c r="T203" i="4"/>
  <c r="T198" i="4"/>
  <c r="T193" i="4"/>
  <c r="T188" i="4"/>
  <c r="T183" i="4"/>
  <c r="T178" i="4"/>
  <c r="T173" i="4"/>
  <c r="T253" i="4"/>
  <c r="T242" i="4"/>
  <c r="T308" i="4"/>
  <c r="T283" i="4"/>
  <c r="T258" i="4"/>
  <c r="T245" i="4"/>
  <c r="T244" i="4"/>
  <c r="T243" i="4"/>
  <c r="T236" i="4"/>
  <c r="T231" i="4"/>
  <c r="T211" i="4"/>
  <c r="T186" i="4"/>
  <c r="T160" i="4"/>
  <c r="T149" i="4"/>
  <c r="T140" i="4"/>
  <c r="T163" i="4"/>
  <c r="T162" i="4"/>
  <c r="T161" i="4"/>
  <c r="T159" i="4"/>
  <c r="T142" i="4"/>
  <c r="T134" i="4"/>
  <c r="T129" i="4"/>
  <c r="T124" i="4"/>
  <c r="T119" i="4"/>
  <c r="T114" i="4"/>
  <c r="T109" i="4"/>
  <c r="T104" i="4"/>
  <c r="T99" i="4"/>
  <c r="T94" i="4"/>
  <c r="T89" i="4"/>
  <c r="T84" i="4"/>
  <c r="T79" i="4"/>
  <c r="T74" i="4"/>
  <c r="T69" i="4"/>
  <c r="T64" i="4"/>
  <c r="T59" i="4"/>
  <c r="T201" i="4"/>
  <c r="T176" i="4"/>
  <c r="T158" i="4"/>
  <c r="T152" i="4"/>
  <c r="T144" i="4"/>
  <c r="T168" i="4"/>
  <c r="T157" i="4"/>
  <c r="T137" i="4"/>
  <c r="T132" i="4"/>
  <c r="T127" i="4"/>
  <c r="T122" i="4"/>
  <c r="T117" i="4"/>
  <c r="T112" i="4"/>
  <c r="T107" i="4"/>
  <c r="T102" i="4"/>
  <c r="T97" i="4"/>
  <c r="T92" i="4"/>
  <c r="T87" i="4"/>
  <c r="T82" i="4"/>
  <c r="T77" i="4"/>
  <c r="T72" i="4"/>
  <c r="T226" i="4"/>
  <c r="T216" i="4"/>
  <c r="T191" i="4"/>
  <c r="T165" i="4"/>
  <c r="T146" i="4"/>
  <c r="T139" i="4"/>
  <c r="T156" i="4"/>
  <c r="T155" i="4"/>
  <c r="T151" i="4"/>
  <c r="T148" i="4"/>
  <c r="T135" i="4"/>
  <c r="T130" i="4"/>
  <c r="T125" i="4"/>
  <c r="T120" i="4"/>
  <c r="T115" i="4"/>
  <c r="T110" i="4"/>
  <c r="T105" i="4"/>
  <c r="T100" i="4"/>
  <c r="T95" i="4"/>
  <c r="T90" i="4"/>
  <c r="T85" i="4"/>
  <c r="T80" i="4"/>
  <c r="T75" i="4"/>
  <c r="T206" i="4"/>
  <c r="T181" i="4"/>
  <c r="T141" i="4"/>
  <c r="T166" i="4"/>
  <c r="T154" i="4"/>
  <c r="T150" i="4"/>
  <c r="T143" i="4"/>
  <c r="T133" i="4"/>
  <c r="T128" i="4"/>
  <c r="T123" i="4"/>
  <c r="T118" i="4"/>
  <c r="T113" i="4"/>
  <c r="T108" i="4"/>
  <c r="T103" i="4"/>
  <c r="T98" i="4"/>
  <c r="T93" i="4"/>
  <c r="T88" i="4"/>
  <c r="T83" i="4"/>
  <c r="T78" i="4"/>
  <c r="T73" i="4"/>
  <c r="T68" i="4"/>
  <c r="T221" i="4"/>
  <c r="T196" i="4"/>
  <c r="T145" i="4"/>
  <c r="T171" i="4"/>
  <c r="T153" i="4"/>
  <c r="T147" i="4"/>
  <c r="T66" i="4"/>
  <c r="T61" i="4"/>
  <c r="T60" i="4"/>
  <c r="T52" i="4"/>
  <c r="T40" i="4"/>
  <c r="T35" i="4"/>
  <c r="T30" i="4"/>
  <c r="T25" i="4"/>
  <c r="T20" i="4"/>
  <c r="T15" i="4"/>
  <c r="T10" i="4"/>
  <c r="T5" i="4"/>
  <c r="T126" i="4"/>
  <c r="T101" i="4"/>
  <c r="T76" i="4"/>
  <c r="T71" i="4"/>
  <c r="T67" i="4"/>
  <c r="T54" i="4"/>
  <c r="T45" i="4"/>
  <c r="T47" i="4"/>
  <c r="T43" i="4"/>
  <c r="T38" i="4"/>
  <c r="T33" i="4"/>
  <c r="T28" i="4"/>
  <c r="T23" i="4"/>
  <c r="T18" i="4"/>
  <c r="T13" i="4"/>
  <c r="T8" i="4"/>
  <c r="T3" i="4"/>
  <c r="T138" i="4"/>
  <c r="T116" i="4"/>
  <c r="T91" i="4"/>
  <c r="T56" i="4"/>
  <c r="T49" i="4"/>
  <c r="T41" i="4"/>
  <c r="T36" i="4"/>
  <c r="T31" i="4"/>
  <c r="T26" i="4"/>
  <c r="T21" i="4"/>
  <c r="T16" i="4"/>
  <c r="T11" i="4"/>
  <c r="T6" i="4"/>
  <c r="T131" i="4"/>
  <c r="T106" i="4"/>
  <c r="T81" i="4"/>
  <c r="T51" i="4"/>
  <c r="T58" i="4"/>
  <c r="T53" i="4"/>
  <c r="T44" i="4"/>
  <c r="T39" i="4"/>
  <c r="T34" i="4"/>
  <c r="T29" i="4"/>
  <c r="T24" i="4"/>
  <c r="T19" i="4"/>
  <c r="T14" i="4"/>
  <c r="T9" i="4"/>
  <c r="T4" i="4"/>
  <c r="T121" i="4"/>
  <c r="T96" i="4"/>
  <c r="T70" i="4"/>
  <c r="T62" i="4"/>
  <c r="T55" i="4"/>
  <c r="T46" i="4"/>
  <c r="T65" i="4"/>
  <c r="T63" i="4"/>
  <c r="T57" i="4"/>
  <c r="T48" i="4"/>
  <c r="T42" i="4"/>
  <c r="T37" i="4"/>
  <c r="T32" i="4"/>
  <c r="T27" i="4"/>
  <c r="T22" i="4"/>
  <c r="T17" i="4"/>
  <c r="T12" i="4"/>
  <c r="T7" i="4"/>
  <c r="T2" i="4"/>
  <c r="T136" i="4"/>
  <c r="T111" i="4"/>
  <c r="T86" i="4"/>
  <c r="T50" i="4"/>
  <c r="L400" i="4"/>
  <c r="L395" i="4"/>
  <c r="L390" i="4"/>
  <c r="L385" i="4"/>
  <c r="L380" i="4"/>
  <c r="L375" i="4"/>
  <c r="L370" i="4"/>
  <c r="L365" i="4"/>
  <c r="L360" i="4"/>
  <c r="L355" i="4"/>
  <c r="L350" i="4"/>
  <c r="L345" i="4"/>
  <c r="L398" i="4"/>
  <c r="L393" i="4"/>
  <c r="L388" i="4"/>
  <c r="L383" i="4"/>
  <c r="L378" i="4"/>
  <c r="L373" i="4"/>
  <c r="L368" i="4"/>
  <c r="L363" i="4"/>
  <c r="L358" i="4"/>
  <c r="L353" i="4"/>
  <c r="L348" i="4"/>
  <c r="L343" i="4"/>
  <c r="L396" i="4"/>
  <c r="L391" i="4"/>
  <c r="L386" i="4"/>
  <c r="L381" i="4"/>
  <c r="L376" i="4"/>
  <c r="L371" i="4"/>
  <c r="L366" i="4"/>
  <c r="L361" i="4"/>
  <c r="L356" i="4"/>
  <c r="L351" i="4"/>
  <c r="L346" i="4"/>
  <c r="L401" i="4"/>
  <c r="L399" i="4"/>
  <c r="L394" i="4"/>
  <c r="L389" i="4"/>
  <c r="L397" i="4"/>
  <c r="L392" i="4"/>
  <c r="L387" i="4"/>
  <c r="L382" i="4"/>
  <c r="L377" i="4"/>
  <c r="L372" i="4"/>
  <c r="L367" i="4"/>
  <c r="L362" i="4"/>
  <c r="L357" i="4"/>
  <c r="L352" i="4"/>
  <c r="L347" i="4"/>
  <c r="L342" i="4"/>
  <c r="L339" i="4"/>
  <c r="L338" i="4"/>
  <c r="L337" i="4"/>
  <c r="L335" i="4"/>
  <c r="L324" i="4"/>
  <c r="L319" i="4"/>
  <c r="L314" i="4"/>
  <c r="L309" i="4"/>
  <c r="L304" i="4"/>
  <c r="L299" i="4"/>
  <c r="L294" i="4"/>
  <c r="L289" i="4"/>
  <c r="L284" i="4"/>
  <c r="L279" i="4"/>
  <c r="L274" i="4"/>
  <c r="L269" i="4"/>
  <c r="L264" i="4"/>
  <c r="L259" i="4"/>
  <c r="L254" i="4"/>
  <c r="L364" i="4"/>
  <c r="L341" i="4"/>
  <c r="L340" i="4"/>
  <c r="L334" i="4"/>
  <c r="L329" i="4"/>
  <c r="L327" i="4"/>
  <c r="L322" i="4"/>
  <c r="L317" i="4"/>
  <c r="L312" i="4"/>
  <c r="L307" i="4"/>
  <c r="L302" i="4"/>
  <c r="L297" i="4"/>
  <c r="L292" i="4"/>
  <c r="L287" i="4"/>
  <c r="L282" i="4"/>
  <c r="L277" i="4"/>
  <c r="L272" i="4"/>
  <c r="L267" i="4"/>
  <c r="L262" i="4"/>
  <c r="L257" i="4"/>
  <c r="L379" i="4"/>
  <c r="L354" i="4"/>
  <c r="L331" i="4"/>
  <c r="L325" i="4"/>
  <c r="L320" i="4"/>
  <c r="L315" i="4"/>
  <c r="L310" i="4"/>
  <c r="L305" i="4"/>
  <c r="L300" i="4"/>
  <c r="L295" i="4"/>
  <c r="L290" i="4"/>
  <c r="L285" i="4"/>
  <c r="L280" i="4"/>
  <c r="L275" i="4"/>
  <c r="L270" i="4"/>
  <c r="L265" i="4"/>
  <c r="L260" i="4"/>
  <c r="L255" i="4"/>
  <c r="L250" i="4"/>
  <c r="L369" i="4"/>
  <c r="L344" i="4"/>
  <c r="L333" i="4"/>
  <c r="L328" i="4"/>
  <c r="L323" i="4"/>
  <c r="L318" i="4"/>
  <c r="L313" i="4"/>
  <c r="L308" i="4"/>
  <c r="L303" i="4"/>
  <c r="L298" i="4"/>
  <c r="L293" i="4"/>
  <c r="L288" i="4"/>
  <c r="L283" i="4"/>
  <c r="L278" i="4"/>
  <c r="L273" i="4"/>
  <c r="L268" i="4"/>
  <c r="L263" i="4"/>
  <c r="L258" i="4"/>
  <c r="L384" i="4"/>
  <c r="L359" i="4"/>
  <c r="L330" i="4"/>
  <c r="L326" i="4"/>
  <c r="L321" i="4"/>
  <c r="L316" i="4"/>
  <c r="L374" i="4"/>
  <c r="L349" i="4"/>
  <c r="L336" i="4"/>
  <c r="L332" i="4"/>
  <c r="L311" i="4"/>
  <c r="L286" i="4"/>
  <c r="L261" i="4"/>
  <c r="L237" i="4"/>
  <c r="L232" i="4"/>
  <c r="L227" i="4"/>
  <c r="L222" i="4"/>
  <c r="L217" i="4"/>
  <c r="L212" i="4"/>
  <c r="L207" i="4"/>
  <c r="L202" i="4"/>
  <c r="L197" i="4"/>
  <c r="L192" i="4"/>
  <c r="L187" i="4"/>
  <c r="L182" i="4"/>
  <c r="L177" i="4"/>
  <c r="L172" i="4"/>
  <c r="L167" i="4"/>
  <c r="L301" i="4"/>
  <c r="L276" i="4"/>
  <c r="L251" i="4"/>
  <c r="L243" i="4"/>
  <c r="L242" i="4"/>
  <c r="L240" i="4"/>
  <c r="L235" i="4"/>
  <c r="L230" i="4"/>
  <c r="L225" i="4"/>
  <c r="L220" i="4"/>
  <c r="L215" i="4"/>
  <c r="L210" i="4"/>
  <c r="L205" i="4"/>
  <c r="L200" i="4"/>
  <c r="L195" i="4"/>
  <c r="L190" i="4"/>
  <c r="L185" i="4"/>
  <c r="L180" i="4"/>
  <c r="L175" i="4"/>
  <c r="L170" i="4"/>
  <c r="L245" i="4"/>
  <c r="L244" i="4"/>
  <c r="L291" i="4"/>
  <c r="L266" i="4"/>
  <c r="L248" i="4"/>
  <c r="L247" i="4"/>
  <c r="L246" i="4"/>
  <c r="L238" i="4"/>
  <c r="L233" i="4"/>
  <c r="L228" i="4"/>
  <c r="L223" i="4"/>
  <c r="L218" i="4"/>
  <c r="L213" i="4"/>
  <c r="L208" i="4"/>
  <c r="L203" i="4"/>
  <c r="L198" i="4"/>
  <c r="L193" i="4"/>
  <c r="L188" i="4"/>
  <c r="L183" i="4"/>
  <c r="L178" i="4"/>
  <c r="L173" i="4"/>
  <c r="L252" i="4"/>
  <c r="L249" i="4"/>
  <c r="L306" i="4"/>
  <c r="L281" i="4"/>
  <c r="L256" i="4"/>
  <c r="L241" i="4"/>
  <c r="L236" i="4"/>
  <c r="L231" i="4"/>
  <c r="L226" i="4"/>
  <c r="L221" i="4"/>
  <c r="L216" i="4"/>
  <c r="L211" i="4"/>
  <c r="L206" i="4"/>
  <c r="L201" i="4"/>
  <c r="L196" i="4"/>
  <c r="L191" i="4"/>
  <c r="L186" i="4"/>
  <c r="L181" i="4"/>
  <c r="L176" i="4"/>
  <c r="L296" i="4"/>
  <c r="L271" i="4"/>
  <c r="L253" i="4"/>
  <c r="L239" i="4"/>
  <c r="L234" i="4"/>
  <c r="L229" i="4"/>
  <c r="L224" i="4"/>
  <c r="L199" i="4"/>
  <c r="L174" i="4"/>
  <c r="L171" i="4"/>
  <c r="L166" i="4"/>
  <c r="L156" i="4"/>
  <c r="L144" i="4"/>
  <c r="L169" i="4"/>
  <c r="L155" i="4"/>
  <c r="L151" i="4"/>
  <c r="L146" i="4"/>
  <c r="L137" i="4"/>
  <c r="L132" i="4"/>
  <c r="L127" i="4"/>
  <c r="L122" i="4"/>
  <c r="L117" i="4"/>
  <c r="L112" i="4"/>
  <c r="L107" i="4"/>
  <c r="L102" i="4"/>
  <c r="L97" i="4"/>
  <c r="L92" i="4"/>
  <c r="L87" i="4"/>
  <c r="L82" i="4"/>
  <c r="L77" i="4"/>
  <c r="L72" i="4"/>
  <c r="L67" i="4"/>
  <c r="L62" i="4"/>
  <c r="L214" i="4"/>
  <c r="L189" i="4"/>
  <c r="L148" i="4"/>
  <c r="L139" i="4"/>
  <c r="L154" i="4"/>
  <c r="L141" i="4"/>
  <c r="L135" i="4"/>
  <c r="L130" i="4"/>
  <c r="L125" i="4"/>
  <c r="L120" i="4"/>
  <c r="L115" i="4"/>
  <c r="L110" i="4"/>
  <c r="L105" i="4"/>
  <c r="L100" i="4"/>
  <c r="L95" i="4"/>
  <c r="L90" i="4"/>
  <c r="L85" i="4"/>
  <c r="L80" i="4"/>
  <c r="L75" i="4"/>
  <c r="L204" i="4"/>
  <c r="L179" i="4"/>
  <c r="L150" i="4"/>
  <c r="L143" i="4"/>
  <c r="L161" i="4"/>
  <c r="L160" i="4"/>
  <c r="L153" i="4"/>
  <c r="L145" i="4"/>
  <c r="L133" i="4"/>
  <c r="L128" i="4"/>
  <c r="L123" i="4"/>
  <c r="L118" i="4"/>
  <c r="L113" i="4"/>
  <c r="L108" i="4"/>
  <c r="L103" i="4"/>
  <c r="L98" i="4"/>
  <c r="L93" i="4"/>
  <c r="L88" i="4"/>
  <c r="L83" i="4"/>
  <c r="L78" i="4"/>
  <c r="L219" i="4"/>
  <c r="L194" i="4"/>
  <c r="L168" i="4"/>
  <c r="L163" i="4"/>
  <c r="L162" i="4"/>
  <c r="L147" i="4"/>
  <c r="L138" i="4"/>
  <c r="L164" i="4"/>
  <c r="L159" i="4"/>
  <c r="L158" i="4"/>
  <c r="L140" i="4"/>
  <c r="L136" i="4"/>
  <c r="L131" i="4"/>
  <c r="L126" i="4"/>
  <c r="L121" i="4"/>
  <c r="L116" i="4"/>
  <c r="L111" i="4"/>
  <c r="L106" i="4"/>
  <c r="L101" i="4"/>
  <c r="L96" i="4"/>
  <c r="L91" i="4"/>
  <c r="L86" i="4"/>
  <c r="L81" i="4"/>
  <c r="L76" i="4"/>
  <c r="L71" i="4"/>
  <c r="L209" i="4"/>
  <c r="L184" i="4"/>
  <c r="L165" i="4"/>
  <c r="L152" i="4"/>
  <c r="L149" i="4"/>
  <c r="L142" i="4"/>
  <c r="L157" i="4"/>
  <c r="L69" i="4"/>
  <c r="L59" i="4"/>
  <c r="L56" i="4"/>
  <c r="L43" i="4"/>
  <c r="L38" i="4"/>
  <c r="L33" i="4"/>
  <c r="L28" i="4"/>
  <c r="L23" i="4"/>
  <c r="L18" i="4"/>
  <c r="L13" i="4"/>
  <c r="L8" i="4"/>
  <c r="L3" i="4"/>
  <c r="L114" i="4"/>
  <c r="L89" i="4"/>
  <c r="L70" i="4"/>
  <c r="L49" i="4"/>
  <c r="L73" i="4"/>
  <c r="L63" i="4"/>
  <c r="L58" i="4"/>
  <c r="L51" i="4"/>
  <c r="L41" i="4"/>
  <c r="L36" i="4"/>
  <c r="L31" i="4"/>
  <c r="L26" i="4"/>
  <c r="L21" i="4"/>
  <c r="L16" i="4"/>
  <c r="L11" i="4"/>
  <c r="L6" i="4"/>
  <c r="L129" i="4"/>
  <c r="L104" i="4"/>
  <c r="L79" i="4"/>
  <c r="L65" i="4"/>
  <c r="L53" i="4"/>
  <c r="L66" i="4"/>
  <c r="L64" i="4"/>
  <c r="L55" i="4"/>
  <c r="L46" i="4"/>
  <c r="L44" i="4"/>
  <c r="L39" i="4"/>
  <c r="L34" i="4"/>
  <c r="L29" i="4"/>
  <c r="L24" i="4"/>
  <c r="L19" i="4"/>
  <c r="L14" i="4"/>
  <c r="L9" i="4"/>
  <c r="L4" i="4"/>
  <c r="L119" i="4"/>
  <c r="L94" i="4"/>
  <c r="L61" i="4"/>
  <c r="L57" i="4"/>
  <c r="L48" i="4"/>
  <c r="L60" i="4"/>
  <c r="L50" i="4"/>
  <c r="L42" i="4"/>
  <c r="L37" i="4"/>
  <c r="L32" i="4"/>
  <c r="L27" i="4"/>
  <c r="L22" i="4"/>
  <c r="L17" i="4"/>
  <c r="L12" i="4"/>
  <c r="L7" i="4"/>
  <c r="L2" i="4"/>
  <c r="L134" i="4"/>
  <c r="L109" i="4"/>
  <c r="L84" i="4"/>
  <c r="L68" i="4"/>
  <c r="L52" i="4"/>
  <c r="L45" i="4"/>
  <c r="L40" i="4"/>
  <c r="L35" i="4"/>
  <c r="L30" i="4"/>
  <c r="L25" i="4"/>
  <c r="L20" i="4"/>
  <c r="L15" i="4"/>
  <c r="L10" i="4"/>
  <c r="L5" i="4"/>
  <c r="L124" i="4"/>
  <c r="L99" i="4"/>
  <c r="L74" i="4"/>
  <c r="L54" i="4"/>
  <c r="L47" i="4"/>
  <c r="G166" i="2"/>
  <c r="W649" i="4"/>
  <c r="W639" i="4"/>
  <c r="W646" i="4"/>
  <c r="W643" i="4"/>
  <c r="W650" i="4"/>
  <c r="W647" i="4"/>
  <c r="W648" i="4"/>
  <c r="W641" i="4"/>
  <c r="W635" i="4"/>
  <c r="W625" i="4"/>
  <c r="W615" i="4"/>
  <c r="W605" i="4"/>
  <c r="W595" i="4"/>
  <c r="W651" i="4"/>
  <c r="W645" i="4"/>
  <c r="W638" i="4"/>
  <c r="W632" i="4"/>
  <c r="W622" i="4"/>
  <c r="W612" i="4"/>
  <c r="W602" i="4"/>
  <c r="W592" i="4"/>
  <c r="W640" i="4"/>
  <c r="W629" i="4"/>
  <c r="W619" i="4"/>
  <c r="W609" i="4"/>
  <c r="W599" i="4"/>
  <c r="W636" i="4"/>
  <c r="W626" i="4"/>
  <c r="W616" i="4"/>
  <c r="W606" i="4"/>
  <c r="W596" i="4"/>
  <c r="W633" i="4"/>
  <c r="W623" i="4"/>
  <c r="W613" i="4"/>
  <c r="W603" i="4"/>
  <c r="W593" i="4"/>
  <c r="W630" i="4"/>
  <c r="W620" i="4"/>
  <c r="W610" i="4"/>
  <c r="W600" i="4"/>
  <c r="W644" i="4"/>
  <c r="W637" i="4"/>
  <c r="W627" i="4"/>
  <c r="W617" i="4"/>
  <c r="W607" i="4"/>
  <c r="W597" i="4"/>
  <c r="W634" i="4"/>
  <c r="W631" i="4"/>
  <c r="W621" i="4"/>
  <c r="W611" i="4"/>
  <c r="W601" i="4"/>
  <c r="W591" i="4"/>
  <c r="W642" i="4"/>
  <c r="W624" i="4"/>
  <c r="W589" i="4"/>
  <c r="W580" i="4"/>
  <c r="W570" i="4"/>
  <c r="W560" i="4"/>
  <c r="W550" i="4"/>
  <c r="W540" i="4"/>
  <c r="W530" i="4"/>
  <c r="W520" i="4"/>
  <c r="W510" i="4"/>
  <c r="W500" i="4"/>
  <c r="W618" i="4"/>
  <c r="W587" i="4"/>
  <c r="W577" i="4"/>
  <c r="W567" i="4"/>
  <c r="W557" i="4"/>
  <c r="W547" i="4"/>
  <c r="W537" i="4"/>
  <c r="W527" i="4"/>
  <c r="W517" i="4"/>
  <c r="W507" i="4"/>
  <c r="W594" i="4"/>
  <c r="W584" i="4"/>
  <c r="W574" i="4"/>
  <c r="W564" i="4"/>
  <c r="W554" i="4"/>
  <c r="W544" i="4"/>
  <c r="W534" i="4"/>
  <c r="W524" i="4"/>
  <c r="W514" i="4"/>
  <c r="W581" i="4"/>
  <c r="W571" i="4"/>
  <c r="W561" i="4"/>
  <c r="W551" i="4"/>
  <c r="W541" i="4"/>
  <c r="W531" i="4"/>
  <c r="W521" i="4"/>
  <c r="W511" i="4"/>
  <c r="W614" i="4"/>
  <c r="W578" i="4"/>
  <c r="W568" i="4"/>
  <c r="W558" i="4"/>
  <c r="W548" i="4"/>
  <c r="W538" i="4"/>
  <c r="W528" i="4"/>
  <c r="W518" i="4"/>
  <c r="W508" i="4"/>
  <c r="W608" i="4"/>
  <c r="W585" i="4"/>
  <c r="W575" i="4"/>
  <c r="W565" i="4"/>
  <c r="W555" i="4"/>
  <c r="W545" i="4"/>
  <c r="W535" i="4"/>
  <c r="W525" i="4"/>
  <c r="W515" i="4"/>
  <c r="W588" i="4"/>
  <c r="W582" i="4"/>
  <c r="W572" i="4"/>
  <c r="W562" i="4"/>
  <c r="W552" i="4"/>
  <c r="W542" i="4"/>
  <c r="W532" i="4"/>
  <c r="W522" i="4"/>
  <c r="W512" i="4"/>
  <c r="W628" i="4"/>
  <c r="W579" i="4"/>
  <c r="W569" i="4"/>
  <c r="W604" i="4"/>
  <c r="W598" i="4"/>
  <c r="W590" i="4"/>
  <c r="W583" i="4"/>
  <c r="W573" i="4"/>
  <c r="W563" i="4"/>
  <c r="W553" i="4"/>
  <c r="W543" i="4"/>
  <c r="W533" i="4"/>
  <c r="W523" i="4"/>
  <c r="W513" i="4"/>
  <c r="W503" i="4"/>
  <c r="W529" i="4"/>
  <c r="W496" i="4"/>
  <c r="W487" i="4"/>
  <c r="W477" i="4"/>
  <c r="W467" i="4"/>
  <c r="W457" i="4"/>
  <c r="W447" i="4"/>
  <c r="W437" i="4"/>
  <c r="W427" i="4"/>
  <c r="W417" i="4"/>
  <c r="W407" i="4"/>
  <c r="W526" i="4"/>
  <c r="W494" i="4"/>
  <c r="W484" i="4"/>
  <c r="W474" i="4"/>
  <c r="W464" i="4"/>
  <c r="W454" i="4"/>
  <c r="W444" i="4"/>
  <c r="W434" i="4"/>
  <c r="W424" i="4"/>
  <c r="W414" i="4"/>
  <c r="W549" i="4"/>
  <c r="W491" i="4"/>
  <c r="W481" i="4"/>
  <c r="W471" i="4"/>
  <c r="W461" i="4"/>
  <c r="W451" i="4"/>
  <c r="W441" i="4"/>
  <c r="W576" i="4"/>
  <c r="W546" i="4"/>
  <c r="W504" i="4"/>
  <c r="W488" i="4"/>
  <c r="W478" i="4"/>
  <c r="W468" i="4"/>
  <c r="W458" i="4"/>
  <c r="W448" i="4"/>
  <c r="W438" i="4"/>
  <c r="W428" i="4"/>
  <c r="W519" i="4"/>
  <c r="W505" i="4"/>
  <c r="W502" i="4"/>
  <c r="W497" i="4"/>
  <c r="W485" i="4"/>
  <c r="W475" i="4"/>
  <c r="W465" i="4"/>
  <c r="W455" i="4"/>
  <c r="W445" i="4"/>
  <c r="W435" i="4"/>
  <c r="W425" i="4"/>
  <c r="W566" i="4"/>
  <c r="W516" i="4"/>
  <c r="W499" i="4"/>
  <c r="W495" i="4"/>
  <c r="W492" i="4"/>
  <c r="W482" i="4"/>
  <c r="W472" i="4"/>
  <c r="W462" i="4"/>
  <c r="W452" i="4"/>
  <c r="W442" i="4"/>
  <c r="W432" i="4"/>
  <c r="W586" i="4"/>
  <c r="W539" i="4"/>
  <c r="W489" i="4"/>
  <c r="W479" i="4"/>
  <c r="W469" i="4"/>
  <c r="W459" i="4"/>
  <c r="W449" i="4"/>
  <c r="W439" i="4"/>
  <c r="W536" i="4"/>
  <c r="W501" i="4"/>
  <c r="W559" i="4"/>
  <c r="W509" i="4"/>
  <c r="W506" i="4"/>
  <c r="W493" i="4"/>
  <c r="W483" i="4"/>
  <c r="W473" i="4"/>
  <c r="W463" i="4"/>
  <c r="W453" i="4"/>
  <c r="W443" i="4"/>
  <c r="W433" i="4"/>
  <c r="W423" i="4"/>
  <c r="W556" i="4"/>
  <c r="W486" i="4"/>
  <c r="W436" i="4"/>
  <c r="W419" i="4"/>
  <c r="W413" i="4"/>
  <c r="W480" i="4"/>
  <c r="W418" i="4"/>
  <c r="W410" i="4"/>
  <c r="W405" i="4"/>
  <c r="W498" i="4"/>
  <c r="W456" i="4"/>
  <c r="W415" i="4"/>
  <c r="W403" i="4"/>
  <c r="W450" i="4"/>
  <c r="W429" i="4"/>
  <c r="W412" i="4"/>
  <c r="W476" i="4"/>
  <c r="W422" i="4"/>
  <c r="W409" i="4"/>
  <c r="W470" i="4"/>
  <c r="W430" i="4"/>
  <c r="W421" i="4"/>
  <c r="W446" i="4"/>
  <c r="W411" i="4"/>
  <c r="W406" i="4"/>
  <c r="W404" i="4"/>
  <c r="W490" i="4"/>
  <c r="W440" i="4"/>
  <c r="W408" i="4"/>
  <c r="W402" i="4"/>
  <c r="W466" i="4"/>
  <c r="W431" i="4"/>
  <c r="W420" i="4"/>
  <c r="W460" i="4"/>
  <c r="W426" i="4"/>
  <c r="W416" i="4"/>
  <c r="AG649" i="4"/>
  <c r="AG639" i="4"/>
  <c r="AG646" i="4"/>
  <c r="AG643" i="4"/>
  <c r="AG650" i="4"/>
  <c r="AG647" i="4"/>
  <c r="AG644" i="4"/>
  <c r="AG651" i="4"/>
  <c r="AG635" i="4"/>
  <c r="AG625" i="4"/>
  <c r="AG615" i="4"/>
  <c r="AG605" i="4"/>
  <c r="AG595" i="4"/>
  <c r="AG632" i="4"/>
  <c r="AG622" i="4"/>
  <c r="AG612" i="4"/>
  <c r="AG602" i="4"/>
  <c r="AG592" i="4"/>
  <c r="AG642" i="4"/>
  <c r="AG638" i="4"/>
  <c r="AG629" i="4"/>
  <c r="AG619" i="4"/>
  <c r="AG609" i="4"/>
  <c r="AG599" i="4"/>
  <c r="AG641" i="4"/>
  <c r="AG636" i="4"/>
  <c r="AG626" i="4"/>
  <c r="AG616" i="4"/>
  <c r="AG606" i="4"/>
  <c r="AG596" i="4"/>
  <c r="AG640" i="4"/>
  <c r="AG633" i="4"/>
  <c r="AG623" i="4"/>
  <c r="AG613" i="4"/>
  <c r="AG603" i="4"/>
  <c r="AG593" i="4"/>
  <c r="AG630" i="4"/>
  <c r="AG620" i="4"/>
  <c r="AG610" i="4"/>
  <c r="AG600" i="4"/>
  <c r="AG627" i="4"/>
  <c r="AG617" i="4"/>
  <c r="AG607" i="4"/>
  <c r="AG597" i="4"/>
  <c r="AG637" i="4"/>
  <c r="AG634" i="4"/>
  <c r="AG648" i="4"/>
  <c r="AG631" i="4"/>
  <c r="AG621" i="4"/>
  <c r="AG611" i="4"/>
  <c r="AG601" i="4"/>
  <c r="AG591" i="4"/>
  <c r="AG645" i="4"/>
  <c r="AG594" i="4"/>
  <c r="AG580" i="4"/>
  <c r="AG570" i="4"/>
  <c r="AG560" i="4"/>
  <c r="AG550" i="4"/>
  <c r="AG540" i="4"/>
  <c r="AG530" i="4"/>
  <c r="AG520" i="4"/>
  <c r="AG510" i="4"/>
  <c r="AG500" i="4"/>
  <c r="AG577" i="4"/>
  <c r="AG567" i="4"/>
  <c r="AG557" i="4"/>
  <c r="AG547" i="4"/>
  <c r="AG537" i="4"/>
  <c r="AG527" i="4"/>
  <c r="AG517" i="4"/>
  <c r="AG507" i="4"/>
  <c r="AG614" i="4"/>
  <c r="AG587" i="4"/>
  <c r="AG584" i="4"/>
  <c r="AG574" i="4"/>
  <c r="AG564" i="4"/>
  <c r="AG554" i="4"/>
  <c r="AG544" i="4"/>
  <c r="AG534" i="4"/>
  <c r="AG524" i="4"/>
  <c r="AG514" i="4"/>
  <c r="AG608" i="4"/>
  <c r="AG590" i="4"/>
  <c r="AG589" i="4"/>
  <c r="AG581" i="4"/>
  <c r="AG571" i="4"/>
  <c r="AG561" i="4"/>
  <c r="AG551" i="4"/>
  <c r="AG541" i="4"/>
  <c r="AG531" i="4"/>
  <c r="AG521" i="4"/>
  <c r="AG511" i="4"/>
  <c r="AG578" i="4"/>
  <c r="AG568" i="4"/>
  <c r="AG558" i="4"/>
  <c r="AG548" i="4"/>
  <c r="AG538" i="4"/>
  <c r="AG528" i="4"/>
  <c r="AG518" i="4"/>
  <c r="AG508" i="4"/>
  <c r="AG628" i="4"/>
  <c r="AG585" i="4"/>
  <c r="AG575" i="4"/>
  <c r="AG565" i="4"/>
  <c r="AG555" i="4"/>
  <c r="AG545" i="4"/>
  <c r="AG535" i="4"/>
  <c r="AG525" i="4"/>
  <c r="AG515" i="4"/>
  <c r="AG505" i="4"/>
  <c r="AG604" i="4"/>
  <c r="AG582" i="4"/>
  <c r="AG572" i="4"/>
  <c r="AG562" i="4"/>
  <c r="AG552" i="4"/>
  <c r="AG542" i="4"/>
  <c r="AG532" i="4"/>
  <c r="AG522" i="4"/>
  <c r="AG512" i="4"/>
  <c r="AG598" i="4"/>
  <c r="AG588" i="4"/>
  <c r="AG579" i="4"/>
  <c r="AG569" i="4"/>
  <c r="AG624" i="4"/>
  <c r="AG618" i="4"/>
  <c r="AG583" i="4"/>
  <c r="AG573" i="4"/>
  <c r="AG563" i="4"/>
  <c r="AG553" i="4"/>
  <c r="AG543" i="4"/>
  <c r="AG533" i="4"/>
  <c r="AG523" i="4"/>
  <c r="AG513" i="4"/>
  <c r="AG503" i="4"/>
  <c r="AG549" i="4"/>
  <c r="AG498" i="4"/>
  <c r="AG487" i="4"/>
  <c r="AG477" i="4"/>
  <c r="AG467" i="4"/>
  <c r="AG457" i="4"/>
  <c r="AG447" i="4"/>
  <c r="AG437" i="4"/>
  <c r="AG427" i="4"/>
  <c r="AG417" i="4"/>
  <c r="AG407" i="4"/>
  <c r="AG546" i="4"/>
  <c r="AG496" i="4"/>
  <c r="AG494" i="4"/>
  <c r="AG484" i="4"/>
  <c r="AG474" i="4"/>
  <c r="AG464" i="4"/>
  <c r="AG454" i="4"/>
  <c r="AG444" i="4"/>
  <c r="AG434" i="4"/>
  <c r="AG424" i="4"/>
  <c r="AG414" i="4"/>
  <c r="AG576" i="4"/>
  <c r="AG519" i="4"/>
  <c r="AG491" i="4"/>
  <c r="AG481" i="4"/>
  <c r="AG471" i="4"/>
  <c r="AG461" i="4"/>
  <c r="AG451" i="4"/>
  <c r="AG441" i="4"/>
  <c r="AG431" i="4"/>
  <c r="AG566" i="4"/>
  <c r="AG516" i="4"/>
  <c r="AG488" i="4"/>
  <c r="AG478" i="4"/>
  <c r="AG468" i="4"/>
  <c r="AG458" i="4"/>
  <c r="AG448" i="4"/>
  <c r="AG438" i="4"/>
  <c r="AG428" i="4"/>
  <c r="AG539" i="4"/>
  <c r="AG506" i="4"/>
  <c r="AG485" i="4"/>
  <c r="AG475" i="4"/>
  <c r="AG465" i="4"/>
  <c r="AG455" i="4"/>
  <c r="AG445" i="4"/>
  <c r="AG435" i="4"/>
  <c r="AG425" i="4"/>
  <c r="AG586" i="4"/>
  <c r="AG536" i="4"/>
  <c r="AG497" i="4"/>
  <c r="AG492" i="4"/>
  <c r="AG482" i="4"/>
  <c r="AG472" i="4"/>
  <c r="AG462" i="4"/>
  <c r="AG452" i="4"/>
  <c r="AG442" i="4"/>
  <c r="AG432" i="4"/>
  <c r="AG559" i="4"/>
  <c r="AG509" i="4"/>
  <c r="AG495" i="4"/>
  <c r="AG489" i="4"/>
  <c r="AG479" i="4"/>
  <c r="AG469" i="4"/>
  <c r="AG459" i="4"/>
  <c r="AG449" i="4"/>
  <c r="AG439" i="4"/>
  <c r="AG556" i="4"/>
  <c r="AG502" i="4"/>
  <c r="AG499" i="4"/>
  <c r="AG529" i="4"/>
  <c r="AG504" i="4"/>
  <c r="AG493" i="4"/>
  <c r="AG483" i="4"/>
  <c r="AG473" i="4"/>
  <c r="AG463" i="4"/>
  <c r="AG453" i="4"/>
  <c r="AG443" i="4"/>
  <c r="AG433" i="4"/>
  <c r="AG423" i="4"/>
  <c r="AG526" i="4"/>
  <c r="AG456" i="4"/>
  <c r="AG430" i="4"/>
  <c r="AG450" i="4"/>
  <c r="AG420" i="4"/>
  <c r="AG416" i="4"/>
  <c r="AG476" i="4"/>
  <c r="AG413" i="4"/>
  <c r="AG405" i="4"/>
  <c r="AG470" i="4"/>
  <c r="AG419" i="4"/>
  <c r="AG410" i="4"/>
  <c r="AG403" i="4"/>
  <c r="AG446" i="4"/>
  <c r="AG426" i="4"/>
  <c r="AG418" i="4"/>
  <c r="AG415" i="4"/>
  <c r="AG490" i="4"/>
  <c r="AG440" i="4"/>
  <c r="AG412" i="4"/>
  <c r="AG466" i="4"/>
  <c r="AG409" i="4"/>
  <c r="AG501" i="4"/>
  <c r="AG460" i="4"/>
  <c r="AG422" i="4"/>
  <c r="AG406" i="4"/>
  <c r="AG404" i="4"/>
  <c r="AG486" i="4"/>
  <c r="AG436" i="4"/>
  <c r="AG429" i="4"/>
  <c r="AG421" i="4"/>
  <c r="AG411" i="4"/>
  <c r="AG402" i="4"/>
  <c r="AG480" i="4"/>
  <c r="AG408" i="4"/>
  <c r="G35" i="2"/>
  <c r="G95" i="2"/>
  <c r="E4" i="9" s="1"/>
  <c r="G304" i="2"/>
  <c r="E98" i="17"/>
  <c r="E81" i="15"/>
  <c r="E73" i="17"/>
  <c r="E59" i="15"/>
  <c r="G161" i="2"/>
  <c r="G270" i="2"/>
  <c r="E26" i="11"/>
  <c r="E200" i="17"/>
  <c r="E149" i="15"/>
  <c r="E172" i="17"/>
  <c r="E136" i="15"/>
  <c r="E135" i="17"/>
  <c r="E25" i="16"/>
  <c r="E13" i="17"/>
  <c r="E2" i="15"/>
  <c r="E20" i="6"/>
  <c r="F396" i="4"/>
  <c r="F391" i="4"/>
  <c r="F386" i="4"/>
  <c r="F381" i="4"/>
  <c r="F376" i="4"/>
  <c r="F371" i="4"/>
  <c r="F366" i="4"/>
  <c r="F361" i="4"/>
  <c r="F356" i="4"/>
  <c r="F351" i="4"/>
  <c r="F346" i="4"/>
  <c r="F401" i="4"/>
  <c r="F399" i="4"/>
  <c r="F394" i="4"/>
  <c r="F389" i="4"/>
  <c r="F384" i="4"/>
  <c r="F379" i="4"/>
  <c r="F374" i="4"/>
  <c r="F369" i="4"/>
  <c r="F364" i="4"/>
  <c r="F359" i="4"/>
  <c r="F354" i="4"/>
  <c r="F349" i="4"/>
  <c r="F344" i="4"/>
  <c r="F397" i="4"/>
  <c r="F392" i="4"/>
  <c r="F387" i="4"/>
  <c r="F382" i="4"/>
  <c r="F377" i="4"/>
  <c r="F372" i="4"/>
  <c r="F367" i="4"/>
  <c r="F362" i="4"/>
  <c r="F357" i="4"/>
  <c r="F352" i="4"/>
  <c r="F347" i="4"/>
  <c r="F400" i="4"/>
  <c r="F395" i="4"/>
  <c r="F390" i="4"/>
  <c r="F398" i="4"/>
  <c r="F393" i="4"/>
  <c r="F388" i="4"/>
  <c r="F383" i="4"/>
  <c r="F378" i="4"/>
  <c r="F373" i="4"/>
  <c r="F368" i="4"/>
  <c r="F363" i="4"/>
  <c r="F358" i="4"/>
  <c r="F353" i="4"/>
  <c r="F348" i="4"/>
  <c r="F343" i="4"/>
  <c r="F333" i="4"/>
  <c r="F325" i="4"/>
  <c r="F320" i="4"/>
  <c r="F315" i="4"/>
  <c r="F310" i="4"/>
  <c r="F305" i="4"/>
  <c r="F300" i="4"/>
  <c r="F295" i="4"/>
  <c r="F290" i="4"/>
  <c r="F285" i="4"/>
  <c r="F280" i="4"/>
  <c r="F275" i="4"/>
  <c r="F270" i="4"/>
  <c r="F265" i="4"/>
  <c r="F260" i="4"/>
  <c r="F255" i="4"/>
  <c r="F250" i="4"/>
  <c r="F380" i="4"/>
  <c r="F355" i="4"/>
  <c r="F328" i="4"/>
  <c r="F323" i="4"/>
  <c r="F318" i="4"/>
  <c r="F313" i="4"/>
  <c r="F308" i="4"/>
  <c r="F303" i="4"/>
  <c r="F298" i="4"/>
  <c r="F293" i="4"/>
  <c r="F288" i="4"/>
  <c r="F283" i="4"/>
  <c r="F278" i="4"/>
  <c r="F273" i="4"/>
  <c r="F268" i="4"/>
  <c r="F263" i="4"/>
  <c r="F258" i="4"/>
  <c r="F370" i="4"/>
  <c r="F345" i="4"/>
  <c r="F337" i="4"/>
  <c r="F336" i="4"/>
  <c r="F330" i="4"/>
  <c r="F340" i="4"/>
  <c r="F339" i="4"/>
  <c r="F338" i="4"/>
  <c r="F335" i="4"/>
  <c r="F332" i="4"/>
  <c r="F326" i="4"/>
  <c r="F321" i="4"/>
  <c r="F316" i="4"/>
  <c r="F311" i="4"/>
  <c r="F306" i="4"/>
  <c r="F301" i="4"/>
  <c r="F296" i="4"/>
  <c r="F291" i="4"/>
  <c r="F286" i="4"/>
  <c r="F281" i="4"/>
  <c r="F276" i="4"/>
  <c r="F271" i="4"/>
  <c r="F266" i="4"/>
  <c r="F261" i="4"/>
  <c r="F256" i="4"/>
  <c r="F251" i="4"/>
  <c r="F385" i="4"/>
  <c r="F360" i="4"/>
  <c r="F342" i="4"/>
  <c r="F341" i="4"/>
  <c r="F324" i="4"/>
  <c r="F319" i="4"/>
  <c r="F314" i="4"/>
  <c r="F309" i="4"/>
  <c r="F304" i="4"/>
  <c r="F299" i="4"/>
  <c r="F294" i="4"/>
  <c r="F289" i="4"/>
  <c r="F284" i="4"/>
  <c r="F279" i="4"/>
  <c r="F274" i="4"/>
  <c r="F269" i="4"/>
  <c r="F264" i="4"/>
  <c r="F259" i="4"/>
  <c r="F375" i="4"/>
  <c r="F350" i="4"/>
  <c r="F334" i="4"/>
  <c r="F329" i="4"/>
  <c r="F331" i="4"/>
  <c r="F327" i="4"/>
  <c r="F322" i="4"/>
  <c r="F317" i="4"/>
  <c r="F365" i="4"/>
  <c r="F302" i="4"/>
  <c r="F277" i="4"/>
  <c r="F238" i="4"/>
  <c r="F233" i="4"/>
  <c r="F228" i="4"/>
  <c r="F223" i="4"/>
  <c r="F218" i="4"/>
  <c r="F213" i="4"/>
  <c r="F208" i="4"/>
  <c r="F203" i="4"/>
  <c r="F198" i="4"/>
  <c r="F193" i="4"/>
  <c r="F188" i="4"/>
  <c r="F183" i="4"/>
  <c r="F178" i="4"/>
  <c r="F173" i="4"/>
  <c r="F168" i="4"/>
  <c r="F253" i="4"/>
  <c r="F292" i="4"/>
  <c r="F267" i="4"/>
  <c r="F241" i="4"/>
  <c r="F236" i="4"/>
  <c r="F231" i="4"/>
  <c r="F226" i="4"/>
  <c r="F221" i="4"/>
  <c r="F216" i="4"/>
  <c r="F211" i="4"/>
  <c r="F206" i="4"/>
  <c r="F201" i="4"/>
  <c r="F196" i="4"/>
  <c r="F191" i="4"/>
  <c r="F186" i="4"/>
  <c r="F181" i="4"/>
  <c r="F176" i="4"/>
  <c r="F171" i="4"/>
  <c r="F307" i="4"/>
  <c r="F282" i="4"/>
  <c r="F257" i="4"/>
  <c r="F239" i="4"/>
  <c r="F234" i="4"/>
  <c r="F229" i="4"/>
  <c r="F224" i="4"/>
  <c r="F219" i="4"/>
  <c r="F214" i="4"/>
  <c r="F209" i="4"/>
  <c r="F204" i="4"/>
  <c r="F199" i="4"/>
  <c r="F194" i="4"/>
  <c r="F189" i="4"/>
  <c r="F184" i="4"/>
  <c r="F179" i="4"/>
  <c r="F174" i="4"/>
  <c r="F254" i="4"/>
  <c r="F297" i="4"/>
  <c r="F272" i="4"/>
  <c r="F244" i="4"/>
  <c r="F243" i="4"/>
  <c r="F237" i="4"/>
  <c r="F232" i="4"/>
  <c r="F227" i="4"/>
  <c r="F222" i="4"/>
  <c r="F217" i="4"/>
  <c r="F212" i="4"/>
  <c r="F207" i="4"/>
  <c r="F202" i="4"/>
  <c r="F197" i="4"/>
  <c r="F192" i="4"/>
  <c r="F187" i="4"/>
  <c r="F182" i="4"/>
  <c r="F177" i="4"/>
  <c r="F246" i="4"/>
  <c r="F245" i="4"/>
  <c r="F242" i="4"/>
  <c r="F312" i="4"/>
  <c r="F287" i="4"/>
  <c r="F262" i="4"/>
  <c r="F252" i="4"/>
  <c r="F249" i="4"/>
  <c r="F248" i="4"/>
  <c r="F247" i="4"/>
  <c r="F240" i="4"/>
  <c r="F235" i="4"/>
  <c r="F230" i="4"/>
  <c r="F215" i="4"/>
  <c r="F190" i="4"/>
  <c r="F164" i="4"/>
  <c r="F163" i="4"/>
  <c r="F160" i="4"/>
  <c r="F159" i="4"/>
  <c r="F153" i="4"/>
  <c r="F145" i="4"/>
  <c r="F138" i="4"/>
  <c r="F133" i="4"/>
  <c r="F128" i="4"/>
  <c r="F123" i="4"/>
  <c r="F118" i="4"/>
  <c r="F113" i="4"/>
  <c r="F108" i="4"/>
  <c r="F103" i="4"/>
  <c r="F98" i="4"/>
  <c r="F93" i="4"/>
  <c r="F88" i="4"/>
  <c r="F83" i="4"/>
  <c r="F78" i="4"/>
  <c r="F73" i="4"/>
  <c r="F68" i="4"/>
  <c r="F63" i="4"/>
  <c r="F58" i="4"/>
  <c r="F205" i="4"/>
  <c r="F180" i="4"/>
  <c r="F169" i="4"/>
  <c r="F165" i="4"/>
  <c r="F158" i="4"/>
  <c r="F147" i="4"/>
  <c r="F166" i="4"/>
  <c r="F157" i="4"/>
  <c r="F152" i="4"/>
  <c r="F149" i="4"/>
  <c r="F140" i="4"/>
  <c r="F136" i="4"/>
  <c r="F131" i="4"/>
  <c r="F126" i="4"/>
  <c r="F121" i="4"/>
  <c r="F116" i="4"/>
  <c r="F111" i="4"/>
  <c r="F106" i="4"/>
  <c r="F101" i="4"/>
  <c r="F96" i="4"/>
  <c r="F91" i="4"/>
  <c r="F86" i="4"/>
  <c r="F81" i="4"/>
  <c r="F76" i="4"/>
  <c r="F220" i="4"/>
  <c r="F195" i="4"/>
  <c r="F156" i="4"/>
  <c r="F142" i="4"/>
  <c r="F167" i="4"/>
  <c r="F144" i="4"/>
  <c r="F134" i="4"/>
  <c r="F129" i="4"/>
  <c r="F124" i="4"/>
  <c r="F119" i="4"/>
  <c r="F114" i="4"/>
  <c r="F109" i="4"/>
  <c r="F104" i="4"/>
  <c r="F99" i="4"/>
  <c r="F94" i="4"/>
  <c r="F89" i="4"/>
  <c r="F84" i="4"/>
  <c r="F79" i="4"/>
  <c r="F74" i="4"/>
  <c r="F210" i="4"/>
  <c r="F185" i="4"/>
  <c r="F155" i="4"/>
  <c r="F151" i="4"/>
  <c r="F146" i="4"/>
  <c r="F172" i="4"/>
  <c r="F154" i="4"/>
  <c r="F148" i="4"/>
  <c r="F139" i="4"/>
  <c r="F137" i="4"/>
  <c r="F132" i="4"/>
  <c r="F127" i="4"/>
  <c r="F122" i="4"/>
  <c r="F117" i="4"/>
  <c r="F112" i="4"/>
  <c r="F107" i="4"/>
  <c r="F102" i="4"/>
  <c r="F97" i="4"/>
  <c r="F92" i="4"/>
  <c r="F87" i="4"/>
  <c r="F82" i="4"/>
  <c r="F77" i="4"/>
  <c r="F72" i="4"/>
  <c r="F67" i="4"/>
  <c r="F225" i="4"/>
  <c r="F200" i="4"/>
  <c r="F175" i="4"/>
  <c r="F170" i="4"/>
  <c r="F141" i="4"/>
  <c r="F162" i="4"/>
  <c r="F161" i="4"/>
  <c r="F150" i="4"/>
  <c r="F143" i="4"/>
  <c r="F55" i="4"/>
  <c r="F48" i="4"/>
  <c r="F44" i="4"/>
  <c r="F39" i="4"/>
  <c r="F34" i="4"/>
  <c r="F29" i="4"/>
  <c r="F24" i="4"/>
  <c r="F19" i="4"/>
  <c r="F14" i="4"/>
  <c r="F9" i="4"/>
  <c r="F4" i="4"/>
  <c r="F130" i="4"/>
  <c r="F105" i="4"/>
  <c r="F80" i="4"/>
  <c r="F57" i="4"/>
  <c r="F69" i="4"/>
  <c r="F60" i="4"/>
  <c r="F50" i="4"/>
  <c r="F42" i="4"/>
  <c r="F37" i="4"/>
  <c r="F32" i="4"/>
  <c r="F27" i="4"/>
  <c r="F22" i="4"/>
  <c r="F17" i="4"/>
  <c r="F12" i="4"/>
  <c r="F7" i="4"/>
  <c r="F2" i="4"/>
  <c r="F120" i="4"/>
  <c r="F95" i="4"/>
  <c r="F52" i="4"/>
  <c r="F59" i="4"/>
  <c r="F54" i="4"/>
  <c r="F45" i="4"/>
  <c r="F40" i="4"/>
  <c r="F35" i="4"/>
  <c r="F30" i="4"/>
  <c r="F25" i="4"/>
  <c r="F20" i="4"/>
  <c r="F15" i="4"/>
  <c r="F10" i="4"/>
  <c r="F5" i="4"/>
  <c r="F135" i="4"/>
  <c r="F110" i="4"/>
  <c r="F85" i="4"/>
  <c r="F70" i="4"/>
  <c r="F56" i="4"/>
  <c r="F47" i="4"/>
  <c r="F71" i="4"/>
  <c r="F64" i="4"/>
  <c r="F49" i="4"/>
  <c r="F43" i="4"/>
  <c r="F38" i="4"/>
  <c r="F33" i="4"/>
  <c r="F28" i="4"/>
  <c r="F23" i="4"/>
  <c r="F18" i="4"/>
  <c r="F13" i="4"/>
  <c r="F8" i="4"/>
  <c r="F3" i="4"/>
  <c r="F125" i="4"/>
  <c r="F100" i="4"/>
  <c r="F75" i="4"/>
  <c r="F66" i="4"/>
  <c r="F51" i="4"/>
  <c r="F65" i="4"/>
  <c r="F62" i="4"/>
  <c r="F61" i="4"/>
  <c r="F53" i="4"/>
  <c r="F41" i="4"/>
  <c r="F36" i="4"/>
  <c r="F31" i="4"/>
  <c r="F26" i="4"/>
  <c r="F21" i="4"/>
  <c r="F16" i="4"/>
  <c r="F11" i="4"/>
  <c r="F6" i="4"/>
  <c r="F115" i="4"/>
  <c r="F90" i="4"/>
  <c r="F46" i="4"/>
  <c r="P396" i="4"/>
  <c r="P391" i="4"/>
  <c r="P386" i="4"/>
  <c r="P381" i="4"/>
  <c r="P376" i="4"/>
  <c r="P371" i="4"/>
  <c r="P366" i="4"/>
  <c r="P361" i="4"/>
  <c r="P356" i="4"/>
  <c r="P351" i="4"/>
  <c r="P346" i="4"/>
  <c r="P401" i="4"/>
  <c r="P399" i="4"/>
  <c r="P394" i="4"/>
  <c r="P389" i="4"/>
  <c r="P384" i="4"/>
  <c r="P379" i="4"/>
  <c r="P374" i="4"/>
  <c r="P369" i="4"/>
  <c r="P364" i="4"/>
  <c r="P359" i="4"/>
  <c r="P354" i="4"/>
  <c r="P349" i="4"/>
  <c r="P344" i="4"/>
  <c r="P397" i="4"/>
  <c r="P392" i="4"/>
  <c r="P387" i="4"/>
  <c r="P382" i="4"/>
  <c r="P377" i="4"/>
  <c r="P372" i="4"/>
  <c r="P367" i="4"/>
  <c r="P362" i="4"/>
  <c r="P357" i="4"/>
  <c r="P352" i="4"/>
  <c r="P347" i="4"/>
  <c r="P395" i="4"/>
  <c r="P390" i="4"/>
  <c r="P400" i="4"/>
  <c r="P398" i="4"/>
  <c r="P393" i="4"/>
  <c r="P388" i="4"/>
  <c r="P383" i="4"/>
  <c r="P378" i="4"/>
  <c r="P373" i="4"/>
  <c r="P368" i="4"/>
  <c r="P363" i="4"/>
  <c r="P358" i="4"/>
  <c r="P353" i="4"/>
  <c r="P348" i="4"/>
  <c r="P343" i="4"/>
  <c r="P325" i="4"/>
  <c r="P320" i="4"/>
  <c r="P315" i="4"/>
  <c r="P310" i="4"/>
  <c r="P305" i="4"/>
  <c r="P300" i="4"/>
  <c r="P295" i="4"/>
  <c r="P290" i="4"/>
  <c r="P285" i="4"/>
  <c r="P280" i="4"/>
  <c r="P275" i="4"/>
  <c r="P270" i="4"/>
  <c r="P265" i="4"/>
  <c r="P260" i="4"/>
  <c r="P255" i="4"/>
  <c r="P250" i="4"/>
  <c r="P370" i="4"/>
  <c r="P345" i="4"/>
  <c r="P342" i="4"/>
  <c r="P333" i="4"/>
  <c r="P323" i="4"/>
  <c r="P318" i="4"/>
  <c r="P313" i="4"/>
  <c r="P308" i="4"/>
  <c r="P303" i="4"/>
  <c r="P298" i="4"/>
  <c r="P293" i="4"/>
  <c r="P288" i="4"/>
  <c r="P283" i="4"/>
  <c r="P278" i="4"/>
  <c r="P273" i="4"/>
  <c r="P268" i="4"/>
  <c r="P263" i="4"/>
  <c r="P258" i="4"/>
  <c r="P253" i="4"/>
  <c r="P385" i="4"/>
  <c r="P360" i="4"/>
  <c r="P328" i="4"/>
  <c r="P330" i="4"/>
  <c r="P326" i="4"/>
  <c r="P321" i="4"/>
  <c r="P316" i="4"/>
  <c r="P311" i="4"/>
  <c r="P306" i="4"/>
  <c r="P301" i="4"/>
  <c r="P296" i="4"/>
  <c r="P291" i="4"/>
  <c r="P286" i="4"/>
  <c r="P281" i="4"/>
  <c r="P276" i="4"/>
  <c r="P271" i="4"/>
  <c r="P266" i="4"/>
  <c r="P261" i="4"/>
  <c r="P256" i="4"/>
  <c r="P251" i="4"/>
  <c r="P375" i="4"/>
  <c r="P350" i="4"/>
  <c r="P332" i="4"/>
  <c r="P324" i="4"/>
  <c r="P319" i="4"/>
  <c r="P314" i="4"/>
  <c r="P309" i="4"/>
  <c r="P304" i="4"/>
  <c r="P299" i="4"/>
  <c r="P294" i="4"/>
  <c r="P289" i="4"/>
  <c r="P284" i="4"/>
  <c r="P279" i="4"/>
  <c r="P274" i="4"/>
  <c r="P269" i="4"/>
  <c r="P264" i="4"/>
  <c r="P259" i="4"/>
  <c r="P365" i="4"/>
  <c r="P337" i="4"/>
  <c r="P336" i="4"/>
  <c r="P335" i="4"/>
  <c r="P340" i="4"/>
  <c r="P339" i="4"/>
  <c r="P338" i="4"/>
  <c r="P329" i="4"/>
  <c r="P327" i="4"/>
  <c r="P322" i="4"/>
  <c r="P317" i="4"/>
  <c r="P380" i="4"/>
  <c r="P355" i="4"/>
  <c r="P341" i="4"/>
  <c r="P334" i="4"/>
  <c r="P331" i="4"/>
  <c r="P292" i="4"/>
  <c r="P267" i="4"/>
  <c r="P244" i="4"/>
  <c r="P243" i="4"/>
  <c r="P242" i="4"/>
  <c r="P238" i="4"/>
  <c r="P233" i="4"/>
  <c r="P228" i="4"/>
  <c r="P223" i="4"/>
  <c r="P218" i="4"/>
  <c r="P213" i="4"/>
  <c r="P208" i="4"/>
  <c r="P203" i="4"/>
  <c r="P198" i="4"/>
  <c r="P193" i="4"/>
  <c r="P188" i="4"/>
  <c r="P183" i="4"/>
  <c r="P178" i="4"/>
  <c r="P173" i="4"/>
  <c r="P168" i="4"/>
  <c r="P246" i="4"/>
  <c r="P245" i="4"/>
  <c r="P307" i="4"/>
  <c r="P282" i="4"/>
  <c r="P257" i="4"/>
  <c r="P254" i="4"/>
  <c r="P249" i="4"/>
  <c r="P248" i="4"/>
  <c r="P247" i="4"/>
  <c r="P241" i="4"/>
  <c r="P236" i="4"/>
  <c r="P231" i="4"/>
  <c r="P226" i="4"/>
  <c r="P221" i="4"/>
  <c r="P216" i="4"/>
  <c r="P211" i="4"/>
  <c r="P206" i="4"/>
  <c r="P201" i="4"/>
  <c r="P196" i="4"/>
  <c r="P191" i="4"/>
  <c r="P186" i="4"/>
  <c r="P181" i="4"/>
  <c r="P176" i="4"/>
  <c r="P171" i="4"/>
  <c r="P297" i="4"/>
  <c r="P272" i="4"/>
  <c r="P252" i="4"/>
  <c r="P239" i="4"/>
  <c r="P234" i="4"/>
  <c r="P229" i="4"/>
  <c r="P224" i="4"/>
  <c r="P219" i="4"/>
  <c r="P214" i="4"/>
  <c r="P209" i="4"/>
  <c r="P204" i="4"/>
  <c r="P199" i="4"/>
  <c r="P194" i="4"/>
  <c r="P189" i="4"/>
  <c r="P184" i="4"/>
  <c r="P179" i="4"/>
  <c r="P174" i="4"/>
  <c r="P169" i="4"/>
  <c r="P312" i="4"/>
  <c r="P287" i="4"/>
  <c r="P262" i="4"/>
  <c r="P237" i="4"/>
  <c r="P232" i="4"/>
  <c r="P227" i="4"/>
  <c r="P222" i="4"/>
  <c r="P217" i="4"/>
  <c r="P212" i="4"/>
  <c r="P207" i="4"/>
  <c r="P202" i="4"/>
  <c r="P197" i="4"/>
  <c r="P192" i="4"/>
  <c r="P187" i="4"/>
  <c r="P182" i="4"/>
  <c r="P177" i="4"/>
  <c r="P172" i="4"/>
  <c r="P302" i="4"/>
  <c r="P277" i="4"/>
  <c r="P240" i="4"/>
  <c r="P235" i="4"/>
  <c r="P230" i="4"/>
  <c r="P205" i="4"/>
  <c r="P180" i="4"/>
  <c r="P143" i="4"/>
  <c r="P167" i="4"/>
  <c r="P150" i="4"/>
  <c r="P133" i="4"/>
  <c r="P128" i="4"/>
  <c r="P123" i="4"/>
  <c r="P118" i="4"/>
  <c r="P113" i="4"/>
  <c r="P108" i="4"/>
  <c r="P103" i="4"/>
  <c r="P98" i="4"/>
  <c r="P93" i="4"/>
  <c r="P88" i="4"/>
  <c r="P83" i="4"/>
  <c r="P78" i="4"/>
  <c r="P73" i="4"/>
  <c r="P68" i="4"/>
  <c r="P63" i="4"/>
  <c r="P58" i="4"/>
  <c r="P220" i="4"/>
  <c r="P195" i="4"/>
  <c r="P153" i="4"/>
  <c r="P145" i="4"/>
  <c r="P138" i="4"/>
  <c r="P162" i="4"/>
  <c r="P161" i="4"/>
  <c r="P160" i="4"/>
  <c r="P159" i="4"/>
  <c r="P147" i="4"/>
  <c r="P136" i="4"/>
  <c r="P131" i="4"/>
  <c r="P126" i="4"/>
  <c r="P121" i="4"/>
  <c r="P116" i="4"/>
  <c r="P111" i="4"/>
  <c r="P106" i="4"/>
  <c r="P101" i="4"/>
  <c r="P96" i="4"/>
  <c r="P91" i="4"/>
  <c r="P86" i="4"/>
  <c r="P81" i="4"/>
  <c r="P76" i="4"/>
  <c r="P71" i="4"/>
  <c r="P210" i="4"/>
  <c r="P185" i="4"/>
  <c r="P164" i="4"/>
  <c r="P163" i="4"/>
  <c r="P149" i="4"/>
  <c r="P140" i="4"/>
  <c r="P170" i="4"/>
  <c r="P158" i="4"/>
  <c r="P152" i="4"/>
  <c r="P142" i="4"/>
  <c r="P134" i="4"/>
  <c r="P129" i="4"/>
  <c r="P124" i="4"/>
  <c r="P119" i="4"/>
  <c r="P114" i="4"/>
  <c r="P109" i="4"/>
  <c r="P104" i="4"/>
  <c r="P99" i="4"/>
  <c r="P94" i="4"/>
  <c r="P89" i="4"/>
  <c r="P84" i="4"/>
  <c r="P79" i="4"/>
  <c r="P74" i="4"/>
  <c r="P225" i="4"/>
  <c r="P200" i="4"/>
  <c r="P175" i="4"/>
  <c r="P157" i="4"/>
  <c r="P144" i="4"/>
  <c r="P165" i="4"/>
  <c r="P156" i="4"/>
  <c r="P146" i="4"/>
  <c r="P137" i="4"/>
  <c r="P132" i="4"/>
  <c r="P127" i="4"/>
  <c r="P122" i="4"/>
  <c r="P117" i="4"/>
  <c r="P112" i="4"/>
  <c r="P107" i="4"/>
  <c r="P102" i="4"/>
  <c r="P97" i="4"/>
  <c r="P92" i="4"/>
  <c r="P87" i="4"/>
  <c r="P82" i="4"/>
  <c r="P77" i="4"/>
  <c r="P72" i="4"/>
  <c r="P67" i="4"/>
  <c r="P215" i="4"/>
  <c r="P190" i="4"/>
  <c r="P166" i="4"/>
  <c r="P151" i="4"/>
  <c r="P148" i="4"/>
  <c r="P155" i="4"/>
  <c r="P154" i="4"/>
  <c r="P141" i="4"/>
  <c r="P139" i="4"/>
  <c r="P70" i="4"/>
  <c r="P64" i="4"/>
  <c r="P46" i="4"/>
  <c r="P44" i="4"/>
  <c r="P39" i="4"/>
  <c r="P34" i="4"/>
  <c r="P29" i="4"/>
  <c r="P24" i="4"/>
  <c r="P19" i="4"/>
  <c r="P14" i="4"/>
  <c r="P9" i="4"/>
  <c r="P4" i="4"/>
  <c r="P120" i="4"/>
  <c r="P95" i="4"/>
  <c r="P66" i="4"/>
  <c r="P62" i="4"/>
  <c r="P61" i="4"/>
  <c r="P55" i="4"/>
  <c r="P48" i="4"/>
  <c r="P65" i="4"/>
  <c r="P57" i="4"/>
  <c r="P42" i="4"/>
  <c r="P37" i="4"/>
  <c r="P32" i="4"/>
  <c r="P27" i="4"/>
  <c r="P22" i="4"/>
  <c r="P17" i="4"/>
  <c r="P12" i="4"/>
  <c r="P7" i="4"/>
  <c r="P2" i="4"/>
  <c r="P135" i="4"/>
  <c r="P110" i="4"/>
  <c r="P85" i="4"/>
  <c r="P50" i="4"/>
  <c r="P60" i="4"/>
  <c r="P52" i="4"/>
  <c r="P40" i="4"/>
  <c r="P35" i="4"/>
  <c r="P30" i="4"/>
  <c r="P25" i="4"/>
  <c r="P20" i="4"/>
  <c r="P15" i="4"/>
  <c r="P10" i="4"/>
  <c r="P5" i="4"/>
  <c r="P125" i="4"/>
  <c r="P100" i="4"/>
  <c r="P75" i="4"/>
  <c r="P54" i="4"/>
  <c r="P45" i="4"/>
  <c r="P59" i="4"/>
  <c r="P56" i="4"/>
  <c r="P47" i="4"/>
  <c r="P43" i="4"/>
  <c r="P38" i="4"/>
  <c r="P33" i="4"/>
  <c r="P28" i="4"/>
  <c r="P23" i="4"/>
  <c r="P18" i="4"/>
  <c r="P13" i="4"/>
  <c r="P8" i="4"/>
  <c r="P3" i="4"/>
  <c r="P115" i="4"/>
  <c r="P90" i="4"/>
  <c r="P69" i="4"/>
  <c r="P49" i="4"/>
  <c r="P51" i="4"/>
  <c r="P41" i="4"/>
  <c r="P36" i="4"/>
  <c r="P31" i="4"/>
  <c r="P26" i="4"/>
  <c r="P21" i="4"/>
  <c r="P16" i="4"/>
  <c r="P11" i="4"/>
  <c r="P6" i="4"/>
  <c r="P130" i="4"/>
  <c r="P105" i="4"/>
  <c r="P80" i="4"/>
  <c r="P53" i="4"/>
  <c r="X646" i="4"/>
  <c r="X643" i="4"/>
  <c r="X650" i="4"/>
  <c r="X647" i="4"/>
  <c r="X648" i="4"/>
  <c r="X649" i="4"/>
  <c r="X651" i="4"/>
  <c r="X645" i="4"/>
  <c r="X638" i="4"/>
  <c r="X632" i="4"/>
  <c r="X622" i="4"/>
  <c r="X612" i="4"/>
  <c r="X602" i="4"/>
  <c r="X592" i="4"/>
  <c r="X640" i="4"/>
  <c r="X629" i="4"/>
  <c r="X619" i="4"/>
  <c r="X609" i="4"/>
  <c r="X599" i="4"/>
  <c r="X589" i="4"/>
  <c r="X636" i="4"/>
  <c r="X626" i="4"/>
  <c r="X616" i="4"/>
  <c r="X606" i="4"/>
  <c r="X596" i="4"/>
  <c r="X633" i="4"/>
  <c r="X623" i="4"/>
  <c r="X613" i="4"/>
  <c r="X603" i="4"/>
  <c r="X593" i="4"/>
  <c r="X630" i="4"/>
  <c r="X620" i="4"/>
  <c r="X610" i="4"/>
  <c r="X600" i="4"/>
  <c r="X644" i="4"/>
  <c r="X637" i="4"/>
  <c r="X627" i="4"/>
  <c r="X617" i="4"/>
  <c r="X607" i="4"/>
  <c r="X597" i="4"/>
  <c r="X639" i="4"/>
  <c r="X634" i="4"/>
  <c r="X624" i="4"/>
  <c r="X614" i="4"/>
  <c r="X604" i="4"/>
  <c r="X594" i="4"/>
  <c r="X631" i="4"/>
  <c r="X642" i="4"/>
  <c r="X628" i="4"/>
  <c r="X618" i="4"/>
  <c r="X608" i="4"/>
  <c r="X598" i="4"/>
  <c r="X641" i="4"/>
  <c r="X635" i="4"/>
  <c r="X621" i="4"/>
  <c r="X587" i="4"/>
  <c r="X577" i="4"/>
  <c r="X567" i="4"/>
  <c r="X557" i="4"/>
  <c r="X547" i="4"/>
  <c r="X537" i="4"/>
  <c r="X527" i="4"/>
  <c r="X517" i="4"/>
  <c r="X507" i="4"/>
  <c r="X497" i="4"/>
  <c r="X615" i="4"/>
  <c r="X591" i="4"/>
  <c r="X584" i="4"/>
  <c r="X574" i="4"/>
  <c r="X564" i="4"/>
  <c r="X554" i="4"/>
  <c r="X544" i="4"/>
  <c r="X534" i="4"/>
  <c r="X524" i="4"/>
  <c r="X514" i="4"/>
  <c r="X504" i="4"/>
  <c r="X581" i="4"/>
  <c r="X571" i="4"/>
  <c r="X561" i="4"/>
  <c r="X551" i="4"/>
  <c r="X541" i="4"/>
  <c r="X531" i="4"/>
  <c r="X521" i="4"/>
  <c r="X511" i="4"/>
  <c r="X578" i="4"/>
  <c r="X568" i="4"/>
  <c r="X558" i="4"/>
  <c r="X548" i="4"/>
  <c r="X538" i="4"/>
  <c r="X528" i="4"/>
  <c r="X518" i="4"/>
  <c r="X508" i="4"/>
  <c r="X611" i="4"/>
  <c r="X585" i="4"/>
  <c r="X575" i="4"/>
  <c r="X565" i="4"/>
  <c r="X555" i="4"/>
  <c r="X545" i="4"/>
  <c r="X535" i="4"/>
  <c r="X525" i="4"/>
  <c r="X515" i="4"/>
  <c r="X505" i="4"/>
  <c r="X605" i="4"/>
  <c r="X588" i="4"/>
  <c r="X582" i="4"/>
  <c r="X572" i="4"/>
  <c r="X562" i="4"/>
  <c r="X552" i="4"/>
  <c r="X542" i="4"/>
  <c r="X532" i="4"/>
  <c r="X522" i="4"/>
  <c r="X512" i="4"/>
  <c r="X579" i="4"/>
  <c r="X569" i="4"/>
  <c r="X559" i="4"/>
  <c r="X549" i="4"/>
  <c r="X539" i="4"/>
  <c r="X529" i="4"/>
  <c r="X519" i="4"/>
  <c r="X509" i="4"/>
  <c r="X625" i="4"/>
  <c r="X586" i="4"/>
  <c r="X576" i="4"/>
  <c r="X601" i="4"/>
  <c r="X595" i="4"/>
  <c r="X580" i="4"/>
  <c r="X570" i="4"/>
  <c r="X560" i="4"/>
  <c r="X550" i="4"/>
  <c r="X540" i="4"/>
  <c r="X530" i="4"/>
  <c r="X520" i="4"/>
  <c r="X510" i="4"/>
  <c r="X590" i="4"/>
  <c r="X526" i="4"/>
  <c r="X494" i="4"/>
  <c r="X484" i="4"/>
  <c r="X474" i="4"/>
  <c r="X464" i="4"/>
  <c r="X454" i="4"/>
  <c r="X444" i="4"/>
  <c r="X434" i="4"/>
  <c r="X424" i="4"/>
  <c r="X414" i="4"/>
  <c r="X404" i="4"/>
  <c r="X583" i="4"/>
  <c r="X523" i="4"/>
  <c r="X500" i="4"/>
  <c r="X491" i="4"/>
  <c r="X481" i="4"/>
  <c r="X471" i="4"/>
  <c r="X461" i="4"/>
  <c r="X451" i="4"/>
  <c r="X441" i="4"/>
  <c r="X431" i="4"/>
  <c r="X421" i="4"/>
  <c r="X411" i="4"/>
  <c r="X546" i="4"/>
  <c r="X503" i="4"/>
  <c r="X488" i="4"/>
  <c r="X478" i="4"/>
  <c r="X468" i="4"/>
  <c r="X458" i="4"/>
  <c r="X448" i="4"/>
  <c r="X438" i="4"/>
  <c r="X543" i="4"/>
  <c r="X502" i="4"/>
  <c r="X485" i="4"/>
  <c r="X475" i="4"/>
  <c r="X465" i="4"/>
  <c r="X455" i="4"/>
  <c r="X445" i="4"/>
  <c r="X435" i="4"/>
  <c r="X566" i="4"/>
  <c r="X516" i="4"/>
  <c r="X499" i="4"/>
  <c r="X495" i="4"/>
  <c r="X492" i="4"/>
  <c r="X482" i="4"/>
  <c r="X472" i="4"/>
  <c r="X462" i="4"/>
  <c r="X452" i="4"/>
  <c r="X442" i="4"/>
  <c r="X432" i="4"/>
  <c r="X563" i="4"/>
  <c r="X513" i="4"/>
  <c r="X489" i="4"/>
  <c r="X479" i="4"/>
  <c r="X469" i="4"/>
  <c r="X459" i="4"/>
  <c r="X449" i="4"/>
  <c r="X439" i="4"/>
  <c r="X536" i="4"/>
  <c r="X501" i="4"/>
  <c r="X486" i="4"/>
  <c r="X476" i="4"/>
  <c r="X466" i="4"/>
  <c r="X456" i="4"/>
  <c r="X446" i="4"/>
  <c r="X436" i="4"/>
  <c r="X533" i="4"/>
  <c r="X506" i="4"/>
  <c r="X573" i="4"/>
  <c r="X556" i="4"/>
  <c r="X498" i="4"/>
  <c r="X490" i="4"/>
  <c r="X480" i="4"/>
  <c r="X470" i="4"/>
  <c r="X460" i="4"/>
  <c r="X450" i="4"/>
  <c r="X440" i="4"/>
  <c r="X430" i="4"/>
  <c r="X420" i="4"/>
  <c r="X553" i="4"/>
  <c r="X483" i="4"/>
  <c r="X433" i="4"/>
  <c r="X427" i="4"/>
  <c r="X418" i="4"/>
  <c r="X410" i="4"/>
  <c r="X405" i="4"/>
  <c r="X477" i="4"/>
  <c r="X428" i="4"/>
  <c r="X415" i="4"/>
  <c r="X407" i="4"/>
  <c r="X403" i="4"/>
  <c r="X453" i="4"/>
  <c r="X429" i="4"/>
  <c r="X423" i="4"/>
  <c r="X412" i="4"/>
  <c r="X447" i="4"/>
  <c r="X422" i="4"/>
  <c r="X409" i="4"/>
  <c r="X473" i="4"/>
  <c r="X467" i="4"/>
  <c r="X417" i="4"/>
  <c r="X406" i="4"/>
  <c r="X493" i="4"/>
  <c r="X443" i="4"/>
  <c r="X408" i="4"/>
  <c r="X402" i="4"/>
  <c r="X496" i="4"/>
  <c r="X487" i="4"/>
  <c r="X437" i="4"/>
  <c r="X463" i="4"/>
  <c r="X426" i="4"/>
  <c r="X425" i="4"/>
  <c r="X416" i="4"/>
  <c r="X457" i="4"/>
  <c r="X419" i="4"/>
  <c r="X413" i="4"/>
  <c r="AH646" i="4"/>
  <c r="AH643" i="4"/>
  <c r="AH640" i="4"/>
  <c r="AH650" i="4"/>
  <c r="AH647" i="4"/>
  <c r="AH644" i="4"/>
  <c r="AH648" i="4"/>
  <c r="AH651" i="4"/>
  <c r="AH649" i="4"/>
  <c r="AH632" i="4"/>
  <c r="AH622" i="4"/>
  <c r="AH612" i="4"/>
  <c r="AH602" i="4"/>
  <c r="AH592" i="4"/>
  <c r="AH642" i="4"/>
  <c r="AH638" i="4"/>
  <c r="AH629" i="4"/>
  <c r="AH619" i="4"/>
  <c r="AH609" i="4"/>
  <c r="AH599" i="4"/>
  <c r="AH589" i="4"/>
  <c r="AH641" i="4"/>
  <c r="AH636" i="4"/>
  <c r="AH626" i="4"/>
  <c r="AH616" i="4"/>
  <c r="AH606" i="4"/>
  <c r="AH596" i="4"/>
  <c r="AH633" i="4"/>
  <c r="AH623" i="4"/>
  <c r="AH613" i="4"/>
  <c r="AH603" i="4"/>
  <c r="AH593" i="4"/>
  <c r="AH630" i="4"/>
  <c r="AH620" i="4"/>
  <c r="AH610" i="4"/>
  <c r="AH600" i="4"/>
  <c r="AH590" i="4"/>
  <c r="AH627" i="4"/>
  <c r="AH617" i="4"/>
  <c r="AH607" i="4"/>
  <c r="AH597" i="4"/>
  <c r="AH637" i="4"/>
  <c r="AH634" i="4"/>
  <c r="AH624" i="4"/>
  <c r="AH614" i="4"/>
  <c r="AH604" i="4"/>
  <c r="AH594" i="4"/>
  <c r="AH631" i="4"/>
  <c r="AH645" i="4"/>
  <c r="AH639" i="4"/>
  <c r="AH628" i="4"/>
  <c r="AH618" i="4"/>
  <c r="AH608" i="4"/>
  <c r="AH598" i="4"/>
  <c r="AH635" i="4"/>
  <c r="AH577" i="4"/>
  <c r="AH567" i="4"/>
  <c r="AH557" i="4"/>
  <c r="AH547" i="4"/>
  <c r="AH537" i="4"/>
  <c r="AH527" i="4"/>
  <c r="AH517" i="4"/>
  <c r="AH507" i="4"/>
  <c r="AH497" i="4"/>
  <c r="AH587" i="4"/>
  <c r="AH584" i="4"/>
  <c r="AH574" i="4"/>
  <c r="AH564" i="4"/>
  <c r="AH554" i="4"/>
  <c r="AH544" i="4"/>
  <c r="AH534" i="4"/>
  <c r="AH524" i="4"/>
  <c r="AH514" i="4"/>
  <c r="AH504" i="4"/>
  <c r="AH611" i="4"/>
  <c r="AH581" i="4"/>
  <c r="AH571" i="4"/>
  <c r="AH561" i="4"/>
  <c r="AH551" i="4"/>
  <c r="AH541" i="4"/>
  <c r="AH531" i="4"/>
  <c r="AH521" i="4"/>
  <c r="AH511" i="4"/>
  <c r="AH605" i="4"/>
  <c r="AH578" i="4"/>
  <c r="AH568" i="4"/>
  <c r="AH558" i="4"/>
  <c r="AH548" i="4"/>
  <c r="AH538" i="4"/>
  <c r="AH528" i="4"/>
  <c r="AH518" i="4"/>
  <c r="AH508" i="4"/>
  <c r="AH585" i="4"/>
  <c r="AH575" i="4"/>
  <c r="AH565" i="4"/>
  <c r="AH555" i="4"/>
  <c r="AH545" i="4"/>
  <c r="AH535" i="4"/>
  <c r="AH525" i="4"/>
  <c r="AH515" i="4"/>
  <c r="AH505" i="4"/>
  <c r="AH625" i="4"/>
  <c r="AH582" i="4"/>
  <c r="AH572" i="4"/>
  <c r="AH562" i="4"/>
  <c r="AH552" i="4"/>
  <c r="AH542" i="4"/>
  <c r="AH532" i="4"/>
  <c r="AH522" i="4"/>
  <c r="AH512" i="4"/>
  <c r="AH601" i="4"/>
  <c r="AH588" i="4"/>
  <c r="AH579" i="4"/>
  <c r="AH569" i="4"/>
  <c r="AH559" i="4"/>
  <c r="AH549" i="4"/>
  <c r="AH539" i="4"/>
  <c r="AH529" i="4"/>
  <c r="AH519" i="4"/>
  <c r="AH509" i="4"/>
  <c r="AH595" i="4"/>
  <c r="AH591" i="4"/>
  <c r="AH586" i="4"/>
  <c r="AH576" i="4"/>
  <c r="AH621" i="4"/>
  <c r="AH615" i="4"/>
  <c r="AH580" i="4"/>
  <c r="AH570" i="4"/>
  <c r="AH560" i="4"/>
  <c r="AH550" i="4"/>
  <c r="AH540" i="4"/>
  <c r="AH530" i="4"/>
  <c r="AH520" i="4"/>
  <c r="AH510" i="4"/>
  <c r="AH583" i="4"/>
  <c r="AH546" i="4"/>
  <c r="AH496" i="4"/>
  <c r="AH494" i="4"/>
  <c r="AH484" i="4"/>
  <c r="AH474" i="4"/>
  <c r="AH464" i="4"/>
  <c r="AH454" i="4"/>
  <c r="AH444" i="4"/>
  <c r="AH434" i="4"/>
  <c r="AH424" i="4"/>
  <c r="AH414" i="4"/>
  <c r="AH404" i="4"/>
  <c r="AH543" i="4"/>
  <c r="AH491" i="4"/>
  <c r="AH481" i="4"/>
  <c r="AH471" i="4"/>
  <c r="AH461" i="4"/>
  <c r="AH451" i="4"/>
  <c r="AH441" i="4"/>
  <c r="AH431" i="4"/>
  <c r="AH421" i="4"/>
  <c r="AH411" i="4"/>
  <c r="AH566" i="4"/>
  <c r="AH516" i="4"/>
  <c r="AH488" i="4"/>
  <c r="AH478" i="4"/>
  <c r="AH468" i="4"/>
  <c r="AH458" i="4"/>
  <c r="AH448" i="4"/>
  <c r="AH438" i="4"/>
  <c r="AH563" i="4"/>
  <c r="AH513" i="4"/>
  <c r="AH506" i="4"/>
  <c r="AH500" i="4"/>
  <c r="AH485" i="4"/>
  <c r="AH475" i="4"/>
  <c r="AH465" i="4"/>
  <c r="AH455" i="4"/>
  <c r="AH445" i="4"/>
  <c r="AH435" i="4"/>
  <c r="AH536" i="4"/>
  <c r="AH492" i="4"/>
  <c r="AH482" i="4"/>
  <c r="AH472" i="4"/>
  <c r="AH462" i="4"/>
  <c r="AH452" i="4"/>
  <c r="AH442" i="4"/>
  <c r="AH432" i="4"/>
  <c r="AH533" i="4"/>
  <c r="AH495" i="4"/>
  <c r="AH489" i="4"/>
  <c r="AH479" i="4"/>
  <c r="AH469" i="4"/>
  <c r="AH459" i="4"/>
  <c r="AH449" i="4"/>
  <c r="AH439" i="4"/>
  <c r="AH556" i="4"/>
  <c r="AH502" i="4"/>
  <c r="AH499" i="4"/>
  <c r="AH486" i="4"/>
  <c r="AH476" i="4"/>
  <c r="AH466" i="4"/>
  <c r="AH456" i="4"/>
  <c r="AH446" i="4"/>
  <c r="AH436" i="4"/>
  <c r="AH573" i="4"/>
  <c r="AH553" i="4"/>
  <c r="AH503" i="4"/>
  <c r="AH526" i="4"/>
  <c r="AH501" i="4"/>
  <c r="AH490" i="4"/>
  <c r="AH480" i="4"/>
  <c r="AH470" i="4"/>
  <c r="AH460" i="4"/>
  <c r="AH450" i="4"/>
  <c r="AH440" i="4"/>
  <c r="AH430" i="4"/>
  <c r="AH420" i="4"/>
  <c r="AH523" i="4"/>
  <c r="AH453" i="4"/>
  <c r="AH416" i="4"/>
  <c r="AH498" i="4"/>
  <c r="AH447" i="4"/>
  <c r="AH413" i="4"/>
  <c r="AH405" i="4"/>
  <c r="AH473" i="4"/>
  <c r="AH425" i="4"/>
  <c r="AH419" i="4"/>
  <c r="AH410" i="4"/>
  <c r="AH403" i="4"/>
  <c r="AH467" i="4"/>
  <c r="AH426" i="4"/>
  <c r="AH418" i="4"/>
  <c r="AH415" i="4"/>
  <c r="AH407" i="4"/>
  <c r="AH493" i="4"/>
  <c r="AH443" i="4"/>
  <c r="AH412" i="4"/>
  <c r="AH487" i="4"/>
  <c r="AH437" i="4"/>
  <c r="AH427" i="4"/>
  <c r="AH423" i="4"/>
  <c r="AH409" i="4"/>
  <c r="AH463" i="4"/>
  <c r="AH428" i="4"/>
  <c r="AH422" i="4"/>
  <c r="AH406" i="4"/>
  <c r="AH457" i="4"/>
  <c r="AH429" i="4"/>
  <c r="AH417" i="4"/>
  <c r="AH402" i="4"/>
  <c r="AH483" i="4"/>
  <c r="AH433" i="4"/>
  <c r="AH408" i="4"/>
  <c r="AH477" i="4"/>
  <c r="G118" i="2"/>
  <c r="E32" i="12"/>
  <c r="E13" i="8"/>
  <c r="E88" i="17"/>
  <c r="E73" i="15"/>
  <c r="E27" i="13"/>
  <c r="E13" i="7"/>
  <c r="E24" i="12"/>
  <c r="E9" i="8"/>
  <c r="E27" i="12"/>
  <c r="E19" i="6"/>
  <c r="E20" i="12"/>
  <c r="E14" i="6"/>
  <c r="E71" i="17"/>
  <c r="E57" i="15"/>
  <c r="E31" i="13"/>
  <c r="E17" i="7"/>
  <c r="E101" i="17"/>
  <c r="E85" i="15"/>
  <c r="E68" i="17"/>
  <c r="E56" i="15"/>
  <c r="E54" i="13"/>
  <c r="E32" i="7"/>
  <c r="E39" i="12"/>
  <c r="E18" i="8"/>
  <c r="E180" i="17"/>
  <c r="E39" i="16"/>
  <c r="G240" i="2"/>
  <c r="E65" i="17"/>
  <c r="E12" i="16"/>
  <c r="E99" i="17"/>
  <c r="E76" i="15"/>
  <c r="G347" i="2"/>
  <c r="E193" i="17"/>
  <c r="E48" i="16"/>
  <c r="E124" i="17"/>
  <c r="E22" i="16"/>
  <c r="E46" i="13"/>
  <c r="E27" i="7"/>
  <c r="E86" i="17"/>
  <c r="E15" i="16"/>
  <c r="AD648" i="4"/>
  <c r="AD638" i="4"/>
  <c r="AD651" i="4"/>
  <c r="AD645" i="4"/>
  <c r="AD642" i="4"/>
  <c r="AD649" i="4"/>
  <c r="AD646" i="4"/>
  <c r="AD639" i="4"/>
  <c r="AD637" i="4"/>
  <c r="AD634" i="4"/>
  <c r="AD624" i="4"/>
  <c r="AD614" i="4"/>
  <c r="AD604" i="4"/>
  <c r="AD594" i="4"/>
  <c r="AD631" i="4"/>
  <c r="AD621" i="4"/>
  <c r="AD611" i="4"/>
  <c r="AD601" i="4"/>
  <c r="AD591" i="4"/>
  <c r="AD650" i="4"/>
  <c r="AD647" i="4"/>
  <c r="AD643" i="4"/>
  <c r="AD628" i="4"/>
  <c r="AD618" i="4"/>
  <c r="AD608" i="4"/>
  <c r="AD598" i="4"/>
  <c r="AD635" i="4"/>
  <c r="AD625" i="4"/>
  <c r="AD615" i="4"/>
  <c r="AD605" i="4"/>
  <c r="AD595" i="4"/>
  <c r="AD644" i="4"/>
  <c r="AD632" i="4"/>
  <c r="AD622" i="4"/>
  <c r="AD612" i="4"/>
  <c r="AD602" i="4"/>
  <c r="AD592" i="4"/>
  <c r="AD629" i="4"/>
  <c r="AD619" i="4"/>
  <c r="AD609" i="4"/>
  <c r="AD599" i="4"/>
  <c r="AD641" i="4"/>
  <c r="AD636" i="4"/>
  <c r="AD626" i="4"/>
  <c r="AD616" i="4"/>
  <c r="AD606" i="4"/>
  <c r="AD596" i="4"/>
  <c r="AD640" i="4"/>
  <c r="AD633" i="4"/>
  <c r="AD630" i="4"/>
  <c r="AD620" i="4"/>
  <c r="AD610" i="4"/>
  <c r="AD600" i="4"/>
  <c r="AD590" i="4"/>
  <c r="AD603" i="4"/>
  <c r="AD579" i="4"/>
  <c r="AD569" i="4"/>
  <c r="AD559" i="4"/>
  <c r="AD549" i="4"/>
  <c r="AD539" i="4"/>
  <c r="AD529" i="4"/>
  <c r="AD519" i="4"/>
  <c r="AD509" i="4"/>
  <c r="AD499" i="4"/>
  <c r="AD597" i="4"/>
  <c r="AD586" i="4"/>
  <c r="AD576" i="4"/>
  <c r="AD566" i="4"/>
  <c r="AD556" i="4"/>
  <c r="AD546" i="4"/>
  <c r="AD536" i="4"/>
  <c r="AD526" i="4"/>
  <c r="AD516" i="4"/>
  <c r="AD506" i="4"/>
  <c r="AD623" i="4"/>
  <c r="AD583" i="4"/>
  <c r="AD573" i="4"/>
  <c r="AD563" i="4"/>
  <c r="AD553" i="4"/>
  <c r="AD543" i="4"/>
  <c r="AD533" i="4"/>
  <c r="AD523" i="4"/>
  <c r="AD513" i="4"/>
  <c r="AD617" i="4"/>
  <c r="AD580" i="4"/>
  <c r="AD570" i="4"/>
  <c r="AD560" i="4"/>
  <c r="AD550" i="4"/>
  <c r="AD540" i="4"/>
  <c r="AD530" i="4"/>
  <c r="AD520" i="4"/>
  <c r="AD510" i="4"/>
  <c r="AD577" i="4"/>
  <c r="AD567" i="4"/>
  <c r="AD557" i="4"/>
  <c r="AD547" i="4"/>
  <c r="AD537" i="4"/>
  <c r="AD527" i="4"/>
  <c r="AD517" i="4"/>
  <c r="AD507" i="4"/>
  <c r="AD593" i="4"/>
  <c r="AD587" i="4"/>
  <c r="AD584" i="4"/>
  <c r="AD574" i="4"/>
  <c r="AD564" i="4"/>
  <c r="AD554" i="4"/>
  <c r="AD544" i="4"/>
  <c r="AD534" i="4"/>
  <c r="AD524" i="4"/>
  <c r="AD514" i="4"/>
  <c r="AD613" i="4"/>
  <c r="AD589" i="4"/>
  <c r="AD581" i="4"/>
  <c r="AD571" i="4"/>
  <c r="AD561" i="4"/>
  <c r="AD551" i="4"/>
  <c r="AD541" i="4"/>
  <c r="AD531" i="4"/>
  <c r="AD521" i="4"/>
  <c r="AD511" i="4"/>
  <c r="AD607" i="4"/>
  <c r="AD578" i="4"/>
  <c r="AD627" i="4"/>
  <c r="AD588" i="4"/>
  <c r="AD582" i="4"/>
  <c r="AD572" i="4"/>
  <c r="AD562" i="4"/>
  <c r="AD552" i="4"/>
  <c r="AD542" i="4"/>
  <c r="AD532" i="4"/>
  <c r="AD522" i="4"/>
  <c r="AD512" i="4"/>
  <c r="AD502" i="4"/>
  <c r="AD558" i="4"/>
  <c r="AD486" i="4"/>
  <c r="AD476" i="4"/>
  <c r="AD466" i="4"/>
  <c r="AD456" i="4"/>
  <c r="AD446" i="4"/>
  <c r="AD436" i="4"/>
  <c r="AD426" i="4"/>
  <c r="AD416" i="4"/>
  <c r="AD406" i="4"/>
  <c r="AD555" i="4"/>
  <c r="AD508" i="4"/>
  <c r="AD493" i="4"/>
  <c r="AD483" i="4"/>
  <c r="AD473" i="4"/>
  <c r="AD463" i="4"/>
  <c r="AD453" i="4"/>
  <c r="AD443" i="4"/>
  <c r="AD433" i="4"/>
  <c r="AD423" i="4"/>
  <c r="AD413" i="4"/>
  <c r="AD528" i="4"/>
  <c r="AD505" i="4"/>
  <c r="AD501" i="4"/>
  <c r="AD490" i="4"/>
  <c r="AD480" i="4"/>
  <c r="AD470" i="4"/>
  <c r="AD460" i="4"/>
  <c r="AD450" i="4"/>
  <c r="AD440" i="4"/>
  <c r="AD525" i="4"/>
  <c r="AD498" i="4"/>
  <c r="AD496" i="4"/>
  <c r="AD487" i="4"/>
  <c r="AD477" i="4"/>
  <c r="AD467" i="4"/>
  <c r="AD457" i="4"/>
  <c r="AD447" i="4"/>
  <c r="AD437" i="4"/>
  <c r="AD427" i="4"/>
  <c r="AD575" i="4"/>
  <c r="AD548" i="4"/>
  <c r="AD494" i="4"/>
  <c r="AD484" i="4"/>
  <c r="AD474" i="4"/>
  <c r="AD464" i="4"/>
  <c r="AD454" i="4"/>
  <c r="AD444" i="4"/>
  <c r="AD434" i="4"/>
  <c r="AD545" i="4"/>
  <c r="AD500" i="4"/>
  <c r="AD491" i="4"/>
  <c r="AD481" i="4"/>
  <c r="AD471" i="4"/>
  <c r="AD461" i="4"/>
  <c r="AD451" i="4"/>
  <c r="AD441" i="4"/>
  <c r="AD431" i="4"/>
  <c r="AD568" i="4"/>
  <c r="AD518" i="4"/>
  <c r="AD488" i="4"/>
  <c r="AD478" i="4"/>
  <c r="AD468" i="4"/>
  <c r="AD458" i="4"/>
  <c r="AD448" i="4"/>
  <c r="AD438" i="4"/>
  <c r="AD585" i="4"/>
  <c r="AD565" i="4"/>
  <c r="AD515" i="4"/>
  <c r="AD538" i="4"/>
  <c r="AD503" i="4"/>
  <c r="AD497" i="4"/>
  <c r="AD492" i="4"/>
  <c r="AD482" i="4"/>
  <c r="AD472" i="4"/>
  <c r="AD462" i="4"/>
  <c r="AD452" i="4"/>
  <c r="AD442" i="4"/>
  <c r="AD432" i="4"/>
  <c r="AD422" i="4"/>
  <c r="AD535" i="4"/>
  <c r="AD465" i="4"/>
  <c r="AD429" i="4"/>
  <c r="AD414" i="4"/>
  <c r="AD404" i="4"/>
  <c r="AD459" i="4"/>
  <c r="AD430" i="4"/>
  <c r="AD421" i="4"/>
  <c r="AD411" i="4"/>
  <c r="AD402" i="4"/>
  <c r="AD485" i="4"/>
  <c r="AD435" i="4"/>
  <c r="AD420" i="4"/>
  <c r="AD408" i="4"/>
  <c r="AD479" i="4"/>
  <c r="AD504" i="4"/>
  <c r="AD455" i="4"/>
  <c r="AD410" i="4"/>
  <c r="AD449" i="4"/>
  <c r="AD425" i="4"/>
  <c r="AD424" i="4"/>
  <c r="AD419" i="4"/>
  <c r="AD407" i="4"/>
  <c r="AD405" i="4"/>
  <c r="AD403" i="4"/>
  <c r="AD475" i="4"/>
  <c r="AD469" i="4"/>
  <c r="AD418" i="4"/>
  <c r="AD415" i="4"/>
  <c r="AD445" i="4"/>
  <c r="AD428" i="4"/>
  <c r="AD412" i="4"/>
  <c r="AD495" i="4"/>
  <c r="AD489" i="4"/>
  <c r="AD439" i="4"/>
  <c r="AD417" i="4"/>
  <c r="AD409" i="4"/>
  <c r="E29" i="12"/>
  <c r="E11" i="8"/>
  <c r="O398" i="4"/>
  <c r="O393" i="4"/>
  <c r="O388" i="4"/>
  <c r="O383" i="4"/>
  <c r="O378" i="4"/>
  <c r="O373" i="4"/>
  <c r="O368" i="4"/>
  <c r="O363" i="4"/>
  <c r="O358" i="4"/>
  <c r="O353" i="4"/>
  <c r="O348" i="4"/>
  <c r="O343" i="4"/>
  <c r="O338" i="4"/>
  <c r="O333" i="4"/>
  <c r="O328" i="4"/>
  <c r="O396" i="4"/>
  <c r="O391" i="4"/>
  <c r="O386" i="4"/>
  <c r="O381" i="4"/>
  <c r="O376" i="4"/>
  <c r="O371" i="4"/>
  <c r="O366" i="4"/>
  <c r="O361" i="4"/>
  <c r="O356" i="4"/>
  <c r="O351" i="4"/>
  <c r="O346" i="4"/>
  <c r="O341" i="4"/>
  <c r="O336" i="4"/>
  <c r="O401" i="4"/>
  <c r="O399" i="4"/>
  <c r="O394" i="4"/>
  <c r="O389" i="4"/>
  <c r="O384" i="4"/>
  <c r="O379" i="4"/>
  <c r="O374" i="4"/>
  <c r="O369" i="4"/>
  <c r="O364" i="4"/>
  <c r="O359" i="4"/>
  <c r="O354" i="4"/>
  <c r="O349" i="4"/>
  <c r="O344" i="4"/>
  <c r="O339" i="4"/>
  <c r="O334" i="4"/>
  <c r="O397" i="4"/>
  <c r="O392" i="4"/>
  <c r="O387" i="4"/>
  <c r="O382" i="4"/>
  <c r="O377" i="4"/>
  <c r="O372" i="4"/>
  <c r="O367" i="4"/>
  <c r="O362" i="4"/>
  <c r="O357" i="4"/>
  <c r="O352" i="4"/>
  <c r="O347" i="4"/>
  <c r="O342" i="4"/>
  <c r="O337" i="4"/>
  <c r="O395" i="4"/>
  <c r="O390" i="4"/>
  <c r="O400" i="4"/>
  <c r="O380" i="4"/>
  <c r="O355" i="4"/>
  <c r="O331" i="4"/>
  <c r="O325" i="4"/>
  <c r="O320" i="4"/>
  <c r="O315" i="4"/>
  <c r="O310" i="4"/>
  <c r="O305" i="4"/>
  <c r="O300" i="4"/>
  <c r="O295" i="4"/>
  <c r="O290" i="4"/>
  <c r="O285" i="4"/>
  <c r="O280" i="4"/>
  <c r="O275" i="4"/>
  <c r="O270" i="4"/>
  <c r="O265" i="4"/>
  <c r="O260" i="4"/>
  <c r="O255" i="4"/>
  <c r="O250" i="4"/>
  <c r="O245" i="4"/>
  <c r="O370" i="4"/>
  <c r="O345" i="4"/>
  <c r="O323" i="4"/>
  <c r="O318" i="4"/>
  <c r="O313" i="4"/>
  <c r="O308" i="4"/>
  <c r="O303" i="4"/>
  <c r="O298" i="4"/>
  <c r="O293" i="4"/>
  <c r="O288" i="4"/>
  <c r="O283" i="4"/>
  <c r="O278" i="4"/>
  <c r="O273" i="4"/>
  <c r="O268" i="4"/>
  <c r="O263" i="4"/>
  <c r="O258" i="4"/>
  <c r="O253" i="4"/>
  <c r="O248" i="4"/>
  <c r="O243" i="4"/>
  <c r="O385" i="4"/>
  <c r="O360" i="4"/>
  <c r="O330" i="4"/>
  <c r="O326" i="4"/>
  <c r="O321" i="4"/>
  <c r="O316" i="4"/>
  <c r="O311" i="4"/>
  <c r="O306" i="4"/>
  <c r="O301" i="4"/>
  <c r="O296" i="4"/>
  <c r="O291" i="4"/>
  <c r="O286" i="4"/>
  <c r="O281" i="4"/>
  <c r="O276" i="4"/>
  <c r="O271" i="4"/>
  <c r="O266" i="4"/>
  <c r="O261" i="4"/>
  <c r="O256" i="4"/>
  <c r="O251" i="4"/>
  <c r="O246" i="4"/>
  <c r="O375" i="4"/>
  <c r="O350" i="4"/>
  <c r="O332" i="4"/>
  <c r="O324" i="4"/>
  <c r="O319" i="4"/>
  <c r="O365" i="4"/>
  <c r="O335" i="4"/>
  <c r="O340" i="4"/>
  <c r="O329" i="4"/>
  <c r="O327" i="4"/>
  <c r="O322" i="4"/>
  <c r="O317" i="4"/>
  <c r="O312" i="4"/>
  <c r="O307" i="4"/>
  <c r="O302" i="4"/>
  <c r="O297" i="4"/>
  <c r="O292" i="4"/>
  <c r="O287" i="4"/>
  <c r="O282" i="4"/>
  <c r="O277" i="4"/>
  <c r="O272" i="4"/>
  <c r="O267" i="4"/>
  <c r="O262" i="4"/>
  <c r="O257" i="4"/>
  <c r="O252" i="4"/>
  <c r="O247" i="4"/>
  <c r="O242" i="4"/>
  <c r="O289" i="4"/>
  <c r="O264" i="4"/>
  <c r="O240" i="4"/>
  <c r="O235" i="4"/>
  <c r="O230" i="4"/>
  <c r="O225" i="4"/>
  <c r="O220" i="4"/>
  <c r="O215" i="4"/>
  <c r="O210" i="4"/>
  <c r="O205" i="4"/>
  <c r="O200" i="4"/>
  <c r="O195" i="4"/>
  <c r="O190" i="4"/>
  <c r="O185" i="4"/>
  <c r="O180" i="4"/>
  <c r="O175" i="4"/>
  <c r="O170" i="4"/>
  <c r="O165" i="4"/>
  <c r="O160" i="4"/>
  <c r="O155" i="4"/>
  <c r="O150" i="4"/>
  <c r="O145" i="4"/>
  <c r="O140" i="4"/>
  <c r="O314" i="4"/>
  <c r="O304" i="4"/>
  <c r="O279" i="4"/>
  <c r="O244" i="4"/>
  <c r="O238" i="4"/>
  <c r="O233" i="4"/>
  <c r="O228" i="4"/>
  <c r="O223" i="4"/>
  <c r="O218" i="4"/>
  <c r="O213" i="4"/>
  <c r="O208" i="4"/>
  <c r="O203" i="4"/>
  <c r="O198" i="4"/>
  <c r="O193" i="4"/>
  <c r="O188" i="4"/>
  <c r="O183" i="4"/>
  <c r="O178" i="4"/>
  <c r="O173" i="4"/>
  <c r="O168" i="4"/>
  <c r="O163" i="4"/>
  <c r="O158" i="4"/>
  <c r="O294" i="4"/>
  <c r="O269" i="4"/>
  <c r="O254" i="4"/>
  <c r="O249" i="4"/>
  <c r="O241" i="4"/>
  <c r="O236" i="4"/>
  <c r="O231" i="4"/>
  <c r="O226" i="4"/>
  <c r="O221" i="4"/>
  <c r="O216" i="4"/>
  <c r="O211" i="4"/>
  <c r="O206" i="4"/>
  <c r="O201" i="4"/>
  <c r="O196" i="4"/>
  <c r="O191" i="4"/>
  <c r="O186" i="4"/>
  <c r="O181" i="4"/>
  <c r="O176" i="4"/>
  <c r="O171" i="4"/>
  <c r="O166" i="4"/>
  <c r="O161" i="4"/>
  <c r="O156" i="4"/>
  <c r="O151" i="4"/>
  <c r="O309" i="4"/>
  <c r="O284" i="4"/>
  <c r="O259" i="4"/>
  <c r="O239" i="4"/>
  <c r="O234" i="4"/>
  <c r="O229" i="4"/>
  <c r="O224" i="4"/>
  <c r="O219" i="4"/>
  <c r="O214" i="4"/>
  <c r="O209" i="4"/>
  <c r="O204" i="4"/>
  <c r="O199" i="4"/>
  <c r="O194" i="4"/>
  <c r="O189" i="4"/>
  <c r="O184" i="4"/>
  <c r="O179" i="4"/>
  <c r="O174" i="4"/>
  <c r="O169" i="4"/>
  <c r="O164" i="4"/>
  <c r="O299" i="4"/>
  <c r="O274" i="4"/>
  <c r="O237" i="4"/>
  <c r="O232" i="4"/>
  <c r="O227" i="4"/>
  <c r="O154" i="4"/>
  <c r="O141" i="4"/>
  <c r="O135" i="4"/>
  <c r="O130" i="4"/>
  <c r="O125" i="4"/>
  <c r="O120" i="4"/>
  <c r="O115" i="4"/>
  <c r="O110" i="4"/>
  <c r="O105" i="4"/>
  <c r="O100" i="4"/>
  <c r="O95" i="4"/>
  <c r="O90" i="4"/>
  <c r="O85" i="4"/>
  <c r="O80" i="4"/>
  <c r="O75" i="4"/>
  <c r="O70" i="4"/>
  <c r="O65" i="4"/>
  <c r="O60" i="4"/>
  <c r="O55" i="4"/>
  <c r="O50" i="4"/>
  <c r="O45" i="4"/>
  <c r="O217" i="4"/>
  <c r="O192" i="4"/>
  <c r="O143" i="4"/>
  <c r="O167" i="4"/>
  <c r="O133" i="4"/>
  <c r="O128" i="4"/>
  <c r="O123" i="4"/>
  <c r="O118" i="4"/>
  <c r="O113" i="4"/>
  <c r="O108" i="4"/>
  <c r="O103" i="4"/>
  <c r="O98" i="4"/>
  <c r="O93" i="4"/>
  <c r="O88" i="4"/>
  <c r="O83" i="4"/>
  <c r="O78" i="4"/>
  <c r="O73" i="4"/>
  <c r="O68" i="4"/>
  <c r="O63" i="4"/>
  <c r="O207" i="4"/>
  <c r="O182" i="4"/>
  <c r="O153" i="4"/>
  <c r="O138" i="4"/>
  <c r="O162" i="4"/>
  <c r="O159" i="4"/>
  <c r="O147" i="4"/>
  <c r="O136" i="4"/>
  <c r="O131" i="4"/>
  <c r="O126" i="4"/>
  <c r="O121" i="4"/>
  <c r="O116" i="4"/>
  <c r="O111" i="4"/>
  <c r="O106" i="4"/>
  <c r="O101" i="4"/>
  <c r="O96" i="4"/>
  <c r="O91" i="4"/>
  <c r="O86" i="4"/>
  <c r="O81" i="4"/>
  <c r="O76" i="4"/>
  <c r="O71" i="4"/>
  <c r="O66" i="4"/>
  <c r="O222" i="4"/>
  <c r="O197" i="4"/>
  <c r="O172" i="4"/>
  <c r="O149" i="4"/>
  <c r="O152" i="4"/>
  <c r="O142" i="4"/>
  <c r="O134" i="4"/>
  <c r="O129" i="4"/>
  <c r="O124" i="4"/>
  <c r="O119" i="4"/>
  <c r="O114" i="4"/>
  <c r="O109" i="4"/>
  <c r="O104" i="4"/>
  <c r="O99" i="4"/>
  <c r="O94" i="4"/>
  <c r="O89" i="4"/>
  <c r="O84" i="4"/>
  <c r="O79" i="4"/>
  <c r="O74" i="4"/>
  <c r="O212" i="4"/>
  <c r="O187" i="4"/>
  <c r="O157" i="4"/>
  <c r="O144" i="4"/>
  <c r="O146" i="4"/>
  <c r="O202" i="4"/>
  <c r="O177" i="4"/>
  <c r="O148" i="4"/>
  <c r="O117" i="4"/>
  <c r="O92" i="4"/>
  <c r="O53" i="4"/>
  <c r="O139" i="4"/>
  <c r="O64" i="4"/>
  <c r="O46" i="4"/>
  <c r="O44" i="4"/>
  <c r="O39" i="4"/>
  <c r="O34" i="4"/>
  <c r="O29" i="4"/>
  <c r="O24" i="4"/>
  <c r="O19" i="4"/>
  <c r="O14" i="4"/>
  <c r="O9" i="4"/>
  <c r="O4" i="4"/>
  <c r="O132" i="4"/>
  <c r="O107" i="4"/>
  <c r="O82" i="4"/>
  <c r="O62" i="4"/>
  <c r="O61" i="4"/>
  <c r="O48" i="4"/>
  <c r="O57" i="4"/>
  <c r="O42" i="4"/>
  <c r="O37" i="4"/>
  <c r="O32" i="4"/>
  <c r="O27" i="4"/>
  <c r="O22" i="4"/>
  <c r="O17" i="4"/>
  <c r="O12" i="4"/>
  <c r="O7" i="4"/>
  <c r="O2" i="4"/>
  <c r="O122" i="4"/>
  <c r="O97" i="4"/>
  <c r="O67" i="4"/>
  <c r="O52" i="4"/>
  <c r="O40" i="4"/>
  <c r="O35" i="4"/>
  <c r="O30" i="4"/>
  <c r="O25" i="4"/>
  <c r="O20" i="4"/>
  <c r="O15" i="4"/>
  <c r="O10" i="4"/>
  <c r="O5" i="4"/>
  <c r="O137" i="4"/>
  <c r="O112" i="4"/>
  <c r="O87" i="4"/>
  <c r="O72" i="4"/>
  <c r="O54" i="4"/>
  <c r="O59" i="4"/>
  <c r="O56" i="4"/>
  <c r="O47" i="4"/>
  <c r="O43" i="4"/>
  <c r="O38" i="4"/>
  <c r="O33" i="4"/>
  <c r="O28" i="4"/>
  <c r="O23" i="4"/>
  <c r="O18" i="4"/>
  <c r="O13" i="4"/>
  <c r="O8" i="4"/>
  <c r="O3" i="4"/>
  <c r="O127" i="4"/>
  <c r="O102" i="4"/>
  <c r="O77" i="4"/>
  <c r="O69" i="4"/>
  <c r="O49" i="4"/>
  <c r="O58" i="4"/>
  <c r="O51" i="4"/>
  <c r="O41" i="4"/>
  <c r="O36" i="4"/>
  <c r="O31" i="4"/>
  <c r="O26" i="4"/>
  <c r="O21" i="4"/>
  <c r="O16" i="4"/>
  <c r="O11" i="4"/>
  <c r="O6" i="4"/>
  <c r="Q396" i="4"/>
  <c r="Q391" i="4"/>
  <c r="Q386" i="4"/>
  <c r="Q381" i="4"/>
  <c r="Q376" i="4"/>
  <c r="Q371" i="4"/>
  <c r="Q366" i="4"/>
  <c r="Q361" i="4"/>
  <c r="Q356" i="4"/>
  <c r="Q351" i="4"/>
  <c r="Q346" i="4"/>
  <c r="Q341" i="4"/>
  <c r="Q336" i="4"/>
  <c r="Q331" i="4"/>
  <c r="Q401" i="4"/>
  <c r="Q399" i="4"/>
  <c r="Q394" i="4"/>
  <c r="Q389" i="4"/>
  <c r="Q384" i="4"/>
  <c r="Q379" i="4"/>
  <c r="Q374" i="4"/>
  <c r="Q369" i="4"/>
  <c r="Q364" i="4"/>
  <c r="Q359" i="4"/>
  <c r="Q354" i="4"/>
  <c r="Q349" i="4"/>
  <c r="Q344" i="4"/>
  <c r="Q339" i="4"/>
  <c r="Q397" i="4"/>
  <c r="Q392" i="4"/>
  <c r="Q387" i="4"/>
  <c r="Q382" i="4"/>
  <c r="Q377" i="4"/>
  <c r="Q372" i="4"/>
  <c r="Q367" i="4"/>
  <c r="Q362" i="4"/>
  <c r="Q357" i="4"/>
  <c r="Q352" i="4"/>
  <c r="Q347" i="4"/>
  <c r="Q342" i="4"/>
  <c r="Q337" i="4"/>
  <c r="Q395" i="4"/>
  <c r="Q390" i="4"/>
  <c r="Q385" i="4"/>
  <c r="Q380" i="4"/>
  <c r="Q375" i="4"/>
  <c r="Q370" i="4"/>
  <c r="Q365" i="4"/>
  <c r="Q360" i="4"/>
  <c r="Q355" i="4"/>
  <c r="Q350" i="4"/>
  <c r="Q345" i="4"/>
  <c r="Q340" i="4"/>
  <c r="Q400" i="4"/>
  <c r="Q398" i="4"/>
  <c r="Q393" i="4"/>
  <c r="Q388" i="4"/>
  <c r="Q383" i="4"/>
  <c r="Q358" i="4"/>
  <c r="Q333" i="4"/>
  <c r="Q323" i="4"/>
  <c r="Q318" i="4"/>
  <c r="Q313" i="4"/>
  <c r="Q308" i="4"/>
  <c r="Q303" i="4"/>
  <c r="Q298" i="4"/>
  <c r="Q293" i="4"/>
  <c r="Q288" i="4"/>
  <c r="Q283" i="4"/>
  <c r="Q278" i="4"/>
  <c r="Q273" i="4"/>
  <c r="Q268" i="4"/>
  <c r="Q263" i="4"/>
  <c r="Q258" i="4"/>
  <c r="Q253" i="4"/>
  <c r="Q248" i="4"/>
  <c r="Q243" i="4"/>
  <c r="Q373" i="4"/>
  <c r="Q348" i="4"/>
  <c r="Q328" i="4"/>
  <c r="Q330" i="4"/>
  <c r="Q326" i="4"/>
  <c r="Q321" i="4"/>
  <c r="Q316" i="4"/>
  <c r="Q311" i="4"/>
  <c r="Q306" i="4"/>
  <c r="Q301" i="4"/>
  <c r="Q296" i="4"/>
  <c r="Q291" i="4"/>
  <c r="Q286" i="4"/>
  <c r="Q281" i="4"/>
  <c r="Q276" i="4"/>
  <c r="Q271" i="4"/>
  <c r="Q266" i="4"/>
  <c r="Q261" i="4"/>
  <c r="Q256" i="4"/>
  <c r="Q251" i="4"/>
  <c r="Q246" i="4"/>
  <c r="Q241" i="4"/>
  <c r="Q363" i="4"/>
  <c r="Q332" i="4"/>
  <c r="Q324" i="4"/>
  <c r="Q319" i="4"/>
  <c r="Q314" i="4"/>
  <c r="Q309" i="4"/>
  <c r="Q304" i="4"/>
  <c r="Q299" i="4"/>
  <c r="Q294" i="4"/>
  <c r="Q289" i="4"/>
  <c r="Q284" i="4"/>
  <c r="Q279" i="4"/>
  <c r="Q274" i="4"/>
  <c r="Q269" i="4"/>
  <c r="Q264" i="4"/>
  <c r="Q259" i="4"/>
  <c r="Q254" i="4"/>
  <c r="Q249" i="4"/>
  <c r="Q244" i="4"/>
  <c r="Q378" i="4"/>
  <c r="Q353" i="4"/>
  <c r="Q335" i="4"/>
  <c r="Q338" i="4"/>
  <c r="Q329" i="4"/>
  <c r="Q327" i="4"/>
  <c r="Q322" i="4"/>
  <c r="Q317" i="4"/>
  <c r="Q368" i="4"/>
  <c r="Q343" i="4"/>
  <c r="Q334" i="4"/>
  <c r="Q325" i="4"/>
  <c r="Q320" i="4"/>
  <c r="Q315" i="4"/>
  <c r="Q310" i="4"/>
  <c r="Q305" i="4"/>
  <c r="Q300" i="4"/>
  <c r="Q295" i="4"/>
  <c r="Q290" i="4"/>
  <c r="Q285" i="4"/>
  <c r="Q280" i="4"/>
  <c r="Q275" i="4"/>
  <c r="Q270" i="4"/>
  <c r="Q265" i="4"/>
  <c r="Q260" i="4"/>
  <c r="Q255" i="4"/>
  <c r="Q250" i="4"/>
  <c r="Q245" i="4"/>
  <c r="Q292" i="4"/>
  <c r="Q267" i="4"/>
  <c r="Q242" i="4"/>
  <c r="Q238" i="4"/>
  <c r="Q233" i="4"/>
  <c r="Q228" i="4"/>
  <c r="Q223" i="4"/>
  <c r="Q218" i="4"/>
  <c r="Q213" i="4"/>
  <c r="Q208" i="4"/>
  <c r="Q203" i="4"/>
  <c r="Q198" i="4"/>
  <c r="Q193" i="4"/>
  <c r="Q188" i="4"/>
  <c r="Q183" i="4"/>
  <c r="Q178" i="4"/>
  <c r="Q173" i="4"/>
  <c r="Q168" i="4"/>
  <c r="Q163" i="4"/>
  <c r="Q158" i="4"/>
  <c r="Q153" i="4"/>
  <c r="Q148" i="4"/>
  <c r="Q143" i="4"/>
  <c r="Q138" i="4"/>
  <c r="Q307" i="4"/>
  <c r="Q282" i="4"/>
  <c r="Q257" i="4"/>
  <c r="Q247" i="4"/>
  <c r="Q236" i="4"/>
  <c r="Q231" i="4"/>
  <c r="Q226" i="4"/>
  <c r="Q221" i="4"/>
  <c r="Q216" i="4"/>
  <c r="Q211" i="4"/>
  <c r="Q206" i="4"/>
  <c r="Q201" i="4"/>
  <c r="Q196" i="4"/>
  <c r="Q191" i="4"/>
  <c r="Q186" i="4"/>
  <c r="Q181" i="4"/>
  <c r="Q176" i="4"/>
  <c r="Q171" i="4"/>
  <c r="Q166" i="4"/>
  <c r="Q161" i="4"/>
  <c r="Q156" i="4"/>
  <c r="Q297" i="4"/>
  <c r="Q272" i="4"/>
  <c r="Q252" i="4"/>
  <c r="Q239" i="4"/>
  <c r="Q234" i="4"/>
  <c r="Q229" i="4"/>
  <c r="Q224" i="4"/>
  <c r="Q219" i="4"/>
  <c r="Q214" i="4"/>
  <c r="Q209" i="4"/>
  <c r="Q204" i="4"/>
  <c r="Q199" i="4"/>
  <c r="Q194" i="4"/>
  <c r="Q189" i="4"/>
  <c r="Q184" i="4"/>
  <c r="Q179" i="4"/>
  <c r="Q174" i="4"/>
  <c r="Q169" i="4"/>
  <c r="Q164" i="4"/>
  <c r="Q159" i="4"/>
  <c r="Q154" i="4"/>
  <c r="Q312" i="4"/>
  <c r="Q287" i="4"/>
  <c r="Q262" i="4"/>
  <c r="Q237" i="4"/>
  <c r="Q232" i="4"/>
  <c r="Q227" i="4"/>
  <c r="Q222" i="4"/>
  <c r="Q217" i="4"/>
  <c r="Q212" i="4"/>
  <c r="Q207" i="4"/>
  <c r="Q202" i="4"/>
  <c r="Q197" i="4"/>
  <c r="Q192" i="4"/>
  <c r="Q187" i="4"/>
  <c r="Q182" i="4"/>
  <c r="Q177" i="4"/>
  <c r="Q172" i="4"/>
  <c r="Q167" i="4"/>
  <c r="Q162" i="4"/>
  <c r="Q302" i="4"/>
  <c r="Q277" i="4"/>
  <c r="Q240" i="4"/>
  <c r="Q235" i="4"/>
  <c r="Q230" i="4"/>
  <c r="Q225" i="4"/>
  <c r="Q150" i="4"/>
  <c r="Q133" i="4"/>
  <c r="Q128" i="4"/>
  <c r="Q123" i="4"/>
  <c r="Q118" i="4"/>
  <c r="Q113" i="4"/>
  <c r="Q108" i="4"/>
  <c r="Q103" i="4"/>
  <c r="Q98" i="4"/>
  <c r="Q93" i="4"/>
  <c r="Q88" i="4"/>
  <c r="Q83" i="4"/>
  <c r="Q78" i="4"/>
  <c r="Q73" i="4"/>
  <c r="Q68" i="4"/>
  <c r="Q63" i="4"/>
  <c r="Q58" i="4"/>
  <c r="Q53" i="4"/>
  <c r="Q48" i="4"/>
  <c r="Q220" i="4"/>
  <c r="Q195" i="4"/>
  <c r="Q145" i="4"/>
  <c r="Q160" i="4"/>
  <c r="Q147" i="4"/>
  <c r="Q136" i="4"/>
  <c r="Q131" i="4"/>
  <c r="Q126" i="4"/>
  <c r="Q121" i="4"/>
  <c r="Q116" i="4"/>
  <c r="Q111" i="4"/>
  <c r="Q106" i="4"/>
  <c r="Q101" i="4"/>
  <c r="Q96" i="4"/>
  <c r="Q91" i="4"/>
  <c r="Q86" i="4"/>
  <c r="Q81" i="4"/>
  <c r="Q76" i="4"/>
  <c r="Q71" i="4"/>
  <c r="Q66" i="4"/>
  <c r="Q61" i="4"/>
  <c r="Q210" i="4"/>
  <c r="Q185" i="4"/>
  <c r="Q149" i="4"/>
  <c r="Q140" i="4"/>
  <c r="Q170" i="4"/>
  <c r="Q152" i="4"/>
  <c r="Q142" i="4"/>
  <c r="Q134" i="4"/>
  <c r="Q129" i="4"/>
  <c r="Q124" i="4"/>
  <c r="Q119" i="4"/>
  <c r="Q114" i="4"/>
  <c r="Q109" i="4"/>
  <c r="Q104" i="4"/>
  <c r="Q99" i="4"/>
  <c r="Q94" i="4"/>
  <c r="Q89" i="4"/>
  <c r="Q84" i="4"/>
  <c r="Q79" i="4"/>
  <c r="Q74" i="4"/>
  <c r="Q69" i="4"/>
  <c r="Q64" i="4"/>
  <c r="Q200" i="4"/>
  <c r="Q175" i="4"/>
  <c r="Q157" i="4"/>
  <c r="Q144" i="4"/>
  <c r="Q165" i="4"/>
  <c r="Q146" i="4"/>
  <c r="Q137" i="4"/>
  <c r="Q132" i="4"/>
  <c r="Q127" i="4"/>
  <c r="Q122" i="4"/>
  <c r="Q117" i="4"/>
  <c r="Q112" i="4"/>
  <c r="Q107" i="4"/>
  <c r="Q102" i="4"/>
  <c r="Q97" i="4"/>
  <c r="Q92" i="4"/>
  <c r="Q87" i="4"/>
  <c r="Q82" i="4"/>
  <c r="Q77" i="4"/>
  <c r="Q72" i="4"/>
  <c r="Q215" i="4"/>
  <c r="Q190" i="4"/>
  <c r="Q151" i="4"/>
  <c r="Q139" i="4"/>
  <c r="Q155" i="4"/>
  <c r="Q141" i="4"/>
  <c r="Q205" i="4"/>
  <c r="Q180" i="4"/>
  <c r="Q120" i="4"/>
  <c r="Q95" i="4"/>
  <c r="Q62" i="4"/>
  <c r="Q55" i="4"/>
  <c r="Q65" i="4"/>
  <c r="Q57" i="4"/>
  <c r="Q42" i="4"/>
  <c r="Q37" i="4"/>
  <c r="Q32" i="4"/>
  <c r="Q27" i="4"/>
  <c r="Q22" i="4"/>
  <c r="Q17" i="4"/>
  <c r="Q12" i="4"/>
  <c r="Q7" i="4"/>
  <c r="Q2" i="4"/>
  <c r="Q135" i="4"/>
  <c r="Q110" i="4"/>
  <c r="Q85" i="4"/>
  <c r="Q50" i="4"/>
  <c r="Q67" i="4"/>
  <c r="Q60" i="4"/>
  <c r="Q52" i="4"/>
  <c r="Q40" i="4"/>
  <c r="Q35" i="4"/>
  <c r="Q30" i="4"/>
  <c r="Q25" i="4"/>
  <c r="Q20" i="4"/>
  <c r="Q15" i="4"/>
  <c r="Q10" i="4"/>
  <c r="Q5" i="4"/>
  <c r="Q125" i="4"/>
  <c r="Q100" i="4"/>
  <c r="Q75" i="4"/>
  <c r="Q54" i="4"/>
  <c r="Q45" i="4"/>
  <c r="Q59" i="4"/>
  <c r="Q56" i="4"/>
  <c r="Q47" i="4"/>
  <c r="Q43" i="4"/>
  <c r="Q38" i="4"/>
  <c r="Q33" i="4"/>
  <c r="Q28" i="4"/>
  <c r="Q23" i="4"/>
  <c r="Q18" i="4"/>
  <c r="Q13" i="4"/>
  <c r="Q8" i="4"/>
  <c r="Q3" i="4"/>
  <c r="Q115" i="4"/>
  <c r="Q90" i="4"/>
  <c r="Q49" i="4"/>
  <c r="Q51" i="4"/>
  <c r="Q41" i="4"/>
  <c r="Q36" i="4"/>
  <c r="Q31" i="4"/>
  <c r="Q26" i="4"/>
  <c r="Q21" i="4"/>
  <c r="Q16" i="4"/>
  <c r="Q11" i="4"/>
  <c r="Q6" i="4"/>
  <c r="Q130" i="4"/>
  <c r="Q105" i="4"/>
  <c r="Q80" i="4"/>
  <c r="Q70" i="4"/>
  <c r="Q46" i="4"/>
  <c r="Q44" i="4"/>
  <c r="Q39" i="4"/>
  <c r="Q34" i="4"/>
  <c r="Q29" i="4"/>
  <c r="Q24" i="4"/>
  <c r="Q19" i="4"/>
  <c r="Q14" i="4"/>
  <c r="Q9" i="4"/>
  <c r="Q4" i="4"/>
  <c r="Y643" i="4"/>
  <c r="Y650" i="4"/>
  <c r="Y640" i="4"/>
  <c r="Y647" i="4"/>
  <c r="Y644" i="4"/>
  <c r="Y648" i="4"/>
  <c r="Y651" i="4"/>
  <c r="Y645" i="4"/>
  <c r="Y646" i="4"/>
  <c r="Y629" i="4"/>
  <c r="Y619" i="4"/>
  <c r="Y609" i="4"/>
  <c r="Y599" i="4"/>
  <c r="Y589" i="4"/>
  <c r="Y636" i="4"/>
  <c r="Y626" i="4"/>
  <c r="Y616" i="4"/>
  <c r="Y606" i="4"/>
  <c r="Y596" i="4"/>
  <c r="Y633" i="4"/>
  <c r="Y623" i="4"/>
  <c r="Y613" i="4"/>
  <c r="Y603" i="4"/>
  <c r="Y593" i="4"/>
  <c r="Y630" i="4"/>
  <c r="Y620" i="4"/>
  <c r="Y610" i="4"/>
  <c r="Y600" i="4"/>
  <c r="Y590" i="4"/>
  <c r="Y637" i="4"/>
  <c r="Y627" i="4"/>
  <c r="Y617" i="4"/>
  <c r="Y607" i="4"/>
  <c r="Y597" i="4"/>
  <c r="Y639" i="4"/>
  <c r="Y634" i="4"/>
  <c r="Y624" i="4"/>
  <c r="Y614" i="4"/>
  <c r="Y604" i="4"/>
  <c r="Y594" i="4"/>
  <c r="Y631" i="4"/>
  <c r="Y621" i="4"/>
  <c r="Y611" i="4"/>
  <c r="Y601" i="4"/>
  <c r="Y649" i="4"/>
  <c r="Y642" i="4"/>
  <c r="Y641" i="4"/>
  <c r="Y635" i="4"/>
  <c r="Y625" i="4"/>
  <c r="Y615" i="4"/>
  <c r="Y605" i="4"/>
  <c r="Y595" i="4"/>
  <c r="Y638" i="4"/>
  <c r="Y632" i="4"/>
  <c r="Y618" i="4"/>
  <c r="Y591" i="4"/>
  <c r="Y584" i="4"/>
  <c r="Y574" i="4"/>
  <c r="Y564" i="4"/>
  <c r="Y554" i="4"/>
  <c r="Y544" i="4"/>
  <c r="Y534" i="4"/>
  <c r="Y524" i="4"/>
  <c r="Y514" i="4"/>
  <c r="Y504" i="4"/>
  <c r="Y612" i="4"/>
  <c r="Y581" i="4"/>
  <c r="Y571" i="4"/>
  <c r="Y561" i="4"/>
  <c r="Y551" i="4"/>
  <c r="Y541" i="4"/>
  <c r="Y531" i="4"/>
  <c r="Y521" i="4"/>
  <c r="Y511" i="4"/>
  <c r="Y501" i="4"/>
  <c r="Y578" i="4"/>
  <c r="Y568" i="4"/>
  <c r="Y558" i="4"/>
  <c r="Y548" i="4"/>
  <c r="Y538" i="4"/>
  <c r="Y528" i="4"/>
  <c r="Y518" i="4"/>
  <c r="Y585" i="4"/>
  <c r="Y575" i="4"/>
  <c r="Y565" i="4"/>
  <c r="Y555" i="4"/>
  <c r="Y545" i="4"/>
  <c r="Y535" i="4"/>
  <c r="Y525" i="4"/>
  <c r="Y515" i="4"/>
  <c r="Y505" i="4"/>
  <c r="Y608" i="4"/>
  <c r="Y592" i="4"/>
  <c r="Y588" i="4"/>
  <c r="Y582" i="4"/>
  <c r="Y572" i="4"/>
  <c r="Y562" i="4"/>
  <c r="Y552" i="4"/>
  <c r="Y542" i="4"/>
  <c r="Y532" i="4"/>
  <c r="Y522" i="4"/>
  <c r="Y512" i="4"/>
  <c r="Y602" i="4"/>
  <c r="Y579" i="4"/>
  <c r="Y569" i="4"/>
  <c r="Y559" i="4"/>
  <c r="Y549" i="4"/>
  <c r="Y539" i="4"/>
  <c r="Y529" i="4"/>
  <c r="Y519" i="4"/>
  <c r="Y509" i="4"/>
  <c r="Y628" i="4"/>
  <c r="Y586" i="4"/>
  <c r="Y576" i="4"/>
  <c r="Y566" i="4"/>
  <c r="Y556" i="4"/>
  <c r="Y546" i="4"/>
  <c r="Y536" i="4"/>
  <c r="Y526" i="4"/>
  <c r="Y516" i="4"/>
  <c r="Y622" i="4"/>
  <c r="Y583" i="4"/>
  <c r="Y573" i="4"/>
  <c r="Y598" i="4"/>
  <c r="Y587" i="4"/>
  <c r="Y577" i="4"/>
  <c r="Y567" i="4"/>
  <c r="Y557" i="4"/>
  <c r="Y547" i="4"/>
  <c r="Y537" i="4"/>
  <c r="Y527" i="4"/>
  <c r="Y517" i="4"/>
  <c r="Y507" i="4"/>
  <c r="Y523" i="4"/>
  <c r="Y500" i="4"/>
  <c r="Y491" i="4"/>
  <c r="Y481" i="4"/>
  <c r="Y471" i="4"/>
  <c r="Y461" i="4"/>
  <c r="Y451" i="4"/>
  <c r="Y441" i="4"/>
  <c r="Y431" i="4"/>
  <c r="Y421" i="4"/>
  <c r="Y411" i="4"/>
  <c r="Y520" i="4"/>
  <c r="Y503" i="4"/>
  <c r="Y488" i="4"/>
  <c r="Y478" i="4"/>
  <c r="Y468" i="4"/>
  <c r="Y458" i="4"/>
  <c r="Y448" i="4"/>
  <c r="Y438" i="4"/>
  <c r="Y428" i="4"/>
  <c r="Y418" i="4"/>
  <c r="Y408" i="4"/>
  <c r="Y543" i="4"/>
  <c r="Y502" i="4"/>
  <c r="Y485" i="4"/>
  <c r="Y475" i="4"/>
  <c r="Y465" i="4"/>
  <c r="Y455" i="4"/>
  <c r="Y445" i="4"/>
  <c r="Y435" i="4"/>
  <c r="Y570" i="4"/>
  <c r="Y540" i="4"/>
  <c r="Y508" i="4"/>
  <c r="Y499" i="4"/>
  <c r="Y497" i="4"/>
  <c r="Y495" i="4"/>
  <c r="Y492" i="4"/>
  <c r="Y482" i="4"/>
  <c r="Y472" i="4"/>
  <c r="Y462" i="4"/>
  <c r="Y452" i="4"/>
  <c r="Y442" i="4"/>
  <c r="Y432" i="4"/>
  <c r="Y563" i="4"/>
  <c r="Y513" i="4"/>
  <c r="Y489" i="4"/>
  <c r="Y479" i="4"/>
  <c r="Y469" i="4"/>
  <c r="Y459" i="4"/>
  <c r="Y449" i="4"/>
  <c r="Y439" i="4"/>
  <c r="Y429" i="4"/>
  <c r="Y560" i="4"/>
  <c r="Y510" i="4"/>
  <c r="Y486" i="4"/>
  <c r="Y476" i="4"/>
  <c r="Y466" i="4"/>
  <c r="Y456" i="4"/>
  <c r="Y446" i="4"/>
  <c r="Y436" i="4"/>
  <c r="Y580" i="4"/>
  <c r="Y533" i="4"/>
  <c r="Y506" i="4"/>
  <c r="Y493" i="4"/>
  <c r="Y483" i="4"/>
  <c r="Y473" i="4"/>
  <c r="Y463" i="4"/>
  <c r="Y453" i="4"/>
  <c r="Y443" i="4"/>
  <c r="Y433" i="4"/>
  <c r="Y530" i="4"/>
  <c r="Y498" i="4"/>
  <c r="Y553" i="4"/>
  <c r="Y496" i="4"/>
  <c r="Y487" i="4"/>
  <c r="Y477" i="4"/>
  <c r="Y467" i="4"/>
  <c r="Y457" i="4"/>
  <c r="Y447" i="4"/>
  <c r="Y437" i="4"/>
  <c r="Y427" i="4"/>
  <c r="Y550" i="4"/>
  <c r="Y480" i="4"/>
  <c r="Y415" i="4"/>
  <c r="Y407" i="4"/>
  <c r="Y403" i="4"/>
  <c r="Y474" i="4"/>
  <c r="Y423" i="4"/>
  <c r="Y412" i="4"/>
  <c r="Y450" i="4"/>
  <c r="Y422" i="4"/>
  <c r="Y409" i="4"/>
  <c r="Y494" i="4"/>
  <c r="Y444" i="4"/>
  <c r="Y470" i="4"/>
  <c r="Y430" i="4"/>
  <c r="Y417" i="4"/>
  <c r="Y406" i="4"/>
  <c r="Y464" i="4"/>
  <c r="Y414" i="4"/>
  <c r="Y404" i="4"/>
  <c r="Y402" i="4"/>
  <c r="Y490" i="4"/>
  <c r="Y440" i="4"/>
  <c r="Y484" i="4"/>
  <c r="Y434" i="4"/>
  <c r="Y426" i="4"/>
  <c r="Y425" i="4"/>
  <c r="Y420" i="4"/>
  <c r="Y416" i="4"/>
  <c r="Y460" i="4"/>
  <c r="Y419" i="4"/>
  <c r="Y413" i="4"/>
  <c r="Y454" i="4"/>
  <c r="Y424" i="4"/>
  <c r="Y410" i="4"/>
  <c r="Y405" i="4"/>
  <c r="AI643" i="4"/>
  <c r="AI640" i="4"/>
  <c r="AI650" i="4"/>
  <c r="AI647" i="4"/>
  <c r="AI644" i="4"/>
  <c r="AI648" i="4"/>
  <c r="AI645" i="4"/>
  <c r="AI651" i="4"/>
  <c r="AI646" i="4"/>
  <c r="AI642" i="4"/>
  <c r="AI638" i="4"/>
  <c r="AI629" i="4"/>
  <c r="AI619" i="4"/>
  <c r="AI609" i="4"/>
  <c r="AI599" i="4"/>
  <c r="AI589" i="4"/>
  <c r="AI641" i="4"/>
  <c r="AI636" i="4"/>
  <c r="AI626" i="4"/>
  <c r="AI616" i="4"/>
  <c r="AI606" i="4"/>
  <c r="AI596" i="4"/>
  <c r="AI633" i="4"/>
  <c r="AI623" i="4"/>
  <c r="AI613" i="4"/>
  <c r="AI603" i="4"/>
  <c r="AI593" i="4"/>
  <c r="AI630" i="4"/>
  <c r="AI620" i="4"/>
  <c r="AI610" i="4"/>
  <c r="AI600" i="4"/>
  <c r="AI590" i="4"/>
  <c r="AI627" i="4"/>
  <c r="AI617" i="4"/>
  <c r="AI607" i="4"/>
  <c r="AI597" i="4"/>
  <c r="AI649" i="4"/>
  <c r="AI637" i="4"/>
  <c r="AI634" i="4"/>
  <c r="AI624" i="4"/>
  <c r="AI614" i="4"/>
  <c r="AI604" i="4"/>
  <c r="AI594" i="4"/>
  <c r="AI631" i="4"/>
  <c r="AI621" i="4"/>
  <c r="AI611" i="4"/>
  <c r="AI601" i="4"/>
  <c r="AI639" i="4"/>
  <c r="AI635" i="4"/>
  <c r="AI625" i="4"/>
  <c r="AI615" i="4"/>
  <c r="AI605" i="4"/>
  <c r="AI595" i="4"/>
  <c r="AI632" i="4"/>
  <c r="AI592" i="4"/>
  <c r="AI587" i="4"/>
  <c r="AI584" i="4"/>
  <c r="AI574" i="4"/>
  <c r="AI564" i="4"/>
  <c r="AI554" i="4"/>
  <c r="AI544" i="4"/>
  <c r="AI534" i="4"/>
  <c r="AI524" i="4"/>
  <c r="AI514" i="4"/>
  <c r="AI504" i="4"/>
  <c r="AI494" i="4"/>
  <c r="AI581" i="4"/>
  <c r="AI571" i="4"/>
  <c r="AI561" i="4"/>
  <c r="AI551" i="4"/>
  <c r="AI541" i="4"/>
  <c r="AI531" i="4"/>
  <c r="AI521" i="4"/>
  <c r="AI511" i="4"/>
  <c r="AI501" i="4"/>
  <c r="AI608" i="4"/>
  <c r="AI578" i="4"/>
  <c r="AI568" i="4"/>
  <c r="AI558" i="4"/>
  <c r="AI548" i="4"/>
  <c r="AI538" i="4"/>
  <c r="AI528" i="4"/>
  <c r="AI518" i="4"/>
  <c r="AI602" i="4"/>
  <c r="AI585" i="4"/>
  <c r="AI575" i="4"/>
  <c r="AI565" i="4"/>
  <c r="AI555" i="4"/>
  <c r="AI545" i="4"/>
  <c r="AI535" i="4"/>
  <c r="AI525" i="4"/>
  <c r="AI515" i="4"/>
  <c r="AI505" i="4"/>
  <c r="AI628" i="4"/>
  <c r="AI582" i="4"/>
  <c r="AI572" i="4"/>
  <c r="AI562" i="4"/>
  <c r="AI552" i="4"/>
  <c r="AI542" i="4"/>
  <c r="AI532" i="4"/>
  <c r="AI522" i="4"/>
  <c r="AI512" i="4"/>
  <c r="AI622" i="4"/>
  <c r="AI588" i="4"/>
  <c r="AI579" i="4"/>
  <c r="AI569" i="4"/>
  <c r="AI559" i="4"/>
  <c r="AI549" i="4"/>
  <c r="AI539" i="4"/>
  <c r="AI529" i="4"/>
  <c r="AI519" i="4"/>
  <c r="AI509" i="4"/>
  <c r="AI598" i="4"/>
  <c r="AI591" i="4"/>
  <c r="AI586" i="4"/>
  <c r="AI576" i="4"/>
  <c r="AI566" i="4"/>
  <c r="AI556" i="4"/>
  <c r="AI546" i="4"/>
  <c r="AI536" i="4"/>
  <c r="AI526" i="4"/>
  <c r="AI516" i="4"/>
  <c r="AI583" i="4"/>
  <c r="AI573" i="4"/>
  <c r="AI618" i="4"/>
  <c r="AI612" i="4"/>
  <c r="AI577" i="4"/>
  <c r="AI567" i="4"/>
  <c r="AI557" i="4"/>
  <c r="AI547" i="4"/>
  <c r="AI537" i="4"/>
  <c r="AI527" i="4"/>
  <c r="AI517" i="4"/>
  <c r="AI507" i="4"/>
  <c r="AI543" i="4"/>
  <c r="AI508" i="4"/>
  <c r="AI491" i="4"/>
  <c r="AI481" i="4"/>
  <c r="AI471" i="4"/>
  <c r="AI461" i="4"/>
  <c r="AI451" i="4"/>
  <c r="AI441" i="4"/>
  <c r="AI431" i="4"/>
  <c r="AI421" i="4"/>
  <c r="AI411" i="4"/>
  <c r="AI540" i="4"/>
  <c r="AI488" i="4"/>
  <c r="AI478" i="4"/>
  <c r="AI468" i="4"/>
  <c r="AI458" i="4"/>
  <c r="AI448" i="4"/>
  <c r="AI438" i="4"/>
  <c r="AI428" i="4"/>
  <c r="AI418" i="4"/>
  <c r="AI408" i="4"/>
  <c r="AI570" i="4"/>
  <c r="AI563" i="4"/>
  <c r="AI513" i="4"/>
  <c r="AI506" i="4"/>
  <c r="AI500" i="4"/>
  <c r="AI485" i="4"/>
  <c r="AI475" i="4"/>
  <c r="AI465" i="4"/>
  <c r="AI455" i="4"/>
  <c r="AI445" i="4"/>
  <c r="AI435" i="4"/>
  <c r="AI560" i="4"/>
  <c r="AI510" i="4"/>
  <c r="AI492" i="4"/>
  <c r="AI482" i="4"/>
  <c r="AI472" i="4"/>
  <c r="AI462" i="4"/>
  <c r="AI452" i="4"/>
  <c r="AI442" i="4"/>
  <c r="AI432" i="4"/>
  <c r="AI533" i="4"/>
  <c r="AI497" i="4"/>
  <c r="AI495" i="4"/>
  <c r="AI489" i="4"/>
  <c r="AI479" i="4"/>
  <c r="AI469" i="4"/>
  <c r="AI459" i="4"/>
  <c r="AI449" i="4"/>
  <c r="AI439" i="4"/>
  <c r="AI429" i="4"/>
  <c r="AI580" i="4"/>
  <c r="AI530" i="4"/>
  <c r="AI502" i="4"/>
  <c r="AI499" i="4"/>
  <c r="AI486" i="4"/>
  <c r="AI476" i="4"/>
  <c r="AI466" i="4"/>
  <c r="AI456" i="4"/>
  <c r="AI446" i="4"/>
  <c r="AI436" i="4"/>
  <c r="AI553" i="4"/>
  <c r="AI503" i="4"/>
  <c r="AI493" i="4"/>
  <c r="AI483" i="4"/>
  <c r="AI473" i="4"/>
  <c r="AI463" i="4"/>
  <c r="AI453" i="4"/>
  <c r="AI443" i="4"/>
  <c r="AI433" i="4"/>
  <c r="AI550" i="4"/>
  <c r="AI523" i="4"/>
  <c r="AI498" i="4"/>
  <c r="AI487" i="4"/>
  <c r="AI477" i="4"/>
  <c r="AI467" i="4"/>
  <c r="AI457" i="4"/>
  <c r="AI447" i="4"/>
  <c r="AI437" i="4"/>
  <c r="AI427" i="4"/>
  <c r="AI520" i="4"/>
  <c r="AI450" i="4"/>
  <c r="AI420" i="4"/>
  <c r="AI413" i="4"/>
  <c r="AI405" i="4"/>
  <c r="AI444" i="4"/>
  <c r="AI425" i="4"/>
  <c r="AI419" i="4"/>
  <c r="AI410" i="4"/>
  <c r="AI403" i="4"/>
  <c r="AI470" i="4"/>
  <c r="AI426" i="4"/>
  <c r="AI424" i="4"/>
  <c r="AI415" i="4"/>
  <c r="AI407" i="4"/>
  <c r="AI464" i="4"/>
  <c r="AI412" i="4"/>
  <c r="AI490" i="4"/>
  <c r="AI440" i="4"/>
  <c r="AI423" i="4"/>
  <c r="AI409" i="4"/>
  <c r="AI496" i="4"/>
  <c r="AI484" i="4"/>
  <c r="AI434" i="4"/>
  <c r="AI422" i="4"/>
  <c r="AI406" i="4"/>
  <c r="AI460" i="4"/>
  <c r="AI417" i="4"/>
  <c r="AI404" i="4"/>
  <c r="AI402" i="4"/>
  <c r="AI454" i="4"/>
  <c r="AI414" i="4"/>
  <c r="AI480" i="4"/>
  <c r="AI474" i="4"/>
  <c r="AI430" i="4"/>
  <c r="AI416" i="4"/>
  <c r="G232" i="2"/>
  <c r="G82" i="2"/>
  <c r="G30" i="2"/>
  <c r="E23" i="12"/>
  <c r="E8" i="8"/>
  <c r="G189" i="2"/>
  <c r="E47" i="17"/>
  <c r="E40" i="15"/>
  <c r="E41" i="17"/>
  <c r="E8" i="16"/>
  <c r="G184" i="2"/>
  <c r="E9" i="9" s="1"/>
  <c r="E51" i="17"/>
  <c r="E45" i="15"/>
  <c r="E75" i="17"/>
  <c r="E65" i="15"/>
  <c r="E37" i="13"/>
  <c r="E20" i="7"/>
  <c r="G107" i="2"/>
  <c r="E17" i="6" s="1"/>
  <c r="E30" i="12"/>
  <c r="E22" i="6"/>
  <c r="E83" i="17"/>
  <c r="E66" i="15"/>
  <c r="E178" i="17"/>
  <c r="E37" i="16"/>
  <c r="E35" i="12"/>
  <c r="E24" i="6"/>
  <c r="E55" i="12"/>
  <c r="E24" i="8"/>
  <c r="E53" i="13"/>
  <c r="E31" i="7"/>
  <c r="E234" i="17"/>
  <c r="E77" i="16"/>
  <c r="E123" i="17"/>
  <c r="E103" i="15"/>
  <c r="E213" i="17"/>
  <c r="E147" i="15"/>
  <c r="J397" i="4"/>
  <c r="J392" i="4"/>
  <c r="J387" i="4"/>
  <c r="J382" i="4"/>
  <c r="J377" i="4"/>
  <c r="J372" i="4"/>
  <c r="J367" i="4"/>
  <c r="J362" i="4"/>
  <c r="J357" i="4"/>
  <c r="J352" i="4"/>
  <c r="J347" i="4"/>
  <c r="J400" i="4"/>
  <c r="J395" i="4"/>
  <c r="J390" i="4"/>
  <c r="J385" i="4"/>
  <c r="J380" i="4"/>
  <c r="J375" i="4"/>
  <c r="J370" i="4"/>
  <c r="J365" i="4"/>
  <c r="J360" i="4"/>
  <c r="J355" i="4"/>
  <c r="J350" i="4"/>
  <c r="J345" i="4"/>
  <c r="J398" i="4"/>
  <c r="J393" i="4"/>
  <c r="J388" i="4"/>
  <c r="J383" i="4"/>
  <c r="J378" i="4"/>
  <c r="J373" i="4"/>
  <c r="J368" i="4"/>
  <c r="J363" i="4"/>
  <c r="J358" i="4"/>
  <c r="J353" i="4"/>
  <c r="J348" i="4"/>
  <c r="J343" i="4"/>
  <c r="J396" i="4"/>
  <c r="J391" i="4"/>
  <c r="J401" i="4"/>
  <c r="J399" i="4"/>
  <c r="J394" i="4"/>
  <c r="J389" i="4"/>
  <c r="J384" i="4"/>
  <c r="J379" i="4"/>
  <c r="J374" i="4"/>
  <c r="J369" i="4"/>
  <c r="J364" i="4"/>
  <c r="J359" i="4"/>
  <c r="J354" i="4"/>
  <c r="J349" i="4"/>
  <c r="J344" i="4"/>
  <c r="J336" i="4"/>
  <c r="J332" i="4"/>
  <c r="J326" i="4"/>
  <c r="J321" i="4"/>
  <c r="J316" i="4"/>
  <c r="J311" i="4"/>
  <c r="J306" i="4"/>
  <c r="J301" i="4"/>
  <c r="J296" i="4"/>
  <c r="J291" i="4"/>
  <c r="J286" i="4"/>
  <c r="J281" i="4"/>
  <c r="J276" i="4"/>
  <c r="J271" i="4"/>
  <c r="J266" i="4"/>
  <c r="J261" i="4"/>
  <c r="J256" i="4"/>
  <c r="J251" i="4"/>
  <c r="J361" i="4"/>
  <c r="J338" i="4"/>
  <c r="J337" i="4"/>
  <c r="J335" i="4"/>
  <c r="J386" i="4"/>
  <c r="J341" i="4"/>
  <c r="J340" i="4"/>
  <c r="J339" i="4"/>
  <c r="J324" i="4"/>
  <c r="J319" i="4"/>
  <c r="J314" i="4"/>
  <c r="J309" i="4"/>
  <c r="J304" i="4"/>
  <c r="J299" i="4"/>
  <c r="J294" i="4"/>
  <c r="J289" i="4"/>
  <c r="J284" i="4"/>
  <c r="J279" i="4"/>
  <c r="J274" i="4"/>
  <c r="J269" i="4"/>
  <c r="J264" i="4"/>
  <c r="J259" i="4"/>
  <c r="J254" i="4"/>
  <c r="J376" i="4"/>
  <c r="J351" i="4"/>
  <c r="J342" i="4"/>
  <c r="J334" i="4"/>
  <c r="J329" i="4"/>
  <c r="J327" i="4"/>
  <c r="J322" i="4"/>
  <c r="J317" i="4"/>
  <c r="J312" i="4"/>
  <c r="J307" i="4"/>
  <c r="J302" i="4"/>
  <c r="J297" i="4"/>
  <c r="J292" i="4"/>
  <c r="J287" i="4"/>
  <c r="J282" i="4"/>
  <c r="J277" i="4"/>
  <c r="J272" i="4"/>
  <c r="J267" i="4"/>
  <c r="J262" i="4"/>
  <c r="J257" i="4"/>
  <c r="J252" i="4"/>
  <c r="J366" i="4"/>
  <c r="J331" i="4"/>
  <c r="J333" i="4"/>
  <c r="J325" i="4"/>
  <c r="J320" i="4"/>
  <c r="J315" i="4"/>
  <c r="J310" i="4"/>
  <c r="J305" i="4"/>
  <c r="J300" i="4"/>
  <c r="J295" i="4"/>
  <c r="J290" i="4"/>
  <c r="J285" i="4"/>
  <c r="J280" i="4"/>
  <c r="J275" i="4"/>
  <c r="J270" i="4"/>
  <c r="J265" i="4"/>
  <c r="J260" i="4"/>
  <c r="J381" i="4"/>
  <c r="J356" i="4"/>
  <c r="J328" i="4"/>
  <c r="J323" i="4"/>
  <c r="J318" i="4"/>
  <c r="J371" i="4"/>
  <c r="J346" i="4"/>
  <c r="J330" i="4"/>
  <c r="J255" i="4"/>
  <c r="J308" i="4"/>
  <c r="J283" i="4"/>
  <c r="J258" i="4"/>
  <c r="J253" i="4"/>
  <c r="J239" i="4"/>
  <c r="J234" i="4"/>
  <c r="J229" i="4"/>
  <c r="J224" i="4"/>
  <c r="J219" i="4"/>
  <c r="J214" i="4"/>
  <c r="J209" i="4"/>
  <c r="J204" i="4"/>
  <c r="J199" i="4"/>
  <c r="J194" i="4"/>
  <c r="J189" i="4"/>
  <c r="J184" i="4"/>
  <c r="J179" i="4"/>
  <c r="J174" i="4"/>
  <c r="J169" i="4"/>
  <c r="J298" i="4"/>
  <c r="J273" i="4"/>
  <c r="J237" i="4"/>
  <c r="J232" i="4"/>
  <c r="J227" i="4"/>
  <c r="J222" i="4"/>
  <c r="J217" i="4"/>
  <c r="J212" i="4"/>
  <c r="J207" i="4"/>
  <c r="J202" i="4"/>
  <c r="J197" i="4"/>
  <c r="J192" i="4"/>
  <c r="J187" i="4"/>
  <c r="J182" i="4"/>
  <c r="J177" i="4"/>
  <c r="J172" i="4"/>
  <c r="J167" i="4"/>
  <c r="J242" i="4"/>
  <c r="J313" i="4"/>
  <c r="J288" i="4"/>
  <c r="J263" i="4"/>
  <c r="J245" i="4"/>
  <c r="J244" i="4"/>
  <c r="J243" i="4"/>
  <c r="J240" i="4"/>
  <c r="J235" i="4"/>
  <c r="J230" i="4"/>
  <c r="J225" i="4"/>
  <c r="J220" i="4"/>
  <c r="J215" i="4"/>
  <c r="J210" i="4"/>
  <c r="J205" i="4"/>
  <c r="J200" i="4"/>
  <c r="J195" i="4"/>
  <c r="J190" i="4"/>
  <c r="J185" i="4"/>
  <c r="J180" i="4"/>
  <c r="J175" i="4"/>
  <c r="J170" i="4"/>
  <c r="J247" i="4"/>
  <c r="J246" i="4"/>
  <c r="J303" i="4"/>
  <c r="J278" i="4"/>
  <c r="J249" i="4"/>
  <c r="J248" i="4"/>
  <c r="J238" i="4"/>
  <c r="J233" i="4"/>
  <c r="J228" i="4"/>
  <c r="J223" i="4"/>
  <c r="J218" i="4"/>
  <c r="J213" i="4"/>
  <c r="J208" i="4"/>
  <c r="J203" i="4"/>
  <c r="J198" i="4"/>
  <c r="J193" i="4"/>
  <c r="J188" i="4"/>
  <c r="J183" i="4"/>
  <c r="J178" i="4"/>
  <c r="J173" i="4"/>
  <c r="J293" i="4"/>
  <c r="J268" i="4"/>
  <c r="J250" i="4"/>
  <c r="J241" i="4"/>
  <c r="J236" i="4"/>
  <c r="J231" i="4"/>
  <c r="J221" i="4"/>
  <c r="J196" i="4"/>
  <c r="J157" i="4"/>
  <c r="J152" i="4"/>
  <c r="J142" i="4"/>
  <c r="J144" i="4"/>
  <c r="J134" i="4"/>
  <c r="J129" i="4"/>
  <c r="J124" i="4"/>
  <c r="J119" i="4"/>
  <c r="J114" i="4"/>
  <c r="J109" i="4"/>
  <c r="J104" i="4"/>
  <c r="J99" i="4"/>
  <c r="J94" i="4"/>
  <c r="J89" i="4"/>
  <c r="J84" i="4"/>
  <c r="J79" i="4"/>
  <c r="J74" i="4"/>
  <c r="J69" i="4"/>
  <c r="J64" i="4"/>
  <c r="J59" i="4"/>
  <c r="J211" i="4"/>
  <c r="J186" i="4"/>
  <c r="J171" i="4"/>
  <c r="J166" i="4"/>
  <c r="J156" i="4"/>
  <c r="J155" i="4"/>
  <c r="J151" i="4"/>
  <c r="J146" i="4"/>
  <c r="J139" i="4"/>
  <c r="J137" i="4"/>
  <c r="J132" i="4"/>
  <c r="J127" i="4"/>
  <c r="J122" i="4"/>
  <c r="J117" i="4"/>
  <c r="J112" i="4"/>
  <c r="J107" i="4"/>
  <c r="J102" i="4"/>
  <c r="J97" i="4"/>
  <c r="J92" i="4"/>
  <c r="J87" i="4"/>
  <c r="J82" i="4"/>
  <c r="J77" i="4"/>
  <c r="J72" i="4"/>
  <c r="J201" i="4"/>
  <c r="J176" i="4"/>
  <c r="J154" i="4"/>
  <c r="J148" i="4"/>
  <c r="J226" i="4"/>
  <c r="J150" i="4"/>
  <c r="J141" i="4"/>
  <c r="J135" i="4"/>
  <c r="J130" i="4"/>
  <c r="J125" i="4"/>
  <c r="J120" i="4"/>
  <c r="J115" i="4"/>
  <c r="J110" i="4"/>
  <c r="J105" i="4"/>
  <c r="J100" i="4"/>
  <c r="J95" i="4"/>
  <c r="J90" i="4"/>
  <c r="J85" i="4"/>
  <c r="J80" i="4"/>
  <c r="J75" i="4"/>
  <c r="J216" i="4"/>
  <c r="J191" i="4"/>
  <c r="J160" i="4"/>
  <c r="J143" i="4"/>
  <c r="J168" i="4"/>
  <c r="J163" i="4"/>
  <c r="J162" i="4"/>
  <c r="J161" i="4"/>
  <c r="J153" i="4"/>
  <c r="J145" i="4"/>
  <c r="J133" i="4"/>
  <c r="J128" i="4"/>
  <c r="J123" i="4"/>
  <c r="J118" i="4"/>
  <c r="J113" i="4"/>
  <c r="J108" i="4"/>
  <c r="J103" i="4"/>
  <c r="J98" i="4"/>
  <c r="J93" i="4"/>
  <c r="J88" i="4"/>
  <c r="J83" i="4"/>
  <c r="J78" i="4"/>
  <c r="J73" i="4"/>
  <c r="J68" i="4"/>
  <c r="J206" i="4"/>
  <c r="J181" i="4"/>
  <c r="J164" i="4"/>
  <c r="J159" i="4"/>
  <c r="J147" i="4"/>
  <c r="J165" i="4"/>
  <c r="J158" i="4"/>
  <c r="J149" i="4"/>
  <c r="J140" i="4"/>
  <c r="J54" i="4"/>
  <c r="J45" i="4"/>
  <c r="J40" i="4"/>
  <c r="J35" i="4"/>
  <c r="J30" i="4"/>
  <c r="J25" i="4"/>
  <c r="J20" i="4"/>
  <c r="J15" i="4"/>
  <c r="J10" i="4"/>
  <c r="J5" i="4"/>
  <c r="J136" i="4"/>
  <c r="J111" i="4"/>
  <c r="J86" i="4"/>
  <c r="J47" i="4"/>
  <c r="J70" i="4"/>
  <c r="J56" i="4"/>
  <c r="J49" i="4"/>
  <c r="J43" i="4"/>
  <c r="J38" i="4"/>
  <c r="J33" i="4"/>
  <c r="J28" i="4"/>
  <c r="J23" i="4"/>
  <c r="J18" i="4"/>
  <c r="J13" i="4"/>
  <c r="J8" i="4"/>
  <c r="J3" i="4"/>
  <c r="J126" i="4"/>
  <c r="J101" i="4"/>
  <c r="J76" i="4"/>
  <c r="J138" i="4"/>
  <c r="J65" i="4"/>
  <c r="J63" i="4"/>
  <c r="J62" i="4"/>
  <c r="J58" i="4"/>
  <c r="J51" i="4"/>
  <c r="J41" i="4"/>
  <c r="J36" i="4"/>
  <c r="J31" i="4"/>
  <c r="J26" i="4"/>
  <c r="J21" i="4"/>
  <c r="J16" i="4"/>
  <c r="J11" i="4"/>
  <c r="J6" i="4"/>
  <c r="J116" i="4"/>
  <c r="J91" i="4"/>
  <c r="J71" i="4"/>
  <c r="J53" i="4"/>
  <c r="J67" i="4"/>
  <c r="J66" i="4"/>
  <c r="J55" i="4"/>
  <c r="J46" i="4"/>
  <c r="J44" i="4"/>
  <c r="J39" i="4"/>
  <c r="J34" i="4"/>
  <c r="J29" i="4"/>
  <c r="J24" i="4"/>
  <c r="J19" i="4"/>
  <c r="J14" i="4"/>
  <c r="J9" i="4"/>
  <c r="J4" i="4"/>
  <c r="J131" i="4"/>
  <c r="J106" i="4"/>
  <c r="J81" i="4"/>
  <c r="J61" i="4"/>
  <c r="J57" i="4"/>
  <c r="J48" i="4"/>
  <c r="J60" i="4"/>
  <c r="J50" i="4"/>
  <c r="J42" i="4"/>
  <c r="J37" i="4"/>
  <c r="J32" i="4"/>
  <c r="J27" i="4"/>
  <c r="J22" i="4"/>
  <c r="J17" i="4"/>
  <c r="J12" i="4"/>
  <c r="J7" i="4"/>
  <c r="J2" i="4"/>
  <c r="J121" i="4"/>
  <c r="J96" i="4"/>
  <c r="J52" i="4"/>
  <c r="E10" i="12"/>
  <c r="E5" i="8"/>
  <c r="G4" i="2"/>
  <c r="E3" i="10" s="1"/>
  <c r="N400" i="4"/>
  <c r="N398" i="4"/>
  <c r="N393" i="4"/>
  <c r="N388" i="4"/>
  <c r="N383" i="4"/>
  <c r="N378" i="4"/>
  <c r="N373" i="4"/>
  <c r="N368" i="4"/>
  <c r="N363" i="4"/>
  <c r="N358" i="4"/>
  <c r="N353" i="4"/>
  <c r="N348" i="4"/>
  <c r="N343" i="4"/>
  <c r="N396" i="4"/>
  <c r="N391" i="4"/>
  <c r="N386" i="4"/>
  <c r="N381" i="4"/>
  <c r="N376" i="4"/>
  <c r="N371" i="4"/>
  <c r="N366" i="4"/>
  <c r="N361" i="4"/>
  <c r="N356" i="4"/>
  <c r="N351" i="4"/>
  <c r="N346" i="4"/>
  <c r="N401" i="4"/>
  <c r="N399" i="4"/>
  <c r="N394" i="4"/>
  <c r="N389" i="4"/>
  <c r="N384" i="4"/>
  <c r="N379" i="4"/>
  <c r="N374" i="4"/>
  <c r="N369" i="4"/>
  <c r="N364" i="4"/>
  <c r="N359" i="4"/>
  <c r="N354" i="4"/>
  <c r="N349" i="4"/>
  <c r="N344" i="4"/>
  <c r="N397" i="4"/>
  <c r="N392" i="4"/>
  <c r="N395" i="4"/>
  <c r="N390" i="4"/>
  <c r="N385" i="4"/>
  <c r="N380" i="4"/>
  <c r="N375" i="4"/>
  <c r="N370" i="4"/>
  <c r="N365" i="4"/>
  <c r="N360" i="4"/>
  <c r="N355" i="4"/>
  <c r="N350" i="4"/>
  <c r="N345" i="4"/>
  <c r="N387" i="4"/>
  <c r="N341" i="4"/>
  <c r="N340" i="4"/>
  <c r="N334" i="4"/>
  <c r="N329" i="4"/>
  <c r="N327" i="4"/>
  <c r="N322" i="4"/>
  <c r="N317" i="4"/>
  <c r="N312" i="4"/>
  <c r="N307" i="4"/>
  <c r="N302" i="4"/>
  <c r="N297" i="4"/>
  <c r="N292" i="4"/>
  <c r="N287" i="4"/>
  <c r="N282" i="4"/>
  <c r="N277" i="4"/>
  <c r="N272" i="4"/>
  <c r="N267" i="4"/>
  <c r="N262" i="4"/>
  <c r="N257" i="4"/>
  <c r="N252" i="4"/>
  <c r="N367" i="4"/>
  <c r="N331" i="4"/>
  <c r="N342" i="4"/>
  <c r="N325" i="4"/>
  <c r="N320" i="4"/>
  <c r="N315" i="4"/>
  <c r="N310" i="4"/>
  <c r="N305" i="4"/>
  <c r="N300" i="4"/>
  <c r="N295" i="4"/>
  <c r="N290" i="4"/>
  <c r="N285" i="4"/>
  <c r="N280" i="4"/>
  <c r="N275" i="4"/>
  <c r="N270" i="4"/>
  <c r="N265" i="4"/>
  <c r="N260" i="4"/>
  <c r="N255" i="4"/>
  <c r="N382" i="4"/>
  <c r="N357" i="4"/>
  <c r="N333" i="4"/>
  <c r="N328" i="4"/>
  <c r="N323" i="4"/>
  <c r="N318" i="4"/>
  <c r="N313" i="4"/>
  <c r="N308" i="4"/>
  <c r="N303" i="4"/>
  <c r="N298" i="4"/>
  <c r="N293" i="4"/>
  <c r="N288" i="4"/>
  <c r="N283" i="4"/>
  <c r="N278" i="4"/>
  <c r="N273" i="4"/>
  <c r="N268" i="4"/>
  <c r="N263" i="4"/>
  <c r="N258" i="4"/>
  <c r="N253" i="4"/>
  <c r="N372" i="4"/>
  <c r="N347" i="4"/>
  <c r="N330" i="4"/>
  <c r="N326" i="4"/>
  <c r="N321" i="4"/>
  <c r="N316" i="4"/>
  <c r="N311" i="4"/>
  <c r="N306" i="4"/>
  <c r="N301" i="4"/>
  <c r="N296" i="4"/>
  <c r="N291" i="4"/>
  <c r="N286" i="4"/>
  <c r="N281" i="4"/>
  <c r="N276" i="4"/>
  <c r="N271" i="4"/>
  <c r="N266" i="4"/>
  <c r="N261" i="4"/>
  <c r="N256" i="4"/>
  <c r="N362" i="4"/>
  <c r="N332" i="4"/>
  <c r="N337" i="4"/>
  <c r="N336" i="4"/>
  <c r="N324" i="4"/>
  <c r="N319" i="4"/>
  <c r="N314" i="4"/>
  <c r="N377" i="4"/>
  <c r="N352" i="4"/>
  <c r="N339" i="4"/>
  <c r="N338" i="4"/>
  <c r="N335" i="4"/>
  <c r="N289" i="4"/>
  <c r="N264" i="4"/>
  <c r="N251" i="4"/>
  <c r="N240" i="4"/>
  <c r="N235" i="4"/>
  <c r="N230" i="4"/>
  <c r="N225" i="4"/>
  <c r="N220" i="4"/>
  <c r="N215" i="4"/>
  <c r="N210" i="4"/>
  <c r="N205" i="4"/>
  <c r="N200" i="4"/>
  <c r="N195" i="4"/>
  <c r="N190" i="4"/>
  <c r="N185" i="4"/>
  <c r="N180" i="4"/>
  <c r="N175" i="4"/>
  <c r="N170" i="4"/>
  <c r="N165" i="4"/>
  <c r="N243" i="4"/>
  <c r="N242" i="4"/>
  <c r="N304" i="4"/>
  <c r="N279" i="4"/>
  <c r="N246" i="4"/>
  <c r="N245" i="4"/>
  <c r="N244" i="4"/>
  <c r="N238" i="4"/>
  <c r="N233" i="4"/>
  <c r="N228" i="4"/>
  <c r="N223" i="4"/>
  <c r="N218" i="4"/>
  <c r="N213" i="4"/>
  <c r="N208" i="4"/>
  <c r="N203" i="4"/>
  <c r="N198" i="4"/>
  <c r="N193" i="4"/>
  <c r="N188" i="4"/>
  <c r="N183" i="4"/>
  <c r="N178" i="4"/>
  <c r="N173" i="4"/>
  <c r="N168" i="4"/>
  <c r="N248" i="4"/>
  <c r="N247" i="4"/>
  <c r="N294" i="4"/>
  <c r="N269" i="4"/>
  <c r="N254" i="4"/>
  <c r="N249" i="4"/>
  <c r="N241" i="4"/>
  <c r="N236" i="4"/>
  <c r="N231" i="4"/>
  <c r="N226" i="4"/>
  <c r="N221" i="4"/>
  <c r="N216" i="4"/>
  <c r="N211" i="4"/>
  <c r="N206" i="4"/>
  <c r="N201" i="4"/>
  <c r="N196" i="4"/>
  <c r="N191" i="4"/>
  <c r="N186" i="4"/>
  <c r="N181" i="4"/>
  <c r="N176" i="4"/>
  <c r="N171" i="4"/>
  <c r="N309" i="4"/>
  <c r="N284" i="4"/>
  <c r="N259" i="4"/>
  <c r="N239" i="4"/>
  <c r="N234" i="4"/>
  <c r="N229" i="4"/>
  <c r="N224" i="4"/>
  <c r="N219" i="4"/>
  <c r="N214" i="4"/>
  <c r="N209" i="4"/>
  <c r="N204" i="4"/>
  <c r="N199" i="4"/>
  <c r="N194" i="4"/>
  <c r="N189" i="4"/>
  <c r="N184" i="4"/>
  <c r="N179" i="4"/>
  <c r="N174" i="4"/>
  <c r="N250" i="4"/>
  <c r="N299" i="4"/>
  <c r="N274" i="4"/>
  <c r="N237" i="4"/>
  <c r="N232" i="4"/>
  <c r="N202" i="4"/>
  <c r="N177" i="4"/>
  <c r="N155" i="4"/>
  <c r="N148" i="4"/>
  <c r="N139" i="4"/>
  <c r="N154" i="4"/>
  <c r="N141" i="4"/>
  <c r="N135" i="4"/>
  <c r="N130" i="4"/>
  <c r="N125" i="4"/>
  <c r="N120" i="4"/>
  <c r="N115" i="4"/>
  <c r="N110" i="4"/>
  <c r="N105" i="4"/>
  <c r="N100" i="4"/>
  <c r="N95" i="4"/>
  <c r="N90" i="4"/>
  <c r="N85" i="4"/>
  <c r="N80" i="4"/>
  <c r="N75" i="4"/>
  <c r="N70" i="4"/>
  <c r="N65" i="4"/>
  <c r="N60" i="4"/>
  <c r="N217" i="4"/>
  <c r="N192" i="4"/>
  <c r="N150" i="4"/>
  <c r="N143" i="4"/>
  <c r="N227" i="4"/>
  <c r="N167" i="4"/>
  <c r="N145" i="4"/>
  <c r="N133" i="4"/>
  <c r="N128" i="4"/>
  <c r="N123" i="4"/>
  <c r="N118" i="4"/>
  <c r="N113" i="4"/>
  <c r="N108" i="4"/>
  <c r="N103" i="4"/>
  <c r="N98" i="4"/>
  <c r="N93" i="4"/>
  <c r="N88" i="4"/>
  <c r="N83" i="4"/>
  <c r="N78" i="4"/>
  <c r="N73" i="4"/>
  <c r="N207" i="4"/>
  <c r="N182" i="4"/>
  <c r="N161" i="4"/>
  <c r="N160" i="4"/>
  <c r="N153" i="4"/>
  <c r="N138" i="4"/>
  <c r="N164" i="4"/>
  <c r="N163" i="4"/>
  <c r="N162" i="4"/>
  <c r="N159" i="4"/>
  <c r="N147" i="4"/>
  <c r="N140" i="4"/>
  <c r="N136" i="4"/>
  <c r="N131" i="4"/>
  <c r="N126" i="4"/>
  <c r="N121" i="4"/>
  <c r="N116" i="4"/>
  <c r="N111" i="4"/>
  <c r="N106" i="4"/>
  <c r="N101" i="4"/>
  <c r="N96" i="4"/>
  <c r="N91" i="4"/>
  <c r="N86" i="4"/>
  <c r="N81" i="4"/>
  <c r="N76" i="4"/>
  <c r="N222" i="4"/>
  <c r="N197" i="4"/>
  <c r="N172" i="4"/>
  <c r="N158" i="4"/>
  <c r="N149" i="4"/>
  <c r="N152" i="4"/>
  <c r="N142" i="4"/>
  <c r="N134" i="4"/>
  <c r="N129" i="4"/>
  <c r="N124" i="4"/>
  <c r="N119" i="4"/>
  <c r="N114" i="4"/>
  <c r="N109" i="4"/>
  <c r="N104" i="4"/>
  <c r="N99" i="4"/>
  <c r="N94" i="4"/>
  <c r="N89" i="4"/>
  <c r="N84" i="4"/>
  <c r="N79" i="4"/>
  <c r="N74" i="4"/>
  <c r="N69" i="4"/>
  <c r="N212" i="4"/>
  <c r="N187" i="4"/>
  <c r="N157" i="4"/>
  <c r="N156" i="4"/>
  <c r="N144" i="4"/>
  <c r="N169" i="4"/>
  <c r="N166" i="4"/>
  <c r="N151" i="4"/>
  <c r="N146" i="4"/>
  <c r="N58" i="4"/>
  <c r="N51" i="4"/>
  <c r="N41" i="4"/>
  <c r="N36" i="4"/>
  <c r="N31" i="4"/>
  <c r="N26" i="4"/>
  <c r="N21" i="4"/>
  <c r="N16" i="4"/>
  <c r="N11" i="4"/>
  <c r="N6" i="4"/>
  <c r="N117" i="4"/>
  <c r="N92" i="4"/>
  <c r="N63" i="4"/>
  <c r="N53" i="4"/>
  <c r="N71" i="4"/>
  <c r="N66" i="4"/>
  <c r="N64" i="4"/>
  <c r="N55" i="4"/>
  <c r="N46" i="4"/>
  <c r="N44" i="4"/>
  <c r="N39" i="4"/>
  <c r="N34" i="4"/>
  <c r="N29" i="4"/>
  <c r="N24" i="4"/>
  <c r="N19" i="4"/>
  <c r="N14" i="4"/>
  <c r="N9" i="4"/>
  <c r="N4" i="4"/>
  <c r="N132" i="4"/>
  <c r="N107" i="4"/>
  <c r="N82" i="4"/>
  <c r="N62" i="4"/>
  <c r="N61" i="4"/>
  <c r="N48" i="4"/>
  <c r="N57" i="4"/>
  <c r="N50" i="4"/>
  <c r="N42" i="4"/>
  <c r="N37" i="4"/>
  <c r="N32" i="4"/>
  <c r="N27" i="4"/>
  <c r="N22" i="4"/>
  <c r="N17" i="4"/>
  <c r="N12" i="4"/>
  <c r="N7" i="4"/>
  <c r="N2" i="4"/>
  <c r="N122" i="4"/>
  <c r="N97" i="4"/>
  <c r="N67" i="4"/>
  <c r="N68" i="4"/>
  <c r="N52" i="4"/>
  <c r="N45" i="4"/>
  <c r="N40" i="4"/>
  <c r="N35" i="4"/>
  <c r="N30" i="4"/>
  <c r="N25" i="4"/>
  <c r="N20" i="4"/>
  <c r="N15" i="4"/>
  <c r="N10" i="4"/>
  <c r="N5" i="4"/>
  <c r="N137" i="4"/>
  <c r="N112" i="4"/>
  <c r="N87" i="4"/>
  <c r="N72" i="4"/>
  <c r="N54" i="4"/>
  <c r="N59" i="4"/>
  <c r="N56" i="4"/>
  <c r="N47" i="4"/>
  <c r="N43" i="4"/>
  <c r="N38" i="4"/>
  <c r="N33" i="4"/>
  <c r="N28" i="4"/>
  <c r="N23" i="4"/>
  <c r="N18" i="4"/>
  <c r="N13" i="4"/>
  <c r="N8" i="4"/>
  <c r="N3" i="4"/>
  <c r="N127" i="4"/>
  <c r="N102" i="4"/>
  <c r="N77" i="4"/>
  <c r="N49" i="4"/>
  <c r="G396" i="4"/>
  <c r="G391" i="4"/>
  <c r="G386" i="4"/>
  <c r="G381" i="4"/>
  <c r="G376" i="4"/>
  <c r="G371" i="4"/>
  <c r="G366" i="4"/>
  <c r="G361" i="4"/>
  <c r="G356" i="4"/>
  <c r="G351" i="4"/>
  <c r="G346" i="4"/>
  <c r="G341" i="4"/>
  <c r="G336" i="4"/>
  <c r="G331" i="4"/>
  <c r="G401" i="4"/>
  <c r="G399" i="4"/>
  <c r="G394" i="4"/>
  <c r="G389" i="4"/>
  <c r="G384" i="4"/>
  <c r="G379" i="4"/>
  <c r="G374" i="4"/>
  <c r="G369" i="4"/>
  <c r="G364" i="4"/>
  <c r="G359" i="4"/>
  <c r="G354" i="4"/>
  <c r="G349" i="4"/>
  <c r="G344" i="4"/>
  <c r="G339" i="4"/>
  <c r="G397" i="4"/>
  <c r="G392" i="4"/>
  <c r="G387" i="4"/>
  <c r="G382" i="4"/>
  <c r="G377" i="4"/>
  <c r="G372" i="4"/>
  <c r="G367" i="4"/>
  <c r="G362" i="4"/>
  <c r="G357" i="4"/>
  <c r="G352" i="4"/>
  <c r="G347" i="4"/>
  <c r="G342" i="4"/>
  <c r="G337" i="4"/>
  <c r="G400" i="4"/>
  <c r="G395" i="4"/>
  <c r="G390" i="4"/>
  <c r="G385" i="4"/>
  <c r="G380" i="4"/>
  <c r="G375" i="4"/>
  <c r="G370" i="4"/>
  <c r="G365" i="4"/>
  <c r="G360" i="4"/>
  <c r="G355" i="4"/>
  <c r="G350" i="4"/>
  <c r="G345" i="4"/>
  <c r="G340" i="4"/>
  <c r="G398" i="4"/>
  <c r="G393" i="4"/>
  <c r="G388" i="4"/>
  <c r="G368" i="4"/>
  <c r="G343" i="4"/>
  <c r="G328" i="4"/>
  <c r="G323" i="4"/>
  <c r="G318" i="4"/>
  <c r="G313" i="4"/>
  <c r="G308" i="4"/>
  <c r="G303" i="4"/>
  <c r="G298" i="4"/>
  <c r="G293" i="4"/>
  <c r="G288" i="4"/>
  <c r="G283" i="4"/>
  <c r="G278" i="4"/>
  <c r="G273" i="4"/>
  <c r="G268" i="4"/>
  <c r="G263" i="4"/>
  <c r="G258" i="4"/>
  <c r="G253" i="4"/>
  <c r="G248" i="4"/>
  <c r="G243" i="4"/>
  <c r="G383" i="4"/>
  <c r="G358" i="4"/>
  <c r="G330" i="4"/>
  <c r="G338" i="4"/>
  <c r="G335" i="4"/>
  <c r="G332" i="4"/>
  <c r="G326" i="4"/>
  <c r="G321" i="4"/>
  <c r="G316" i="4"/>
  <c r="G311" i="4"/>
  <c r="G306" i="4"/>
  <c r="G301" i="4"/>
  <c r="G296" i="4"/>
  <c r="G291" i="4"/>
  <c r="G286" i="4"/>
  <c r="G281" i="4"/>
  <c r="G276" i="4"/>
  <c r="G271" i="4"/>
  <c r="G266" i="4"/>
  <c r="G261" i="4"/>
  <c r="G256" i="4"/>
  <c r="G251" i="4"/>
  <c r="G246" i="4"/>
  <c r="G373" i="4"/>
  <c r="G348" i="4"/>
  <c r="G324" i="4"/>
  <c r="G319" i="4"/>
  <c r="G314" i="4"/>
  <c r="G309" i="4"/>
  <c r="G304" i="4"/>
  <c r="G299" i="4"/>
  <c r="G294" i="4"/>
  <c r="G289" i="4"/>
  <c r="G284" i="4"/>
  <c r="G279" i="4"/>
  <c r="G274" i="4"/>
  <c r="G269" i="4"/>
  <c r="G264" i="4"/>
  <c r="G259" i="4"/>
  <c r="G254" i="4"/>
  <c r="G249" i="4"/>
  <c r="G244" i="4"/>
  <c r="G363" i="4"/>
  <c r="G334" i="4"/>
  <c r="G329" i="4"/>
  <c r="G327" i="4"/>
  <c r="G322" i="4"/>
  <c r="G317" i="4"/>
  <c r="G378" i="4"/>
  <c r="G353" i="4"/>
  <c r="G333" i="4"/>
  <c r="G325" i="4"/>
  <c r="G320" i="4"/>
  <c r="G315" i="4"/>
  <c r="G310" i="4"/>
  <c r="G305" i="4"/>
  <c r="G300" i="4"/>
  <c r="G295" i="4"/>
  <c r="G290" i="4"/>
  <c r="G285" i="4"/>
  <c r="G280" i="4"/>
  <c r="G275" i="4"/>
  <c r="G270" i="4"/>
  <c r="G265" i="4"/>
  <c r="G260" i="4"/>
  <c r="G255" i="4"/>
  <c r="G250" i="4"/>
  <c r="G245" i="4"/>
  <c r="G302" i="4"/>
  <c r="G277" i="4"/>
  <c r="G238" i="4"/>
  <c r="G233" i="4"/>
  <c r="G228" i="4"/>
  <c r="G223" i="4"/>
  <c r="G218" i="4"/>
  <c r="G213" i="4"/>
  <c r="G208" i="4"/>
  <c r="G203" i="4"/>
  <c r="G198" i="4"/>
  <c r="G193" i="4"/>
  <c r="G188" i="4"/>
  <c r="G183" i="4"/>
  <c r="G178" i="4"/>
  <c r="G173" i="4"/>
  <c r="G168" i="4"/>
  <c r="G163" i="4"/>
  <c r="G158" i="4"/>
  <c r="G153" i="4"/>
  <c r="G148" i="4"/>
  <c r="G143" i="4"/>
  <c r="G138" i="4"/>
  <c r="G292" i="4"/>
  <c r="G267" i="4"/>
  <c r="G241" i="4"/>
  <c r="G236" i="4"/>
  <c r="G231" i="4"/>
  <c r="G226" i="4"/>
  <c r="G221" i="4"/>
  <c r="G216" i="4"/>
  <c r="G211" i="4"/>
  <c r="G206" i="4"/>
  <c r="G201" i="4"/>
  <c r="G196" i="4"/>
  <c r="G191" i="4"/>
  <c r="G186" i="4"/>
  <c r="G181" i="4"/>
  <c r="G176" i="4"/>
  <c r="G171" i="4"/>
  <c r="G166" i="4"/>
  <c r="G161" i="4"/>
  <c r="G156" i="4"/>
  <c r="G307" i="4"/>
  <c r="G282" i="4"/>
  <c r="G257" i="4"/>
  <c r="G239" i="4"/>
  <c r="G234" i="4"/>
  <c r="G229" i="4"/>
  <c r="G224" i="4"/>
  <c r="G219" i="4"/>
  <c r="G214" i="4"/>
  <c r="G209" i="4"/>
  <c r="G204" i="4"/>
  <c r="G199" i="4"/>
  <c r="G194" i="4"/>
  <c r="G189" i="4"/>
  <c r="G184" i="4"/>
  <c r="G179" i="4"/>
  <c r="G174" i="4"/>
  <c r="G169" i="4"/>
  <c r="G164" i="4"/>
  <c r="G159" i="4"/>
  <c r="G154" i="4"/>
  <c r="G297" i="4"/>
  <c r="G272" i="4"/>
  <c r="G237" i="4"/>
  <c r="G232" i="4"/>
  <c r="G227" i="4"/>
  <c r="G222" i="4"/>
  <c r="G217" i="4"/>
  <c r="G212" i="4"/>
  <c r="G207" i="4"/>
  <c r="G202" i="4"/>
  <c r="G197" i="4"/>
  <c r="G192" i="4"/>
  <c r="G187" i="4"/>
  <c r="G182" i="4"/>
  <c r="G177" i="4"/>
  <c r="G172" i="4"/>
  <c r="G167" i="4"/>
  <c r="G162" i="4"/>
  <c r="G242" i="4"/>
  <c r="G312" i="4"/>
  <c r="G287" i="4"/>
  <c r="G262" i="4"/>
  <c r="G252" i="4"/>
  <c r="G247" i="4"/>
  <c r="G240" i="4"/>
  <c r="G235" i="4"/>
  <c r="G230" i="4"/>
  <c r="G145" i="4"/>
  <c r="G133" i="4"/>
  <c r="G128" i="4"/>
  <c r="G123" i="4"/>
  <c r="G118" i="4"/>
  <c r="G113" i="4"/>
  <c r="G108" i="4"/>
  <c r="G103" i="4"/>
  <c r="G98" i="4"/>
  <c r="G93" i="4"/>
  <c r="G88" i="4"/>
  <c r="G83" i="4"/>
  <c r="G78" i="4"/>
  <c r="G73" i="4"/>
  <c r="G68" i="4"/>
  <c r="G63" i="4"/>
  <c r="G58" i="4"/>
  <c r="G53" i="4"/>
  <c r="G48" i="4"/>
  <c r="G205" i="4"/>
  <c r="G180" i="4"/>
  <c r="G165" i="4"/>
  <c r="G147" i="4"/>
  <c r="G157" i="4"/>
  <c r="G152" i="4"/>
  <c r="G149" i="4"/>
  <c r="G140" i="4"/>
  <c r="G136" i="4"/>
  <c r="G131" i="4"/>
  <c r="G126" i="4"/>
  <c r="G121" i="4"/>
  <c r="G116" i="4"/>
  <c r="G111" i="4"/>
  <c r="G106" i="4"/>
  <c r="G101" i="4"/>
  <c r="G96" i="4"/>
  <c r="G91" i="4"/>
  <c r="G86" i="4"/>
  <c r="G81" i="4"/>
  <c r="G76" i="4"/>
  <c r="G71" i="4"/>
  <c r="G66" i="4"/>
  <c r="G61" i="4"/>
  <c r="G220" i="4"/>
  <c r="G195" i="4"/>
  <c r="G142" i="4"/>
  <c r="G144" i="4"/>
  <c r="G134" i="4"/>
  <c r="G129" i="4"/>
  <c r="G124" i="4"/>
  <c r="G119" i="4"/>
  <c r="G114" i="4"/>
  <c r="G109" i="4"/>
  <c r="G104" i="4"/>
  <c r="G99" i="4"/>
  <c r="G94" i="4"/>
  <c r="G89" i="4"/>
  <c r="G84" i="4"/>
  <c r="G79" i="4"/>
  <c r="G74" i="4"/>
  <c r="G69" i="4"/>
  <c r="G64" i="4"/>
  <c r="G210" i="4"/>
  <c r="G185" i="4"/>
  <c r="G155" i="4"/>
  <c r="G151" i="4"/>
  <c r="G146" i="4"/>
  <c r="G139" i="4"/>
  <c r="G137" i="4"/>
  <c r="G132" i="4"/>
  <c r="G127" i="4"/>
  <c r="G122" i="4"/>
  <c r="G117" i="4"/>
  <c r="G112" i="4"/>
  <c r="G107" i="4"/>
  <c r="G102" i="4"/>
  <c r="G97" i="4"/>
  <c r="G92" i="4"/>
  <c r="G87" i="4"/>
  <c r="G82" i="4"/>
  <c r="G77" i="4"/>
  <c r="G225" i="4"/>
  <c r="G200" i="4"/>
  <c r="G175" i="4"/>
  <c r="G170" i="4"/>
  <c r="G141" i="4"/>
  <c r="G150" i="4"/>
  <c r="G215" i="4"/>
  <c r="G190" i="4"/>
  <c r="G160" i="4"/>
  <c r="G130" i="4"/>
  <c r="G105" i="4"/>
  <c r="G80" i="4"/>
  <c r="G57" i="4"/>
  <c r="G60" i="4"/>
  <c r="G50" i="4"/>
  <c r="G42" i="4"/>
  <c r="G37" i="4"/>
  <c r="G32" i="4"/>
  <c r="G27" i="4"/>
  <c r="G22" i="4"/>
  <c r="G17" i="4"/>
  <c r="G12" i="4"/>
  <c r="G7" i="4"/>
  <c r="G2" i="4"/>
  <c r="G120" i="4"/>
  <c r="G95" i="4"/>
  <c r="G52" i="4"/>
  <c r="G59" i="4"/>
  <c r="G54" i="4"/>
  <c r="G45" i="4"/>
  <c r="G40" i="4"/>
  <c r="G35" i="4"/>
  <c r="G30" i="4"/>
  <c r="G25" i="4"/>
  <c r="G20" i="4"/>
  <c r="G15" i="4"/>
  <c r="G10" i="4"/>
  <c r="G5" i="4"/>
  <c r="G135" i="4"/>
  <c r="G110" i="4"/>
  <c r="G85" i="4"/>
  <c r="G70" i="4"/>
  <c r="G56" i="4"/>
  <c r="G47" i="4"/>
  <c r="G49" i="4"/>
  <c r="G43" i="4"/>
  <c r="G38" i="4"/>
  <c r="G33" i="4"/>
  <c r="G28" i="4"/>
  <c r="G23" i="4"/>
  <c r="G18" i="4"/>
  <c r="G13" i="4"/>
  <c r="G8" i="4"/>
  <c r="G3" i="4"/>
  <c r="G125" i="4"/>
  <c r="G100" i="4"/>
  <c r="G75" i="4"/>
  <c r="G51" i="4"/>
  <c r="G65" i="4"/>
  <c r="G62" i="4"/>
  <c r="G41" i="4"/>
  <c r="G36" i="4"/>
  <c r="G31" i="4"/>
  <c r="G26" i="4"/>
  <c r="G21" i="4"/>
  <c r="G16" i="4"/>
  <c r="G11" i="4"/>
  <c r="G6" i="4"/>
  <c r="G115" i="4"/>
  <c r="G90" i="4"/>
  <c r="G67" i="4"/>
  <c r="G46" i="4"/>
  <c r="G72" i="4"/>
  <c r="G55" i="4"/>
  <c r="G44" i="4"/>
  <c r="G39" i="4"/>
  <c r="G34" i="4"/>
  <c r="G29" i="4"/>
  <c r="G24" i="4"/>
  <c r="G19" i="4"/>
  <c r="G14" i="4"/>
  <c r="G9" i="4"/>
  <c r="G4" i="4"/>
  <c r="H401" i="4"/>
  <c r="H399" i="4"/>
  <c r="H394" i="4"/>
  <c r="H389" i="4"/>
  <c r="H384" i="4"/>
  <c r="H379" i="4"/>
  <c r="H374" i="4"/>
  <c r="H369" i="4"/>
  <c r="H364" i="4"/>
  <c r="H359" i="4"/>
  <c r="H354" i="4"/>
  <c r="H349" i="4"/>
  <c r="H344" i="4"/>
  <c r="H397" i="4"/>
  <c r="H392" i="4"/>
  <c r="H387" i="4"/>
  <c r="H382" i="4"/>
  <c r="H377" i="4"/>
  <c r="H372" i="4"/>
  <c r="H367" i="4"/>
  <c r="H362" i="4"/>
  <c r="H357" i="4"/>
  <c r="H352" i="4"/>
  <c r="H347" i="4"/>
  <c r="H342" i="4"/>
  <c r="H400" i="4"/>
  <c r="H395" i="4"/>
  <c r="H390" i="4"/>
  <c r="H385" i="4"/>
  <c r="H380" i="4"/>
  <c r="H375" i="4"/>
  <c r="H370" i="4"/>
  <c r="H365" i="4"/>
  <c r="H360" i="4"/>
  <c r="H355" i="4"/>
  <c r="H350" i="4"/>
  <c r="H345" i="4"/>
  <c r="H398" i="4"/>
  <c r="H393" i="4"/>
  <c r="H388" i="4"/>
  <c r="H396" i="4"/>
  <c r="H391" i="4"/>
  <c r="H386" i="4"/>
  <c r="H381" i="4"/>
  <c r="H376" i="4"/>
  <c r="H371" i="4"/>
  <c r="H366" i="4"/>
  <c r="H361" i="4"/>
  <c r="H356" i="4"/>
  <c r="H351" i="4"/>
  <c r="H346" i="4"/>
  <c r="H328" i="4"/>
  <c r="H323" i="4"/>
  <c r="H318" i="4"/>
  <c r="H313" i="4"/>
  <c r="H308" i="4"/>
  <c r="H303" i="4"/>
  <c r="H298" i="4"/>
  <c r="H293" i="4"/>
  <c r="H288" i="4"/>
  <c r="H283" i="4"/>
  <c r="H278" i="4"/>
  <c r="H273" i="4"/>
  <c r="H268" i="4"/>
  <c r="H263" i="4"/>
  <c r="H258" i="4"/>
  <c r="H253" i="4"/>
  <c r="H383" i="4"/>
  <c r="H358" i="4"/>
  <c r="H330" i="4"/>
  <c r="H338" i="4"/>
  <c r="H337" i="4"/>
  <c r="H336" i="4"/>
  <c r="H335" i="4"/>
  <c r="H332" i="4"/>
  <c r="H326" i="4"/>
  <c r="H321" i="4"/>
  <c r="H316" i="4"/>
  <c r="H311" i="4"/>
  <c r="H306" i="4"/>
  <c r="H301" i="4"/>
  <c r="H296" i="4"/>
  <c r="H291" i="4"/>
  <c r="H286" i="4"/>
  <c r="H281" i="4"/>
  <c r="H276" i="4"/>
  <c r="H271" i="4"/>
  <c r="H266" i="4"/>
  <c r="H261" i="4"/>
  <c r="H256" i="4"/>
  <c r="H373" i="4"/>
  <c r="H348" i="4"/>
  <c r="H340" i="4"/>
  <c r="H339" i="4"/>
  <c r="H341" i="4"/>
  <c r="H324" i="4"/>
  <c r="H319" i="4"/>
  <c r="H314" i="4"/>
  <c r="H309" i="4"/>
  <c r="H304" i="4"/>
  <c r="H299" i="4"/>
  <c r="H294" i="4"/>
  <c r="H289" i="4"/>
  <c r="H284" i="4"/>
  <c r="H279" i="4"/>
  <c r="H274" i="4"/>
  <c r="H269" i="4"/>
  <c r="H264" i="4"/>
  <c r="H259" i="4"/>
  <c r="H254" i="4"/>
  <c r="H363" i="4"/>
  <c r="H334" i="4"/>
  <c r="H329" i="4"/>
  <c r="H327" i="4"/>
  <c r="H322" i="4"/>
  <c r="H317" i="4"/>
  <c r="H312" i="4"/>
  <c r="H307" i="4"/>
  <c r="H302" i="4"/>
  <c r="H297" i="4"/>
  <c r="H292" i="4"/>
  <c r="H287" i="4"/>
  <c r="H282" i="4"/>
  <c r="H277" i="4"/>
  <c r="H272" i="4"/>
  <c r="H267" i="4"/>
  <c r="H262" i="4"/>
  <c r="H257" i="4"/>
  <c r="H378" i="4"/>
  <c r="H353" i="4"/>
  <c r="H331" i="4"/>
  <c r="H333" i="4"/>
  <c r="H325" i="4"/>
  <c r="H320" i="4"/>
  <c r="H315" i="4"/>
  <c r="H368" i="4"/>
  <c r="H343" i="4"/>
  <c r="H305" i="4"/>
  <c r="H280" i="4"/>
  <c r="H250" i="4"/>
  <c r="H241" i="4"/>
  <c r="H236" i="4"/>
  <c r="H231" i="4"/>
  <c r="H226" i="4"/>
  <c r="H221" i="4"/>
  <c r="H216" i="4"/>
  <c r="H211" i="4"/>
  <c r="H206" i="4"/>
  <c r="H201" i="4"/>
  <c r="H196" i="4"/>
  <c r="H191" i="4"/>
  <c r="H186" i="4"/>
  <c r="H181" i="4"/>
  <c r="H176" i="4"/>
  <c r="H171" i="4"/>
  <c r="H166" i="4"/>
  <c r="H255" i="4"/>
  <c r="H295" i="4"/>
  <c r="H270" i="4"/>
  <c r="H239" i="4"/>
  <c r="H234" i="4"/>
  <c r="H229" i="4"/>
  <c r="H224" i="4"/>
  <c r="H219" i="4"/>
  <c r="H214" i="4"/>
  <c r="H209" i="4"/>
  <c r="H204" i="4"/>
  <c r="H199" i="4"/>
  <c r="H194" i="4"/>
  <c r="H189" i="4"/>
  <c r="H184" i="4"/>
  <c r="H179" i="4"/>
  <c r="H174" i="4"/>
  <c r="H169" i="4"/>
  <c r="H251" i="4"/>
  <c r="H310" i="4"/>
  <c r="H285" i="4"/>
  <c r="H260" i="4"/>
  <c r="H237" i="4"/>
  <c r="H232" i="4"/>
  <c r="H227" i="4"/>
  <c r="H222" i="4"/>
  <c r="H217" i="4"/>
  <c r="H212" i="4"/>
  <c r="H207" i="4"/>
  <c r="H202" i="4"/>
  <c r="H197" i="4"/>
  <c r="H192" i="4"/>
  <c r="H187" i="4"/>
  <c r="H182" i="4"/>
  <c r="H177" i="4"/>
  <c r="H172" i="4"/>
  <c r="H244" i="4"/>
  <c r="H243" i="4"/>
  <c r="H242" i="4"/>
  <c r="H300" i="4"/>
  <c r="H275" i="4"/>
  <c r="H252" i="4"/>
  <c r="H247" i="4"/>
  <c r="H246" i="4"/>
  <c r="H245" i="4"/>
  <c r="H240" i="4"/>
  <c r="H235" i="4"/>
  <c r="H230" i="4"/>
  <c r="H225" i="4"/>
  <c r="H220" i="4"/>
  <c r="H215" i="4"/>
  <c r="H210" i="4"/>
  <c r="H205" i="4"/>
  <c r="H200" i="4"/>
  <c r="H195" i="4"/>
  <c r="H190" i="4"/>
  <c r="H185" i="4"/>
  <c r="H180" i="4"/>
  <c r="H175" i="4"/>
  <c r="H249" i="4"/>
  <c r="H248" i="4"/>
  <c r="H290" i="4"/>
  <c r="H265" i="4"/>
  <c r="H238" i="4"/>
  <c r="H233" i="4"/>
  <c r="H218" i="4"/>
  <c r="H193" i="4"/>
  <c r="H165" i="4"/>
  <c r="H147" i="4"/>
  <c r="H138" i="4"/>
  <c r="H158" i="4"/>
  <c r="H157" i="4"/>
  <c r="H152" i="4"/>
  <c r="H149" i="4"/>
  <c r="H140" i="4"/>
  <c r="H136" i="4"/>
  <c r="H131" i="4"/>
  <c r="H126" i="4"/>
  <c r="H121" i="4"/>
  <c r="H116" i="4"/>
  <c r="H111" i="4"/>
  <c r="H106" i="4"/>
  <c r="H101" i="4"/>
  <c r="H96" i="4"/>
  <c r="H91" i="4"/>
  <c r="H86" i="4"/>
  <c r="H81" i="4"/>
  <c r="H76" i="4"/>
  <c r="H71" i="4"/>
  <c r="H66" i="4"/>
  <c r="H61" i="4"/>
  <c r="H228" i="4"/>
  <c r="H208" i="4"/>
  <c r="H183" i="4"/>
  <c r="H142" i="4"/>
  <c r="H156" i="4"/>
  <c r="H144" i="4"/>
  <c r="H134" i="4"/>
  <c r="H129" i="4"/>
  <c r="H124" i="4"/>
  <c r="H119" i="4"/>
  <c r="H114" i="4"/>
  <c r="H109" i="4"/>
  <c r="H104" i="4"/>
  <c r="H99" i="4"/>
  <c r="H94" i="4"/>
  <c r="H89" i="4"/>
  <c r="H84" i="4"/>
  <c r="H79" i="4"/>
  <c r="H74" i="4"/>
  <c r="H223" i="4"/>
  <c r="H198" i="4"/>
  <c r="H173" i="4"/>
  <c r="H167" i="4"/>
  <c r="H155" i="4"/>
  <c r="H151" i="4"/>
  <c r="H146" i="4"/>
  <c r="H139" i="4"/>
  <c r="H137" i="4"/>
  <c r="H132" i="4"/>
  <c r="H127" i="4"/>
  <c r="H122" i="4"/>
  <c r="H117" i="4"/>
  <c r="H112" i="4"/>
  <c r="H107" i="4"/>
  <c r="H102" i="4"/>
  <c r="H97" i="4"/>
  <c r="H92" i="4"/>
  <c r="H87" i="4"/>
  <c r="H82" i="4"/>
  <c r="H77" i="4"/>
  <c r="H213" i="4"/>
  <c r="H188" i="4"/>
  <c r="H170" i="4"/>
  <c r="H154" i="4"/>
  <c r="H148" i="4"/>
  <c r="H141" i="4"/>
  <c r="H150" i="4"/>
  <c r="H135" i="4"/>
  <c r="H130" i="4"/>
  <c r="H125" i="4"/>
  <c r="H120" i="4"/>
  <c r="H115" i="4"/>
  <c r="H110" i="4"/>
  <c r="H105" i="4"/>
  <c r="H100" i="4"/>
  <c r="H95" i="4"/>
  <c r="H90" i="4"/>
  <c r="H85" i="4"/>
  <c r="H80" i="4"/>
  <c r="H75" i="4"/>
  <c r="H70" i="4"/>
  <c r="H203" i="4"/>
  <c r="H178" i="4"/>
  <c r="H162" i="4"/>
  <c r="H161" i="4"/>
  <c r="H160" i="4"/>
  <c r="H143" i="4"/>
  <c r="H168" i="4"/>
  <c r="H164" i="4"/>
  <c r="H163" i="4"/>
  <c r="H159" i="4"/>
  <c r="H153" i="4"/>
  <c r="H145" i="4"/>
  <c r="H68" i="4"/>
  <c r="H60" i="4"/>
  <c r="H50" i="4"/>
  <c r="H42" i="4"/>
  <c r="H37" i="4"/>
  <c r="H32" i="4"/>
  <c r="H27" i="4"/>
  <c r="H22" i="4"/>
  <c r="H17" i="4"/>
  <c r="H12" i="4"/>
  <c r="H7" i="4"/>
  <c r="H2" i="4"/>
  <c r="H133" i="4"/>
  <c r="H108" i="4"/>
  <c r="H83" i="4"/>
  <c r="H69" i="4"/>
  <c r="H52" i="4"/>
  <c r="H59" i="4"/>
  <c r="H54" i="4"/>
  <c r="H45" i="4"/>
  <c r="H40" i="4"/>
  <c r="H35" i="4"/>
  <c r="H30" i="4"/>
  <c r="H25" i="4"/>
  <c r="H20" i="4"/>
  <c r="H15" i="4"/>
  <c r="H10" i="4"/>
  <c r="H5" i="4"/>
  <c r="H123" i="4"/>
  <c r="H98" i="4"/>
  <c r="H56" i="4"/>
  <c r="H47" i="4"/>
  <c r="H73" i="4"/>
  <c r="H49" i="4"/>
  <c r="H43" i="4"/>
  <c r="H38" i="4"/>
  <c r="H33" i="4"/>
  <c r="H28" i="4"/>
  <c r="H23" i="4"/>
  <c r="H18" i="4"/>
  <c r="H13" i="4"/>
  <c r="H8" i="4"/>
  <c r="H3" i="4"/>
  <c r="H113" i="4"/>
  <c r="H88" i="4"/>
  <c r="H64" i="4"/>
  <c r="H51" i="4"/>
  <c r="H65" i="4"/>
  <c r="H63" i="4"/>
  <c r="H62" i="4"/>
  <c r="H58" i="4"/>
  <c r="H41" i="4"/>
  <c r="H36" i="4"/>
  <c r="H31" i="4"/>
  <c r="H26" i="4"/>
  <c r="H21" i="4"/>
  <c r="H16" i="4"/>
  <c r="H11" i="4"/>
  <c r="H6" i="4"/>
  <c r="H128" i="4"/>
  <c r="H103" i="4"/>
  <c r="H78" i="4"/>
  <c r="H67" i="4"/>
  <c r="H53" i="4"/>
  <c r="H46" i="4"/>
  <c r="H72" i="4"/>
  <c r="H55" i="4"/>
  <c r="H44" i="4"/>
  <c r="H39" i="4"/>
  <c r="H34" i="4"/>
  <c r="H29" i="4"/>
  <c r="H24" i="4"/>
  <c r="H19" i="4"/>
  <c r="H14" i="4"/>
  <c r="H9" i="4"/>
  <c r="H4" i="4"/>
  <c r="H118" i="4"/>
  <c r="H93" i="4"/>
  <c r="H57" i="4"/>
  <c r="H48" i="4"/>
  <c r="Z650" i="4"/>
  <c r="Z640" i="4"/>
  <c r="Z647" i="4"/>
  <c r="Z644" i="4"/>
  <c r="Z648" i="4"/>
  <c r="Z651" i="4"/>
  <c r="Z645" i="4"/>
  <c r="Z643" i="4"/>
  <c r="Z636" i="4"/>
  <c r="Z626" i="4"/>
  <c r="Z616" i="4"/>
  <c r="Z606" i="4"/>
  <c r="Z596" i="4"/>
  <c r="Z633" i="4"/>
  <c r="Z623" i="4"/>
  <c r="Z613" i="4"/>
  <c r="Z603" i="4"/>
  <c r="Z593" i="4"/>
  <c r="Z630" i="4"/>
  <c r="Z620" i="4"/>
  <c r="Z610" i="4"/>
  <c r="Z600" i="4"/>
  <c r="Z637" i="4"/>
  <c r="Z627" i="4"/>
  <c r="Z617" i="4"/>
  <c r="Z607" i="4"/>
  <c r="Z597" i="4"/>
  <c r="Z639" i="4"/>
  <c r="Z634" i="4"/>
  <c r="Z624" i="4"/>
  <c r="Z614" i="4"/>
  <c r="Z604" i="4"/>
  <c r="Z594" i="4"/>
  <c r="Z631" i="4"/>
  <c r="Z621" i="4"/>
  <c r="Z611" i="4"/>
  <c r="Z601" i="4"/>
  <c r="Z649" i="4"/>
  <c r="Z642" i="4"/>
  <c r="Z628" i="4"/>
  <c r="Z618" i="4"/>
  <c r="Z608" i="4"/>
  <c r="Z598" i="4"/>
  <c r="Z646" i="4"/>
  <c r="Z641" i="4"/>
  <c r="Z635" i="4"/>
  <c r="Z638" i="4"/>
  <c r="Z632" i="4"/>
  <c r="Z622" i="4"/>
  <c r="Z612" i="4"/>
  <c r="Z602" i="4"/>
  <c r="Z592" i="4"/>
  <c r="Z615" i="4"/>
  <c r="Z581" i="4"/>
  <c r="Z571" i="4"/>
  <c r="Z561" i="4"/>
  <c r="Z551" i="4"/>
  <c r="Z541" i="4"/>
  <c r="Z531" i="4"/>
  <c r="Z521" i="4"/>
  <c r="Z511" i="4"/>
  <c r="Z501" i="4"/>
  <c r="Z609" i="4"/>
  <c r="Z578" i="4"/>
  <c r="Z568" i="4"/>
  <c r="Z558" i="4"/>
  <c r="Z548" i="4"/>
  <c r="Z538" i="4"/>
  <c r="Z528" i="4"/>
  <c r="Z518" i="4"/>
  <c r="Z508" i="4"/>
  <c r="Z585" i="4"/>
  <c r="Z575" i="4"/>
  <c r="Z565" i="4"/>
  <c r="Z555" i="4"/>
  <c r="Z545" i="4"/>
  <c r="Z535" i="4"/>
  <c r="Z525" i="4"/>
  <c r="Z515" i="4"/>
  <c r="Z629" i="4"/>
  <c r="Z588" i="4"/>
  <c r="Z582" i="4"/>
  <c r="Z572" i="4"/>
  <c r="Z562" i="4"/>
  <c r="Z552" i="4"/>
  <c r="Z542" i="4"/>
  <c r="Z532" i="4"/>
  <c r="Z522" i="4"/>
  <c r="Z512" i="4"/>
  <c r="Z605" i="4"/>
  <c r="Z579" i="4"/>
  <c r="Z569" i="4"/>
  <c r="Z559" i="4"/>
  <c r="Z549" i="4"/>
  <c r="Z539" i="4"/>
  <c r="Z529" i="4"/>
  <c r="Z519" i="4"/>
  <c r="Z509" i="4"/>
  <c r="Z599" i="4"/>
  <c r="Z586" i="4"/>
  <c r="Z576" i="4"/>
  <c r="Z566" i="4"/>
  <c r="Z556" i="4"/>
  <c r="Z546" i="4"/>
  <c r="Z536" i="4"/>
  <c r="Z526" i="4"/>
  <c r="Z516" i="4"/>
  <c r="Z506" i="4"/>
  <c r="Z625" i="4"/>
  <c r="Z583" i="4"/>
  <c r="Z573" i="4"/>
  <c r="Z563" i="4"/>
  <c r="Z553" i="4"/>
  <c r="Z543" i="4"/>
  <c r="Z533" i="4"/>
  <c r="Z523" i="4"/>
  <c r="Z513" i="4"/>
  <c r="Z619" i="4"/>
  <c r="Z590" i="4"/>
  <c r="Z580" i="4"/>
  <c r="Z570" i="4"/>
  <c r="Z595" i="4"/>
  <c r="Z591" i="4"/>
  <c r="Z589" i="4"/>
  <c r="Z584" i="4"/>
  <c r="Z574" i="4"/>
  <c r="Z564" i="4"/>
  <c r="Z554" i="4"/>
  <c r="Z544" i="4"/>
  <c r="Z534" i="4"/>
  <c r="Z524" i="4"/>
  <c r="Z514" i="4"/>
  <c r="Z504" i="4"/>
  <c r="Z520" i="4"/>
  <c r="Z507" i="4"/>
  <c r="Z503" i="4"/>
  <c r="Z488" i="4"/>
  <c r="Z478" i="4"/>
  <c r="Z468" i="4"/>
  <c r="Z458" i="4"/>
  <c r="Z448" i="4"/>
  <c r="Z438" i="4"/>
  <c r="Z428" i="4"/>
  <c r="Z418" i="4"/>
  <c r="Z408" i="4"/>
  <c r="Z577" i="4"/>
  <c r="Z567" i="4"/>
  <c r="Z517" i="4"/>
  <c r="Z502" i="4"/>
  <c r="Z485" i="4"/>
  <c r="Z475" i="4"/>
  <c r="Z465" i="4"/>
  <c r="Z455" i="4"/>
  <c r="Z445" i="4"/>
  <c r="Z435" i="4"/>
  <c r="Z425" i="4"/>
  <c r="Z415" i="4"/>
  <c r="Z540" i="4"/>
  <c r="Z499" i="4"/>
  <c r="Z497" i="4"/>
  <c r="Z495" i="4"/>
  <c r="Z492" i="4"/>
  <c r="Z482" i="4"/>
  <c r="Z472" i="4"/>
  <c r="Z462" i="4"/>
  <c r="Z452" i="4"/>
  <c r="Z442" i="4"/>
  <c r="Z432" i="4"/>
  <c r="Z537" i="4"/>
  <c r="Z505" i="4"/>
  <c r="Z489" i="4"/>
  <c r="Z479" i="4"/>
  <c r="Z469" i="4"/>
  <c r="Z459" i="4"/>
  <c r="Z449" i="4"/>
  <c r="Z439" i="4"/>
  <c r="Z429" i="4"/>
  <c r="Z587" i="4"/>
  <c r="Z560" i="4"/>
  <c r="Z510" i="4"/>
  <c r="Z486" i="4"/>
  <c r="Z476" i="4"/>
  <c r="Z466" i="4"/>
  <c r="Z456" i="4"/>
  <c r="Z446" i="4"/>
  <c r="Z436" i="4"/>
  <c r="Z426" i="4"/>
  <c r="Z557" i="4"/>
  <c r="Z493" i="4"/>
  <c r="Z483" i="4"/>
  <c r="Z473" i="4"/>
  <c r="Z463" i="4"/>
  <c r="Z453" i="4"/>
  <c r="Z443" i="4"/>
  <c r="Z433" i="4"/>
  <c r="Z530" i="4"/>
  <c r="Z498" i="4"/>
  <c r="Z490" i="4"/>
  <c r="Z480" i="4"/>
  <c r="Z470" i="4"/>
  <c r="Z460" i="4"/>
  <c r="Z450" i="4"/>
  <c r="Z440" i="4"/>
  <c r="Z527" i="4"/>
  <c r="Z550" i="4"/>
  <c r="Z494" i="4"/>
  <c r="Z484" i="4"/>
  <c r="Z474" i="4"/>
  <c r="Z464" i="4"/>
  <c r="Z454" i="4"/>
  <c r="Z444" i="4"/>
  <c r="Z434" i="4"/>
  <c r="Z424" i="4"/>
  <c r="Z547" i="4"/>
  <c r="Z477" i="4"/>
  <c r="Z423" i="4"/>
  <c r="Z412" i="4"/>
  <c r="Z471" i="4"/>
  <c r="Z422" i="4"/>
  <c r="Z409" i="4"/>
  <c r="Z447" i="4"/>
  <c r="Z491" i="4"/>
  <c r="Z441" i="4"/>
  <c r="Z430" i="4"/>
  <c r="Z417" i="4"/>
  <c r="Z406" i="4"/>
  <c r="Z467" i="4"/>
  <c r="Z421" i="4"/>
  <c r="Z414" i="4"/>
  <c r="Z404" i="4"/>
  <c r="Z402" i="4"/>
  <c r="Z461" i="4"/>
  <c r="Z411" i="4"/>
  <c r="Z496" i="4"/>
  <c r="Z487" i="4"/>
  <c r="Z437" i="4"/>
  <c r="Z420" i="4"/>
  <c r="Z416" i="4"/>
  <c r="Z481" i="4"/>
  <c r="Z431" i="4"/>
  <c r="Z419" i="4"/>
  <c r="Z413" i="4"/>
  <c r="Z457" i="4"/>
  <c r="Z410" i="4"/>
  <c r="Z405" i="4"/>
  <c r="Z500" i="4"/>
  <c r="Z451" i="4"/>
  <c r="Z427" i="4"/>
  <c r="Z407" i="4"/>
  <c r="Z403" i="4"/>
  <c r="AJ640" i="4"/>
  <c r="AJ650" i="4"/>
  <c r="AJ647" i="4"/>
  <c r="AJ644" i="4"/>
  <c r="AJ648" i="4"/>
  <c r="AJ645" i="4"/>
  <c r="AJ651" i="4"/>
  <c r="AJ643" i="4"/>
  <c r="AJ641" i="4"/>
  <c r="AJ636" i="4"/>
  <c r="AJ626" i="4"/>
  <c r="AJ616" i="4"/>
  <c r="AJ606" i="4"/>
  <c r="AJ596" i="4"/>
  <c r="AJ633" i="4"/>
  <c r="AJ623" i="4"/>
  <c r="AJ613" i="4"/>
  <c r="AJ603" i="4"/>
  <c r="AJ593" i="4"/>
  <c r="AJ630" i="4"/>
  <c r="AJ620" i="4"/>
  <c r="AJ610" i="4"/>
  <c r="AJ600" i="4"/>
  <c r="AJ590" i="4"/>
  <c r="AJ627" i="4"/>
  <c r="AJ617" i="4"/>
  <c r="AJ607" i="4"/>
  <c r="AJ597" i="4"/>
  <c r="AJ649" i="4"/>
  <c r="AJ637" i="4"/>
  <c r="AJ634" i="4"/>
  <c r="AJ624" i="4"/>
  <c r="AJ614" i="4"/>
  <c r="AJ604" i="4"/>
  <c r="AJ594" i="4"/>
  <c r="AJ646" i="4"/>
  <c r="AJ631" i="4"/>
  <c r="AJ621" i="4"/>
  <c r="AJ611" i="4"/>
  <c r="AJ601" i="4"/>
  <c r="AJ639" i="4"/>
  <c r="AJ628" i="4"/>
  <c r="AJ618" i="4"/>
  <c r="AJ608" i="4"/>
  <c r="AJ598" i="4"/>
  <c r="AJ635" i="4"/>
  <c r="AJ632" i="4"/>
  <c r="AJ622" i="4"/>
  <c r="AJ612" i="4"/>
  <c r="AJ602" i="4"/>
  <c r="AJ592" i="4"/>
  <c r="AJ642" i="4"/>
  <c r="AJ638" i="4"/>
  <c r="AJ629" i="4"/>
  <c r="AJ581" i="4"/>
  <c r="AJ571" i="4"/>
  <c r="AJ561" i="4"/>
  <c r="AJ551" i="4"/>
  <c r="AJ541" i="4"/>
  <c r="AJ531" i="4"/>
  <c r="AJ521" i="4"/>
  <c r="AJ511" i="4"/>
  <c r="AJ501" i="4"/>
  <c r="AJ578" i="4"/>
  <c r="AJ568" i="4"/>
  <c r="AJ558" i="4"/>
  <c r="AJ548" i="4"/>
  <c r="AJ538" i="4"/>
  <c r="AJ528" i="4"/>
  <c r="AJ518" i="4"/>
  <c r="AJ508" i="4"/>
  <c r="AJ498" i="4"/>
  <c r="AJ605" i="4"/>
  <c r="AJ589" i="4"/>
  <c r="AJ585" i="4"/>
  <c r="AJ575" i="4"/>
  <c r="AJ565" i="4"/>
  <c r="AJ555" i="4"/>
  <c r="AJ545" i="4"/>
  <c r="AJ535" i="4"/>
  <c r="AJ525" i="4"/>
  <c r="AJ515" i="4"/>
  <c r="AJ599" i="4"/>
  <c r="AJ582" i="4"/>
  <c r="AJ572" i="4"/>
  <c r="AJ562" i="4"/>
  <c r="AJ552" i="4"/>
  <c r="AJ542" i="4"/>
  <c r="AJ532" i="4"/>
  <c r="AJ522" i="4"/>
  <c r="AJ512" i="4"/>
  <c r="AJ625" i="4"/>
  <c r="AJ588" i="4"/>
  <c r="AJ579" i="4"/>
  <c r="AJ569" i="4"/>
  <c r="AJ559" i="4"/>
  <c r="AJ549" i="4"/>
  <c r="AJ539" i="4"/>
  <c r="AJ529" i="4"/>
  <c r="AJ519" i="4"/>
  <c r="AJ509" i="4"/>
  <c r="AJ619" i="4"/>
  <c r="AJ591" i="4"/>
  <c r="AJ586" i="4"/>
  <c r="AJ576" i="4"/>
  <c r="AJ566" i="4"/>
  <c r="AJ556" i="4"/>
  <c r="AJ546" i="4"/>
  <c r="AJ536" i="4"/>
  <c r="AJ526" i="4"/>
  <c r="AJ516" i="4"/>
  <c r="AJ506" i="4"/>
  <c r="AJ595" i="4"/>
  <c r="AJ583" i="4"/>
  <c r="AJ573" i="4"/>
  <c r="AJ563" i="4"/>
  <c r="AJ553" i="4"/>
  <c r="AJ543" i="4"/>
  <c r="AJ533" i="4"/>
  <c r="AJ523" i="4"/>
  <c r="AJ513" i="4"/>
  <c r="AJ580" i="4"/>
  <c r="AJ570" i="4"/>
  <c r="AJ615" i="4"/>
  <c r="AJ609" i="4"/>
  <c r="AJ587" i="4"/>
  <c r="AJ584" i="4"/>
  <c r="AJ574" i="4"/>
  <c r="AJ564" i="4"/>
  <c r="AJ554" i="4"/>
  <c r="AJ544" i="4"/>
  <c r="AJ534" i="4"/>
  <c r="AJ524" i="4"/>
  <c r="AJ514" i="4"/>
  <c r="AJ504" i="4"/>
  <c r="AJ577" i="4"/>
  <c r="AJ540" i="4"/>
  <c r="AJ488" i="4"/>
  <c r="AJ478" i="4"/>
  <c r="AJ468" i="4"/>
  <c r="AJ458" i="4"/>
  <c r="AJ448" i="4"/>
  <c r="AJ438" i="4"/>
  <c r="AJ428" i="4"/>
  <c r="AJ418" i="4"/>
  <c r="AJ408" i="4"/>
  <c r="AJ537" i="4"/>
  <c r="AJ500" i="4"/>
  <c r="AJ485" i="4"/>
  <c r="AJ475" i="4"/>
  <c r="AJ465" i="4"/>
  <c r="AJ455" i="4"/>
  <c r="AJ445" i="4"/>
  <c r="AJ435" i="4"/>
  <c r="AJ425" i="4"/>
  <c r="AJ415" i="4"/>
  <c r="AJ560" i="4"/>
  <c r="AJ510" i="4"/>
  <c r="AJ492" i="4"/>
  <c r="AJ482" i="4"/>
  <c r="AJ472" i="4"/>
  <c r="AJ462" i="4"/>
  <c r="AJ452" i="4"/>
  <c r="AJ442" i="4"/>
  <c r="AJ432" i="4"/>
  <c r="AJ557" i="4"/>
  <c r="AJ497" i="4"/>
  <c r="AJ495" i="4"/>
  <c r="AJ489" i="4"/>
  <c r="AJ479" i="4"/>
  <c r="AJ469" i="4"/>
  <c r="AJ459" i="4"/>
  <c r="AJ449" i="4"/>
  <c r="AJ439" i="4"/>
  <c r="AJ429" i="4"/>
  <c r="AJ530" i="4"/>
  <c r="AJ502" i="4"/>
  <c r="AJ499" i="4"/>
  <c r="AJ486" i="4"/>
  <c r="AJ476" i="4"/>
  <c r="AJ466" i="4"/>
  <c r="AJ456" i="4"/>
  <c r="AJ446" i="4"/>
  <c r="AJ436" i="4"/>
  <c r="AJ426" i="4"/>
  <c r="AJ527" i="4"/>
  <c r="AJ503" i="4"/>
  <c r="AJ493" i="4"/>
  <c r="AJ483" i="4"/>
  <c r="AJ473" i="4"/>
  <c r="AJ463" i="4"/>
  <c r="AJ453" i="4"/>
  <c r="AJ443" i="4"/>
  <c r="AJ433" i="4"/>
  <c r="AJ550" i="4"/>
  <c r="AJ507" i="4"/>
  <c r="AJ490" i="4"/>
  <c r="AJ480" i="4"/>
  <c r="AJ470" i="4"/>
  <c r="AJ460" i="4"/>
  <c r="AJ450" i="4"/>
  <c r="AJ440" i="4"/>
  <c r="AJ430" i="4"/>
  <c r="AJ547" i="4"/>
  <c r="AJ520" i="4"/>
  <c r="AJ496" i="4"/>
  <c r="AJ484" i="4"/>
  <c r="AJ474" i="4"/>
  <c r="AJ464" i="4"/>
  <c r="AJ454" i="4"/>
  <c r="AJ444" i="4"/>
  <c r="AJ434" i="4"/>
  <c r="AJ424" i="4"/>
  <c r="AJ567" i="4"/>
  <c r="AJ517" i="4"/>
  <c r="AJ447" i="4"/>
  <c r="AJ419" i="4"/>
  <c r="AJ410" i="4"/>
  <c r="AJ403" i="4"/>
  <c r="AJ494" i="4"/>
  <c r="AJ491" i="4"/>
  <c r="AJ441" i="4"/>
  <c r="AJ407" i="4"/>
  <c r="AJ467" i="4"/>
  <c r="AJ412" i="4"/>
  <c r="AJ505" i="4"/>
  <c r="AJ461" i="4"/>
  <c r="AJ423" i="4"/>
  <c r="AJ409" i="4"/>
  <c r="AJ487" i="4"/>
  <c r="AJ437" i="4"/>
  <c r="AJ427" i="4"/>
  <c r="AJ422" i="4"/>
  <c r="AJ406" i="4"/>
  <c r="AJ481" i="4"/>
  <c r="AJ431" i="4"/>
  <c r="AJ417" i="4"/>
  <c r="AJ404" i="4"/>
  <c r="AJ402" i="4"/>
  <c r="AJ457" i="4"/>
  <c r="AJ414" i="4"/>
  <c r="AJ451" i="4"/>
  <c r="AJ421" i="4"/>
  <c r="AJ411" i="4"/>
  <c r="AJ477" i="4"/>
  <c r="AJ416" i="4"/>
  <c r="AJ471" i="4"/>
  <c r="AJ420" i="4"/>
  <c r="AJ413" i="4"/>
  <c r="AJ405" i="4"/>
  <c r="G124" i="2"/>
  <c r="E33" i="10" s="1"/>
  <c r="G99" i="2"/>
  <c r="G158" i="2"/>
  <c r="E41" i="10" s="1"/>
  <c r="G277" i="2"/>
  <c r="E41" i="12"/>
  <c r="E19" i="8"/>
  <c r="G200" i="2"/>
  <c r="E52" i="10" s="1"/>
  <c r="G278" i="2"/>
  <c r="E66" i="10" s="1"/>
  <c r="E144" i="17"/>
  <c r="E28" i="16"/>
  <c r="E70" i="17"/>
  <c r="E64" i="15"/>
  <c r="G364" i="2"/>
  <c r="E91" i="10" s="1"/>
  <c r="G542" i="2"/>
  <c r="E92" i="17"/>
  <c r="E75" i="15"/>
  <c r="E245" i="17"/>
  <c r="E86" i="16"/>
  <c r="E9" i="12"/>
  <c r="E6" i="6"/>
  <c r="G69" i="2"/>
  <c r="E37" i="17"/>
  <c r="E30" i="15"/>
  <c r="G61" i="2"/>
  <c r="R401" i="4"/>
  <c r="R399" i="4"/>
  <c r="R394" i="4"/>
  <c r="R389" i="4"/>
  <c r="R384" i="4"/>
  <c r="R379" i="4"/>
  <c r="R374" i="4"/>
  <c r="R369" i="4"/>
  <c r="R364" i="4"/>
  <c r="R359" i="4"/>
  <c r="R354" i="4"/>
  <c r="R349" i="4"/>
  <c r="R344" i="4"/>
  <c r="R397" i="4"/>
  <c r="R392" i="4"/>
  <c r="R387" i="4"/>
  <c r="R382" i="4"/>
  <c r="R377" i="4"/>
  <c r="R372" i="4"/>
  <c r="R367" i="4"/>
  <c r="R362" i="4"/>
  <c r="R357" i="4"/>
  <c r="R352" i="4"/>
  <c r="R347" i="4"/>
  <c r="R342" i="4"/>
  <c r="R395" i="4"/>
  <c r="R390" i="4"/>
  <c r="R385" i="4"/>
  <c r="R380" i="4"/>
  <c r="R375" i="4"/>
  <c r="R370" i="4"/>
  <c r="R365" i="4"/>
  <c r="R360" i="4"/>
  <c r="R355" i="4"/>
  <c r="R350" i="4"/>
  <c r="R345" i="4"/>
  <c r="R400" i="4"/>
  <c r="R398" i="4"/>
  <c r="R393" i="4"/>
  <c r="R388" i="4"/>
  <c r="R396" i="4"/>
  <c r="R391" i="4"/>
  <c r="R386" i="4"/>
  <c r="R381" i="4"/>
  <c r="R376" i="4"/>
  <c r="R371" i="4"/>
  <c r="R366" i="4"/>
  <c r="R361" i="4"/>
  <c r="R356" i="4"/>
  <c r="R351" i="4"/>
  <c r="R346" i="4"/>
  <c r="R333" i="4"/>
  <c r="R323" i="4"/>
  <c r="R318" i="4"/>
  <c r="R313" i="4"/>
  <c r="R308" i="4"/>
  <c r="R303" i="4"/>
  <c r="R298" i="4"/>
  <c r="R293" i="4"/>
  <c r="R288" i="4"/>
  <c r="R283" i="4"/>
  <c r="R278" i="4"/>
  <c r="R273" i="4"/>
  <c r="R268" i="4"/>
  <c r="R263" i="4"/>
  <c r="R258" i="4"/>
  <c r="R253" i="4"/>
  <c r="R373" i="4"/>
  <c r="R348" i="4"/>
  <c r="R328" i="4"/>
  <c r="R330" i="4"/>
  <c r="R326" i="4"/>
  <c r="R321" i="4"/>
  <c r="R316" i="4"/>
  <c r="R311" i="4"/>
  <c r="R306" i="4"/>
  <c r="R301" i="4"/>
  <c r="R296" i="4"/>
  <c r="R291" i="4"/>
  <c r="R286" i="4"/>
  <c r="R281" i="4"/>
  <c r="R276" i="4"/>
  <c r="R271" i="4"/>
  <c r="R266" i="4"/>
  <c r="R261" i="4"/>
  <c r="R256" i="4"/>
  <c r="R363" i="4"/>
  <c r="R332" i="4"/>
  <c r="R324" i="4"/>
  <c r="R319" i="4"/>
  <c r="R314" i="4"/>
  <c r="R309" i="4"/>
  <c r="R304" i="4"/>
  <c r="R299" i="4"/>
  <c r="R294" i="4"/>
  <c r="R289" i="4"/>
  <c r="R284" i="4"/>
  <c r="R279" i="4"/>
  <c r="R274" i="4"/>
  <c r="R269" i="4"/>
  <c r="R264" i="4"/>
  <c r="R259" i="4"/>
  <c r="R254" i="4"/>
  <c r="R249" i="4"/>
  <c r="R378" i="4"/>
  <c r="R353" i="4"/>
  <c r="R335" i="4"/>
  <c r="R338" i="4"/>
  <c r="R337" i="4"/>
  <c r="R336" i="4"/>
  <c r="R329" i="4"/>
  <c r="R327" i="4"/>
  <c r="R322" i="4"/>
  <c r="R317" i="4"/>
  <c r="R312" i="4"/>
  <c r="R307" i="4"/>
  <c r="R302" i="4"/>
  <c r="R297" i="4"/>
  <c r="R292" i="4"/>
  <c r="R287" i="4"/>
  <c r="R282" i="4"/>
  <c r="R277" i="4"/>
  <c r="R272" i="4"/>
  <c r="R267" i="4"/>
  <c r="R262" i="4"/>
  <c r="R257" i="4"/>
  <c r="R368" i="4"/>
  <c r="R343" i="4"/>
  <c r="R340" i="4"/>
  <c r="R339" i="4"/>
  <c r="R334" i="4"/>
  <c r="R341" i="4"/>
  <c r="R331" i="4"/>
  <c r="R325" i="4"/>
  <c r="R320" i="4"/>
  <c r="R315" i="4"/>
  <c r="R383" i="4"/>
  <c r="R358" i="4"/>
  <c r="R251" i="4"/>
  <c r="R244" i="4"/>
  <c r="R243" i="4"/>
  <c r="R295" i="4"/>
  <c r="R270" i="4"/>
  <c r="R247" i="4"/>
  <c r="R246" i="4"/>
  <c r="R245" i="4"/>
  <c r="R236" i="4"/>
  <c r="R231" i="4"/>
  <c r="R226" i="4"/>
  <c r="R221" i="4"/>
  <c r="R216" i="4"/>
  <c r="R211" i="4"/>
  <c r="R206" i="4"/>
  <c r="R201" i="4"/>
  <c r="R196" i="4"/>
  <c r="R191" i="4"/>
  <c r="R186" i="4"/>
  <c r="R181" i="4"/>
  <c r="R176" i="4"/>
  <c r="R171" i="4"/>
  <c r="R166" i="4"/>
  <c r="R248" i="4"/>
  <c r="R241" i="4"/>
  <c r="R310" i="4"/>
  <c r="R285" i="4"/>
  <c r="R260" i="4"/>
  <c r="R252" i="4"/>
  <c r="R239" i="4"/>
  <c r="R234" i="4"/>
  <c r="R229" i="4"/>
  <c r="R224" i="4"/>
  <c r="R219" i="4"/>
  <c r="R214" i="4"/>
  <c r="R209" i="4"/>
  <c r="R204" i="4"/>
  <c r="R199" i="4"/>
  <c r="R194" i="4"/>
  <c r="R189" i="4"/>
  <c r="R184" i="4"/>
  <c r="R179" i="4"/>
  <c r="R174" i="4"/>
  <c r="R169" i="4"/>
  <c r="R300" i="4"/>
  <c r="R275" i="4"/>
  <c r="R237" i="4"/>
  <c r="R232" i="4"/>
  <c r="R227" i="4"/>
  <c r="R222" i="4"/>
  <c r="R217" i="4"/>
  <c r="R212" i="4"/>
  <c r="R207" i="4"/>
  <c r="R202" i="4"/>
  <c r="R197" i="4"/>
  <c r="R192" i="4"/>
  <c r="R187" i="4"/>
  <c r="R182" i="4"/>
  <c r="R177" i="4"/>
  <c r="R172" i="4"/>
  <c r="R290" i="4"/>
  <c r="R265" i="4"/>
  <c r="R250" i="4"/>
  <c r="R240" i="4"/>
  <c r="R235" i="4"/>
  <c r="R230" i="4"/>
  <c r="R225" i="4"/>
  <c r="R220" i="4"/>
  <c r="R215" i="4"/>
  <c r="R210" i="4"/>
  <c r="R205" i="4"/>
  <c r="R200" i="4"/>
  <c r="R195" i="4"/>
  <c r="R190" i="4"/>
  <c r="R185" i="4"/>
  <c r="R180" i="4"/>
  <c r="R175" i="4"/>
  <c r="R305" i="4"/>
  <c r="R280" i="4"/>
  <c r="R255" i="4"/>
  <c r="R242" i="4"/>
  <c r="R238" i="4"/>
  <c r="R233" i="4"/>
  <c r="R208" i="4"/>
  <c r="R183" i="4"/>
  <c r="R167" i="4"/>
  <c r="R145" i="4"/>
  <c r="R228" i="4"/>
  <c r="R160" i="4"/>
  <c r="R153" i="4"/>
  <c r="R147" i="4"/>
  <c r="R138" i="4"/>
  <c r="R136" i="4"/>
  <c r="R131" i="4"/>
  <c r="R126" i="4"/>
  <c r="R121" i="4"/>
  <c r="R116" i="4"/>
  <c r="R111" i="4"/>
  <c r="R106" i="4"/>
  <c r="R101" i="4"/>
  <c r="R96" i="4"/>
  <c r="R91" i="4"/>
  <c r="R86" i="4"/>
  <c r="R81" i="4"/>
  <c r="R76" i="4"/>
  <c r="R71" i="4"/>
  <c r="R66" i="4"/>
  <c r="R61" i="4"/>
  <c r="R223" i="4"/>
  <c r="R198" i="4"/>
  <c r="R173" i="4"/>
  <c r="R162" i="4"/>
  <c r="R161" i="4"/>
  <c r="R159" i="4"/>
  <c r="R149" i="4"/>
  <c r="R140" i="4"/>
  <c r="R170" i="4"/>
  <c r="R164" i="4"/>
  <c r="R163" i="4"/>
  <c r="R152" i="4"/>
  <c r="R142" i="4"/>
  <c r="R134" i="4"/>
  <c r="R129" i="4"/>
  <c r="R124" i="4"/>
  <c r="R119" i="4"/>
  <c r="R114" i="4"/>
  <c r="R109" i="4"/>
  <c r="R104" i="4"/>
  <c r="R99" i="4"/>
  <c r="R94" i="4"/>
  <c r="R89" i="4"/>
  <c r="R84" i="4"/>
  <c r="R79" i="4"/>
  <c r="R74" i="4"/>
  <c r="R213" i="4"/>
  <c r="R188" i="4"/>
  <c r="R158" i="4"/>
  <c r="R157" i="4"/>
  <c r="R144" i="4"/>
  <c r="R168" i="4"/>
  <c r="R165" i="4"/>
  <c r="R146" i="4"/>
  <c r="R137" i="4"/>
  <c r="R132" i="4"/>
  <c r="R127" i="4"/>
  <c r="R122" i="4"/>
  <c r="R117" i="4"/>
  <c r="R112" i="4"/>
  <c r="R107" i="4"/>
  <c r="R102" i="4"/>
  <c r="R97" i="4"/>
  <c r="R92" i="4"/>
  <c r="R87" i="4"/>
  <c r="R82" i="4"/>
  <c r="R77" i="4"/>
  <c r="R203" i="4"/>
  <c r="R178" i="4"/>
  <c r="R156" i="4"/>
  <c r="R151" i="4"/>
  <c r="R139" i="4"/>
  <c r="R155" i="4"/>
  <c r="R148" i="4"/>
  <c r="R141" i="4"/>
  <c r="R135" i="4"/>
  <c r="R130" i="4"/>
  <c r="R125" i="4"/>
  <c r="R120" i="4"/>
  <c r="R115" i="4"/>
  <c r="R110" i="4"/>
  <c r="R105" i="4"/>
  <c r="R100" i="4"/>
  <c r="R95" i="4"/>
  <c r="R90" i="4"/>
  <c r="R85" i="4"/>
  <c r="R80" i="4"/>
  <c r="R75" i="4"/>
  <c r="R70" i="4"/>
  <c r="R218" i="4"/>
  <c r="R193" i="4"/>
  <c r="R154" i="4"/>
  <c r="R150" i="4"/>
  <c r="R143" i="4"/>
  <c r="R65" i="4"/>
  <c r="R63" i="4"/>
  <c r="R57" i="4"/>
  <c r="R48" i="4"/>
  <c r="R42" i="4"/>
  <c r="R37" i="4"/>
  <c r="R32" i="4"/>
  <c r="R27" i="4"/>
  <c r="R22" i="4"/>
  <c r="R17" i="4"/>
  <c r="R12" i="4"/>
  <c r="R7" i="4"/>
  <c r="R2" i="4"/>
  <c r="R123" i="4"/>
  <c r="R98" i="4"/>
  <c r="R73" i="4"/>
  <c r="R50" i="4"/>
  <c r="R67" i="4"/>
  <c r="R60" i="4"/>
  <c r="R52" i="4"/>
  <c r="R40" i="4"/>
  <c r="R35" i="4"/>
  <c r="R30" i="4"/>
  <c r="R25" i="4"/>
  <c r="R20" i="4"/>
  <c r="R15" i="4"/>
  <c r="R10" i="4"/>
  <c r="R5" i="4"/>
  <c r="R113" i="4"/>
  <c r="R88" i="4"/>
  <c r="R54" i="4"/>
  <c r="R45" i="4"/>
  <c r="R59" i="4"/>
  <c r="R56" i="4"/>
  <c r="R47" i="4"/>
  <c r="R43" i="4"/>
  <c r="R38" i="4"/>
  <c r="R33" i="4"/>
  <c r="R28" i="4"/>
  <c r="R23" i="4"/>
  <c r="R18" i="4"/>
  <c r="R13" i="4"/>
  <c r="R8" i="4"/>
  <c r="R3" i="4"/>
  <c r="R128" i="4"/>
  <c r="R103" i="4"/>
  <c r="R78" i="4"/>
  <c r="R72" i="4"/>
  <c r="R68" i="4"/>
  <c r="R49" i="4"/>
  <c r="R69" i="4"/>
  <c r="R51" i="4"/>
  <c r="R41" i="4"/>
  <c r="R36" i="4"/>
  <c r="R31" i="4"/>
  <c r="R26" i="4"/>
  <c r="R21" i="4"/>
  <c r="R16" i="4"/>
  <c r="R11" i="4"/>
  <c r="R6" i="4"/>
  <c r="R118" i="4"/>
  <c r="R93" i="4"/>
  <c r="R58" i="4"/>
  <c r="R53" i="4"/>
  <c r="R46" i="4"/>
  <c r="R44" i="4"/>
  <c r="R39" i="4"/>
  <c r="R34" i="4"/>
  <c r="R29" i="4"/>
  <c r="R24" i="4"/>
  <c r="R19" i="4"/>
  <c r="R14" i="4"/>
  <c r="R9" i="4"/>
  <c r="R4" i="4"/>
  <c r="R133" i="4"/>
  <c r="R108" i="4"/>
  <c r="R83" i="4"/>
  <c r="R64" i="4"/>
  <c r="R62" i="4"/>
  <c r="R55" i="4"/>
  <c r="I401" i="4"/>
  <c r="I399" i="4"/>
  <c r="I394" i="4"/>
  <c r="I389" i="4"/>
  <c r="I384" i="4"/>
  <c r="I379" i="4"/>
  <c r="I374" i="4"/>
  <c r="I369" i="4"/>
  <c r="I364" i="4"/>
  <c r="I359" i="4"/>
  <c r="I354" i="4"/>
  <c r="I349" i="4"/>
  <c r="I344" i="4"/>
  <c r="I339" i="4"/>
  <c r="I334" i="4"/>
  <c r="I329" i="4"/>
  <c r="I397" i="4"/>
  <c r="I392" i="4"/>
  <c r="I387" i="4"/>
  <c r="I382" i="4"/>
  <c r="I377" i="4"/>
  <c r="I372" i="4"/>
  <c r="I367" i="4"/>
  <c r="I362" i="4"/>
  <c r="I357" i="4"/>
  <c r="I352" i="4"/>
  <c r="I347" i="4"/>
  <c r="I342" i="4"/>
  <c r="I337" i="4"/>
  <c r="I400" i="4"/>
  <c r="I395" i="4"/>
  <c r="I390" i="4"/>
  <c r="I385" i="4"/>
  <c r="I380" i="4"/>
  <c r="I375" i="4"/>
  <c r="I370" i="4"/>
  <c r="I365" i="4"/>
  <c r="I360" i="4"/>
  <c r="I355" i="4"/>
  <c r="I350" i="4"/>
  <c r="I345" i="4"/>
  <c r="I340" i="4"/>
  <c r="I335" i="4"/>
  <c r="I398" i="4"/>
  <c r="I393" i="4"/>
  <c r="I388" i="4"/>
  <c r="I383" i="4"/>
  <c r="I378" i="4"/>
  <c r="I373" i="4"/>
  <c r="I368" i="4"/>
  <c r="I363" i="4"/>
  <c r="I358" i="4"/>
  <c r="I353" i="4"/>
  <c r="I348" i="4"/>
  <c r="I343" i="4"/>
  <c r="I338" i="4"/>
  <c r="I396" i="4"/>
  <c r="I391" i="4"/>
  <c r="I386" i="4"/>
  <c r="I371" i="4"/>
  <c r="I346" i="4"/>
  <c r="I330" i="4"/>
  <c r="I336" i="4"/>
  <c r="I332" i="4"/>
  <c r="I326" i="4"/>
  <c r="I321" i="4"/>
  <c r="I316" i="4"/>
  <c r="I311" i="4"/>
  <c r="I306" i="4"/>
  <c r="I301" i="4"/>
  <c r="I296" i="4"/>
  <c r="I291" i="4"/>
  <c r="I286" i="4"/>
  <c r="I281" i="4"/>
  <c r="I276" i="4"/>
  <c r="I271" i="4"/>
  <c r="I266" i="4"/>
  <c r="I261" i="4"/>
  <c r="I256" i="4"/>
  <c r="I251" i="4"/>
  <c r="I246" i="4"/>
  <c r="I361" i="4"/>
  <c r="I341" i="4"/>
  <c r="I324" i="4"/>
  <c r="I319" i="4"/>
  <c r="I314" i="4"/>
  <c r="I309" i="4"/>
  <c r="I304" i="4"/>
  <c r="I299" i="4"/>
  <c r="I294" i="4"/>
  <c r="I289" i="4"/>
  <c r="I284" i="4"/>
  <c r="I279" i="4"/>
  <c r="I274" i="4"/>
  <c r="I269" i="4"/>
  <c r="I264" i="4"/>
  <c r="I259" i="4"/>
  <c r="I254" i="4"/>
  <c r="I249" i="4"/>
  <c r="I244" i="4"/>
  <c r="I376" i="4"/>
  <c r="I351" i="4"/>
  <c r="I327" i="4"/>
  <c r="I322" i="4"/>
  <c r="I317" i="4"/>
  <c r="I312" i="4"/>
  <c r="I307" i="4"/>
  <c r="I302" i="4"/>
  <c r="I297" i="4"/>
  <c r="I292" i="4"/>
  <c r="I287" i="4"/>
  <c r="I282" i="4"/>
  <c r="I277" i="4"/>
  <c r="I272" i="4"/>
  <c r="I267" i="4"/>
  <c r="I262" i="4"/>
  <c r="I257" i="4"/>
  <c r="I252" i="4"/>
  <c r="I247" i="4"/>
  <c r="I366" i="4"/>
  <c r="I331" i="4"/>
  <c r="I333" i="4"/>
  <c r="I325" i="4"/>
  <c r="I320" i="4"/>
  <c r="I381" i="4"/>
  <c r="I356" i="4"/>
  <c r="I328" i="4"/>
  <c r="I323" i="4"/>
  <c r="I318" i="4"/>
  <c r="I313" i="4"/>
  <c r="I308" i="4"/>
  <c r="I303" i="4"/>
  <c r="I298" i="4"/>
  <c r="I293" i="4"/>
  <c r="I288" i="4"/>
  <c r="I283" i="4"/>
  <c r="I278" i="4"/>
  <c r="I273" i="4"/>
  <c r="I268" i="4"/>
  <c r="I263" i="4"/>
  <c r="I258" i="4"/>
  <c r="I253" i="4"/>
  <c r="I248" i="4"/>
  <c r="I243" i="4"/>
  <c r="I315" i="4"/>
  <c r="I305" i="4"/>
  <c r="I280" i="4"/>
  <c r="I250" i="4"/>
  <c r="I241" i="4"/>
  <c r="I236" i="4"/>
  <c r="I231" i="4"/>
  <c r="I226" i="4"/>
  <c r="I221" i="4"/>
  <c r="I216" i="4"/>
  <c r="I211" i="4"/>
  <c r="I206" i="4"/>
  <c r="I201" i="4"/>
  <c r="I196" i="4"/>
  <c r="I191" i="4"/>
  <c r="I186" i="4"/>
  <c r="I181" i="4"/>
  <c r="I176" i="4"/>
  <c r="I171" i="4"/>
  <c r="I166" i="4"/>
  <c r="I161" i="4"/>
  <c r="I156" i="4"/>
  <c r="I151" i="4"/>
  <c r="I146" i="4"/>
  <c r="I141" i="4"/>
  <c r="I255" i="4"/>
  <c r="I295" i="4"/>
  <c r="I270" i="4"/>
  <c r="I239" i="4"/>
  <c r="I234" i="4"/>
  <c r="I229" i="4"/>
  <c r="I224" i="4"/>
  <c r="I219" i="4"/>
  <c r="I214" i="4"/>
  <c r="I209" i="4"/>
  <c r="I204" i="4"/>
  <c r="I199" i="4"/>
  <c r="I194" i="4"/>
  <c r="I189" i="4"/>
  <c r="I184" i="4"/>
  <c r="I179" i="4"/>
  <c r="I174" i="4"/>
  <c r="I169" i="4"/>
  <c r="I164" i="4"/>
  <c r="I159" i="4"/>
  <c r="I310" i="4"/>
  <c r="I285" i="4"/>
  <c r="I260" i="4"/>
  <c r="I237" i="4"/>
  <c r="I232" i="4"/>
  <c r="I227" i="4"/>
  <c r="I222" i="4"/>
  <c r="I217" i="4"/>
  <c r="I212" i="4"/>
  <c r="I207" i="4"/>
  <c r="I202" i="4"/>
  <c r="I197" i="4"/>
  <c r="I192" i="4"/>
  <c r="I187" i="4"/>
  <c r="I182" i="4"/>
  <c r="I177" i="4"/>
  <c r="I172" i="4"/>
  <c r="I167" i="4"/>
  <c r="I162" i="4"/>
  <c r="I157" i="4"/>
  <c r="I152" i="4"/>
  <c r="I242" i="4"/>
  <c r="I300" i="4"/>
  <c r="I275" i="4"/>
  <c r="I245" i="4"/>
  <c r="I240" i="4"/>
  <c r="I235" i="4"/>
  <c r="I230" i="4"/>
  <c r="I225" i="4"/>
  <c r="I220" i="4"/>
  <c r="I215" i="4"/>
  <c r="I210" i="4"/>
  <c r="I205" i="4"/>
  <c r="I200" i="4"/>
  <c r="I195" i="4"/>
  <c r="I190" i="4"/>
  <c r="I185" i="4"/>
  <c r="I180" i="4"/>
  <c r="I175" i="4"/>
  <c r="I170" i="4"/>
  <c r="I165" i="4"/>
  <c r="I290" i="4"/>
  <c r="I265" i="4"/>
  <c r="I238" i="4"/>
  <c r="I233" i="4"/>
  <c r="I228" i="4"/>
  <c r="I158" i="4"/>
  <c r="I149" i="4"/>
  <c r="I140" i="4"/>
  <c r="I136" i="4"/>
  <c r="I131" i="4"/>
  <c r="I126" i="4"/>
  <c r="I121" i="4"/>
  <c r="I116" i="4"/>
  <c r="I111" i="4"/>
  <c r="I106" i="4"/>
  <c r="I101" i="4"/>
  <c r="I96" i="4"/>
  <c r="I91" i="4"/>
  <c r="I86" i="4"/>
  <c r="I81" i="4"/>
  <c r="I76" i="4"/>
  <c r="I71" i="4"/>
  <c r="I66" i="4"/>
  <c r="I61" i="4"/>
  <c r="I56" i="4"/>
  <c r="I51" i="4"/>
  <c r="I46" i="4"/>
  <c r="I208" i="4"/>
  <c r="I183" i="4"/>
  <c r="I142" i="4"/>
  <c r="I144" i="4"/>
  <c r="I134" i="4"/>
  <c r="I129" i="4"/>
  <c r="I124" i="4"/>
  <c r="I119" i="4"/>
  <c r="I114" i="4"/>
  <c r="I109" i="4"/>
  <c r="I104" i="4"/>
  <c r="I99" i="4"/>
  <c r="I94" i="4"/>
  <c r="I89" i="4"/>
  <c r="I84" i="4"/>
  <c r="I79" i="4"/>
  <c r="I74" i="4"/>
  <c r="I69" i="4"/>
  <c r="I64" i="4"/>
  <c r="I223" i="4"/>
  <c r="I198" i="4"/>
  <c r="I173" i="4"/>
  <c r="I155" i="4"/>
  <c r="I139" i="4"/>
  <c r="I137" i="4"/>
  <c r="I132" i="4"/>
  <c r="I127" i="4"/>
  <c r="I122" i="4"/>
  <c r="I117" i="4"/>
  <c r="I112" i="4"/>
  <c r="I107" i="4"/>
  <c r="I102" i="4"/>
  <c r="I97" i="4"/>
  <c r="I92" i="4"/>
  <c r="I87" i="4"/>
  <c r="I82" i="4"/>
  <c r="I77" i="4"/>
  <c r="I72" i="4"/>
  <c r="I67" i="4"/>
  <c r="I213" i="4"/>
  <c r="I188" i="4"/>
  <c r="I154" i="4"/>
  <c r="I148" i="4"/>
  <c r="I150" i="4"/>
  <c r="I135" i="4"/>
  <c r="I130" i="4"/>
  <c r="I125" i="4"/>
  <c r="I120" i="4"/>
  <c r="I115" i="4"/>
  <c r="I110" i="4"/>
  <c r="I105" i="4"/>
  <c r="I100" i="4"/>
  <c r="I95" i="4"/>
  <c r="I90" i="4"/>
  <c r="I85" i="4"/>
  <c r="I80" i="4"/>
  <c r="I75" i="4"/>
  <c r="I203" i="4"/>
  <c r="I178" i="4"/>
  <c r="I160" i="4"/>
  <c r="I143" i="4"/>
  <c r="I168" i="4"/>
  <c r="I163" i="4"/>
  <c r="I153" i="4"/>
  <c r="I145" i="4"/>
  <c r="I218" i="4"/>
  <c r="I193" i="4"/>
  <c r="I147" i="4"/>
  <c r="I133" i="4"/>
  <c r="I108" i="4"/>
  <c r="I83" i="4"/>
  <c r="I52" i="4"/>
  <c r="I59" i="4"/>
  <c r="I54" i="4"/>
  <c r="I45" i="4"/>
  <c r="I40" i="4"/>
  <c r="I35" i="4"/>
  <c r="I30" i="4"/>
  <c r="I25" i="4"/>
  <c r="I20" i="4"/>
  <c r="I15" i="4"/>
  <c r="I10" i="4"/>
  <c r="I5" i="4"/>
  <c r="I123" i="4"/>
  <c r="I98" i="4"/>
  <c r="I47" i="4"/>
  <c r="I73" i="4"/>
  <c r="I70" i="4"/>
  <c r="I49" i="4"/>
  <c r="I43" i="4"/>
  <c r="I38" i="4"/>
  <c r="I33" i="4"/>
  <c r="I28" i="4"/>
  <c r="I23" i="4"/>
  <c r="I18" i="4"/>
  <c r="I13" i="4"/>
  <c r="I8" i="4"/>
  <c r="I3" i="4"/>
  <c r="I113" i="4"/>
  <c r="I88" i="4"/>
  <c r="I138" i="4"/>
  <c r="I65" i="4"/>
  <c r="I63" i="4"/>
  <c r="I62" i="4"/>
  <c r="I58" i="4"/>
  <c r="I41" i="4"/>
  <c r="I36" i="4"/>
  <c r="I31" i="4"/>
  <c r="I26" i="4"/>
  <c r="I21" i="4"/>
  <c r="I16" i="4"/>
  <c r="I11" i="4"/>
  <c r="I6" i="4"/>
  <c r="I128" i="4"/>
  <c r="I103" i="4"/>
  <c r="I78" i="4"/>
  <c r="I53" i="4"/>
  <c r="I55" i="4"/>
  <c r="I44" i="4"/>
  <c r="I39" i="4"/>
  <c r="I34" i="4"/>
  <c r="I29" i="4"/>
  <c r="I24" i="4"/>
  <c r="I19" i="4"/>
  <c r="I14" i="4"/>
  <c r="I9" i="4"/>
  <c r="I4" i="4"/>
  <c r="I118" i="4"/>
  <c r="I93" i="4"/>
  <c r="I57" i="4"/>
  <c r="I48" i="4"/>
  <c r="I68" i="4"/>
  <c r="I60" i="4"/>
  <c r="I50" i="4"/>
  <c r="I42" i="4"/>
  <c r="I37" i="4"/>
  <c r="I32" i="4"/>
  <c r="I27" i="4"/>
  <c r="I22" i="4"/>
  <c r="I17" i="4"/>
  <c r="I12" i="4"/>
  <c r="I7" i="4"/>
  <c r="I2" i="4"/>
  <c r="S399" i="4"/>
  <c r="S394" i="4"/>
  <c r="S389" i="4"/>
  <c r="S384" i="4"/>
  <c r="S379" i="4"/>
  <c r="S374" i="4"/>
  <c r="S369" i="4"/>
  <c r="S364" i="4"/>
  <c r="S359" i="4"/>
  <c r="S354" i="4"/>
  <c r="S349" i="4"/>
  <c r="S344" i="4"/>
  <c r="S339" i="4"/>
  <c r="S334" i="4"/>
  <c r="S329" i="4"/>
  <c r="S401" i="4"/>
  <c r="S397" i="4"/>
  <c r="S392" i="4"/>
  <c r="S387" i="4"/>
  <c r="S382" i="4"/>
  <c r="S377" i="4"/>
  <c r="S372" i="4"/>
  <c r="S367" i="4"/>
  <c r="S362" i="4"/>
  <c r="S357" i="4"/>
  <c r="S352" i="4"/>
  <c r="S347" i="4"/>
  <c r="S342" i="4"/>
  <c r="S337" i="4"/>
  <c r="S395" i="4"/>
  <c r="S390" i="4"/>
  <c r="S385" i="4"/>
  <c r="S380" i="4"/>
  <c r="S375" i="4"/>
  <c r="S370" i="4"/>
  <c r="S365" i="4"/>
  <c r="S360" i="4"/>
  <c r="S355" i="4"/>
  <c r="S350" i="4"/>
  <c r="S345" i="4"/>
  <c r="S340" i="4"/>
  <c r="S335" i="4"/>
  <c r="S400" i="4"/>
  <c r="S398" i="4"/>
  <c r="S393" i="4"/>
  <c r="S388" i="4"/>
  <c r="S383" i="4"/>
  <c r="S378" i="4"/>
  <c r="S373" i="4"/>
  <c r="S368" i="4"/>
  <c r="S363" i="4"/>
  <c r="S358" i="4"/>
  <c r="S353" i="4"/>
  <c r="S348" i="4"/>
  <c r="S343" i="4"/>
  <c r="S338" i="4"/>
  <c r="S396" i="4"/>
  <c r="S391" i="4"/>
  <c r="S386" i="4"/>
  <c r="S361" i="4"/>
  <c r="S328" i="4"/>
  <c r="S330" i="4"/>
  <c r="S326" i="4"/>
  <c r="S321" i="4"/>
  <c r="S316" i="4"/>
  <c r="S311" i="4"/>
  <c r="S306" i="4"/>
  <c r="S301" i="4"/>
  <c r="S296" i="4"/>
  <c r="S291" i="4"/>
  <c r="S286" i="4"/>
  <c r="S281" i="4"/>
  <c r="S276" i="4"/>
  <c r="S271" i="4"/>
  <c r="S266" i="4"/>
  <c r="S261" i="4"/>
  <c r="S256" i="4"/>
  <c r="S251" i="4"/>
  <c r="S246" i="4"/>
  <c r="S376" i="4"/>
  <c r="S351" i="4"/>
  <c r="S332" i="4"/>
  <c r="S324" i="4"/>
  <c r="S319" i="4"/>
  <c r="S314" i="4"/>
  <c r="S309" i="4"/>
  <c r="S304" i="4"/>
  <c r="S299" i="4"/>
  <c r="S294" i="4"/>
  <c r="S289" i="4"/>
  <c r="S284" i="4"/>
  <c r="S279" i="4"/>
  <c r="S274" i="4"/>
  <c r="S269" i="4"/>
  <c r="S264" i="4"/>
  <c r="S259" i="4"/>
  <c r="S254" i="4"/>
  <c r="S249" i="4"/>
  <c r="S244" i="4"/>
  <c r="S366" i="4"/>
  <c r="S336" i="4"/>
  <c r="S327" i="4"/>
  <c r="S322" i="4"/>
  <c r="S317" i="4"/>
  <c r="S312" i="4"/>
  <c r="S307" i="4"/>
  <c r="S302" i="4"/>
  <c r="S297" i="4"/>
  <c r="S292" i="4"/>
  <c r="S287" i="4"/>
  <c r="S282" i="4"/>
  <c r="S277" i="4"/>
  <c r="S272" i="4"/>
  <c r="S267" i="4"/>
  <c r="S262" i="4"/>
  <c r="S257" i="4"/>
  <c r="S252" i="4"/>
  <c r="S247" i="4"/>
  <c r="S242" i="4"/>
  <c r="S381" i="4"/>
  <c r="S356" i="4"/>
  <c r="S341" i="4"/>
  <c r="S331" i="4"/>
  <c r="S325" i="4"/>
  <c r="S320" i="4"/>
  <c r="S315" i="4"/>
  <c r="S371" i="4"/>
  <c r="S346" i="4"/>
  <c r="S333" i="4"/>
  <c r="S323" i="4"/>
  <c r="S318" i="4"/>
  <c r="S313" i="4"/>
  <c r="S308" i="4"/>
  <c r="S303" i="4"/>
  <c r="S298" i="4"/>
  <c r="S293" i="4"/>
  <c r="S288" i="4"/>
  <c r="S283" i="4"/>
  <c r="S278" i="4"/>
  <c r="S273" i="4"/>
  <c r="S268" i="4"/>
  <c r="S263" i="4"/>
  <c r="S258" i="4"/>
  <c r="S253" i="4"/>
  <c r="S248" i="4"/>
  <c r="S243" i="4"/>
  <c r="S295" i="4"/>
  <c r="S270" i="4"/>
  <c r="S245" i="4"/>
  <c r="S236" i="4"/>
  <c r="S231" i="4"/>
  <c r="S226" i="4"/>
  <c r="S221" i="4"/>
  <c r="S216" i="4"/>
  <c r="S211" i="4"/>
  <c r="S206" i="4"/>
  <c r="S201" i="4"/>
  <c r="S196" i="4"/>
  <c r="S191" i="4"/>
  <c r="S186" i="4"/>
  <c r="S181" i="4"/>
  <c r="S176" i="4"/>
  <c r="S171" i="4"/>
  <c r="S166" i="4"/>
  <c r="S161" i="4"/>
  <c r="S156" i="4"/>
  <c r="S151" i="4"/>
  <c r="S146" i="4"/>
  <c r="S141" i="4"/>
  <c r="S241" i="4"/>
  <c r="S310" i="4"/>
  <c r="S285" i="4"/>
  <c r="S260" i="4"/>
  <c r="S239" i="4"/>
  <c r="S234" i="4"/>
  <c r="S229" i="4"/>
  <c r="S224" i="4"/>
  <c r="S219" i="4"/>
  <c r="S214" i="4"/>
  <c r="S209" i="4"/>
  <c r="S204" i="4"/>
  <c r="S199" i="4"/>
  <c r="S194" i="4"/>
  <c r="S189" i="4"/>
  <c r="S184" i="4"/>
  <c r="S179" i="4"/>
  <c r="S174" i="4"/>
  <c r="S169" i="4"/>
  <c r="S164" i="4"/>
  <c r="S159" i="4"/>
  <c r="S154" i="4"/>
  <c r="S300" i="4"/>
  <c r="S275" i="4"/>
  <c r="S237" i="4"/>
  <c r="S232" i="4"/>
  <c r="S227" i="4"/>
  <c r="S222" i="4"/>
  <c r="S217" i="4"/>
  <c r="S212" i="4"/>
  <c r="S207" i="4"/>
  <c r="S202" i="4"/>
  <c r="S197" i="4"/>
  <c r="S192" i="4"/>
  <c r="S187" i="4"/>
  <c r="S182" i="4"/>
  <c r="S177" i="4"/>
  <c r="S172" i="4"/>
  <c r="S167" i="4"/>
  <c r="S162" i="4"/>
  <c r="S157" i="4"/>
  <c r="S152" i="4"/>
  <c r="S290" i="4"/>
  <c r="S265" i="4"/>
  <c r="S250" i="4"/>
  <c r="S240" i="4"/>
  <c r="S235" i="4"/>
  <c r="S230" i="4"/>
  <c r="S225" i="4"/>
  <c r="S220" i="4"/>
  <c r="S215" i="4"/>
  <c r="S210" i="4"/>
  <c r="S205" i="4"/>
  <c r="S200" i="4"/>
  <c r="S195" i="4"/>
  <c r="S190" i="4"/>
  <c r="S185" i="4"/>
  <c r="S180" i="4"/>
  <c r="S175" i="4"/>
  <c r="S170" i="4"/>
  <c r="S165" i="4"/>
  <c r="S160" i="4"/>
  <c r="S305" i="4"/>
  <c r="S280" i="4"/>
  <c r="S255" i="4"/>
  <c r="S238" i="4"/>
  <c r="S233" i="4"/>
  <c r="S228" i="4"/>
  <c r="S153" i="4"/>
  <c r="S147" i="4"/>
  <c r="S138" i="4"/>
  <c r="S136" i="4"/>
  <c r="S131" i="4"/>
  <c r="S126" i="4"/>
  <c r="S121" i="4"/>
  <c r="S116" i="4"/>
  <c r="S111" i="4"/>
  <c r="S106" i="4"/>
  <c r="S101" i="4"/>
  <c r="S96" i="4"/>
  <c r="S91" i="4"/>
  <c r="S86" i="4"/>
  <c r="S81" i="4"/>
  <c r="S76" i="4"/>
  <c r="S71" i="4"/>
  <c r="S66" i="4"/>
  <c r="S61" i="4"/>
  <c r="S56" i="4"/>
  <c r="S51" i="4"/>
  <c r="S46" i="4"/>
  <c r="S223" i="4"/>
  <c r="S198" i="4"/>
  <c r="S173" i="4"/>
  <c r="S149" i="4"/>
  <c r="S140" i="4"/>
  <c r="S163" i="4"/>
  <c r="S142" i="4"/>
  <c r="S134" i="4"/>
  <c r="S129" i="4"/>
  <c r="S124" i="4"/>
  <c r="S119" i="4"/>
  <c r="S114" i="4"/>
  <c r="S109" i="4"/>
  <c r="S104" i="4"/>
  <c r="S99" i="4"/>
  <c r="S94" i="4"/>
  <c r="S89" i="4"/>
  <c r="S84" i="4"/>
  <c r="S79" i="4"/>
  <c r="S74" i="4"/>
  <c r="S69" i="4"/>
  <c r="S64" i="4"/>
  <c r="S213" i="4"/>
  <c r="S188" i="4"/>
  <c r="S158" i="4"/>
  <c r="S144" i="4"/>
  <c r="S168" i="4"/>
  <c r="S137" i="4"/>
  <c r="S132" i="4"/>
  <c r="S127" i="4"/>
  <c r="S122" i="4"/>
  <c r="S117" i="4"/>
  <c r="S112" i="4"/>
  <c r="S107" i="4"/>
  <c r="S102" i="4"/>
  <c r="S97" i="4"/>
  <c r="S92" i="4"/>
  <c r="S87" i="4"/>
  <c r="S82" i="4"/>
  <c r="S77" i="4"/>
  <c r="S72" i="4"/>
  <c r="S67" i="4"/>
  <c r="S203" i="4"/>
  <c r="S178" i="4"/>
  <c r="S139" i="4"/>
  <c r="S155" i="4"/>
  <c r="S148" i="4"/>
  <c r="S135" i="4"/>
  <c r="S130" i="4"/>
  <c r="S125" i="4"/>
  <c r="S120" i="4"/>
  <c r="S115" i="4"/>
  <c r="S110" i="4"/>
  <c r="S105" i="4"/>
  <c r="S100" i="4"/>
  <c r="S95" i="4"/>
  <c r="S90" i="4"/>
  <c r="S85" i="4"/>
  <c r="S80" i="4"/>
  <c r="S75" i="4"/>
  <c r="S218" i="4"/>
  <c r="S193" i="4"/>
  <c r="S150" i="4"/>
  <c r="S143" i="4"/>
  <c r="S208" i="4"/>
  <c r="S183" i="4"/>
  <c r="S145" i="4"/>
  <c r="S123" i="4"/>
  <c r="S98" i="4"/>
  <c r="S73" i="4"/>
  <c r="S50" i="4"/>
  <c r="S60" i="4"/>
  <c r="S52" i="4"/>
  <c r="S40" i="4"/>
  <c r="S35" i="4"/>
  <c r="S30" i="4"/>
  <c r="S25" i="4"/>
  <c r="S20" i="4"/>
  <c r="S15" i="4"/>
  <c r="S10" i="4"/>
  <c r="S5" i="4"/>
  <c r="S113" i="4"/>
  <c r="S88" i="4"/>
  <c r="S54" i="4"/>
  <c r="S45" i="4"/>
  <c r="S59" i="4"/>
  <c r="S47" i="4"/>
  <c r="S43" i="4"/>
  <c r="S38" i="4"/>
  <c r="S33" i="4"/>
  <c r="S28" i="4"/>
  <c r="S23" i="4"/>
  <c r="S18" i="4"/>
  <c r="S13" i="4"/>
  <c r="S8" i="4"/>
  <c r="S3" i="4"/>
  <c r="S128" i="4"/>
  <c r="S103" i="4"/>
  <c r="S78" i="4"/>
  <c r="S68" i="4"/>
  <c r="S49" i="4"/>
  <c r="S41" i="4"/>
  <c r="S36" i="4"/>
  <c r="S31" i="4"/>
  <c r="S26" i="4"/>
  <c r="S21" i="4"/>
  <c r="S16" i="4"/>
  <c r="S11" i="4"/>
  <c r="S6" i="4"/>
  <c r="S118" i="4"/>
  <c r="S93" i="4"/>
  <c r="S58" i="4"/>
  <c r="S53" i="4"/>
  <c r="S44" i="4"/>
  <c r="S39" i="4"/>
  <c r="S34" i="4"/>
  <c r="S29" i="4"/>
  <c r="S24" i="4"/>
  <c r="S19" i="4"/>
  <c r="S14" i="4"/>
  <c r="S9" i="4"/>
  <c r="S4" i="4"/>
  <c r="S133" i="4"/>
  <c r="S108" i="4"/>
  <c r="S83" i="4"/>
  <c r="S70" i="4"/>
  <c r="S62" i="4"/>
  <c r="S55" i="4"/>
  <c r="S65" i="4"/>
  <c r="S63" i="4"/>
  <c r="S57" i="4"/>
  <c r="S48" i="4"/>
  <c r="S42" i="4"/>
  <c r="S37" i="4"/>
  <c r="S32" i="4"/>
  <c r="S27" i="4"/>
  <c r="S22" i="4"/>
  <c r="S17" i="4"/>
  <c r="S12" i="4"/>
  <c r="S7" i="4"/>
  <c r="S2" i="4"/>
  <c r="AA647" i="4"/>
  <c r="AA637" i="4"/>
  <c r="AA644" i="4"/>
  <c r="AA641" i="4"/>
  <c r="AA648" i="4"/>
  <c r="AA651" i="4"/>
  <c r="AA645" i="4"/>
  <c r="AA649" i="4"/>
  <c r="AA650" i="4"/>
  <c r="AA640" i="4"/>
  <c r="AA633" i="4"/>
  <c r="AA623" i="4"/>
  <c r="AA613" i="4"/>
  <c r="AA603" i="4"/>
  <c r="AA593" i="4"/>
  <c r="AA630" i="4"/>
  <c r="AA620" i="4"/>
  <c r="AA610" i="4"/>
  <c r="AA600" i="4"/>
  <c r="AA590" i="4"/>
  <c r="AA627" i="4"/>
  <c r="AA617" i="4"/>
  <c r="AA607" i="4"/>
  <c r="AA597" i="4"/>
  <c r="AA639" i="4"/>
  <c r="AA634" i="4"/>
  <c r="AA624" i="4"/>
  <c r="AA614" i="4"/>
  <c r="AA604" i="4"/>
  <c r="AA594" i="4"/>
  <c r="AA631" i="4"/>
  <c r="AA621" i="4"/>
  <c r="AA611" i="4"/>
  <c r="AA601" i="4"/>
  <c r="AA591" i="4"/>
  <c r="AA643" i="4"/>
  <c r="AA642" i="4"/>
  <c r="AA628" i="4"/>
  <c r="AA618" i="4"/>
  <c r="AA608" i="4"/>
  <c r="AA598" i="4"/>
  <c r="AA646" i="4"/>
  <c r="AA635" i="4"/>
  <c r="AA625" i="4"/>
  <c r="AA615" i="4"/>
  <c r="AA605" i="4"/>
  <c r="AA595" i="4"/>
  <c r="AA638" i="4"/>
  <c r="AA632" i="4"/>
  <c r="AA629" i="4"/>
  <c r="AA619" i="4"/>
  <c r="AA609" i="4"/>
  <c r="AA599" i="4"/>
  <c r="AA589" i="4"/>
  <c r="AA636" i="4"/>
  <c r="AA612" i="4"/>
  <c r="AA578" i="4"/>
  <c r="AA568" i="4"/>
  <c r="AA558" i="4"/>
  <c r="AA548" i="4"/>
  <c r="AA538" i="4"/>
  <c r="AA528" i="4"/>
  <c r="AA518" i="4"/>
  <c r="AA508" i="4"/>
  <c r="AA498" i="4"/>
  <c r="AA606" i="4"/>
  <c r="AA585" i="4"/>
  <c r="AA575" i="4"/>
  <c r="AA565" i="4"/>
  <c r="AA555" i="4"/>
  <c r="AA545" i="4"/>
  <c r="AA535" i="4"/>
  <c r="AA525" i="4"/>
  <c r="AA515" i="4"/>
  <c r="AA505" i="4"/>
  <c r="AA588" i="4"/>
  <c r="AA582" i="4"/>
  <c r="AA572" i="4"/>
  <c r="AA562" i="4"/>
  <c r="AA552" i="4"/>
  <c r="AA542" i="4"/>
  <c r="AA532" i="4"/>
  <c r="AA522" i="4"/>
  <c r="AA512" i="4"/>
  <c r="AA626" i="4"/>
  <c r="AA592" i="4"/>
  <c r="AA579" i="4"/>
  <c r="AA569" i="4"/>
  <c r="AA559" i="4"/>
  <c r="AA549" i="4"/>
  <c r="AA539" i="4"/>
  <c r="AA529" i="4"/>
  <c r="AA519" i="4"/>
  <c r="AA509" i="4"/>
  <c r="AA602" i="4"/>
  <c r="AA586" i="4"/>
  <c r="AA576" i="4"/>
  <c r="AA566" i="4"/>
  <c r="AA556" i="4"/>
  <c r="AA546" i="4"/>
  <c r="AA536" i="4"/>
  <c r="AA526" i="4"/>
  <c r="AA516" i="4"/>
  <c r="AA506" i="4"/>
  <c r="AA596" i="4"/>
  <c r="AA583" i="4"/>
  <c r="AA573" i="4"/>
  <c r="AA563" i="4"/>
  <c r="AA553" i="4"/>
  <c r="AA543" i="4"/>
  <c r="AA533" i="4"/>
  <c r="AA523" i="4"/>
  <c r="AA513" i="4"/>
  <c r="AA622" i="4"/>
  <c r="AA580" i="4"/>
  <c r="AA570" i="4"/>
  <c r="AA560" i="4"/>
  <c r="AA550" i="4"/>
  <c r="AA540" i="4"/>
  <c r="AA530" i="4"/>
  <c r="AA520" i="4"/>
  <c r="AA510" i="4"/>
  <c r="AA616" i="4"/>
  <c r="AA587" i="4"/>
  <c r="AA577" i="4"/>
  <c r="AA581" i="4"/>
  <c r="AA571" i="4"/>
  <c r="AA561" i="4"/>
  <c r="AA551" i="4"/>
  <c r="AA541" i="4"/>
  <c r="AA531" i="4"/>
  <c r="AA521" i="4"/>
  <c r="AA511" i="4"/>
  <c r="AA567" i="4"/>
  <c r="AA517" i="4"/>
  <c r="AA502" i="4"/>
  <c r="AA485" i="4"/>
  <c r="AA475" i="4"/>
  <c r="AA465" i="4"/>
  <c r="AA455" i="4"/>
  <c r="AA445" i="4"/>
  <c r="AA435" i="4"/>
  <c r="AA425" i="4"/>
  <c r="AA415" i="4"/>
  <c r="AA405" i="4"/>
  <c r="AA564" i="4"/>
  <c r="AA514" i="4"/>
  <c r="AA499" i="4"/>
  <c r="AA497" i="4"/>
  <c r="AA495" i="4"/>
  <c r="AA492" i="4"/>
  <c r="AA482" i="4"/>
  <c r="AA472" i="4"/>
  <c r="AA462" i="4"/>
  <c r="AA452" i="4"/>
  <c r="AA442" i="4"/>
  <c r="AA432" i="4"/>
  <c r="AA422" i="4"/>
  <c r="AA412" i="4"/>
  <c r="AA537" i="4"/>
  <c r="AA504" i="4"/>
  <c r="AA489" i="4"/>
  <c r="AA479" i="4"/>
  <c r="AA469" i="4"/>
  <c r="AA459" i="4"/>
  <c r="AA449" i="4"/>
  <c r="AA439" i="4"/>
  <c r="AA534" i="4"/>
  <c r="AA486" i="4"/>
  <c r="AA476" i="4"/>
  <c r="AA466" i="4"/>
  <c r="AA456" i="4"/>
  <c r="AA446" i="4"/>
  <c r="AA436" i="4"/>
  <c r="AA426" i="4"/>
  <c r="AA557" i="4"/>
  <c r="AA493" i="4"/>
  <c r="AA483" i="4"/>
  <c r="AA473" i="4"/>
  <c r="AA463" i="4"/>
  <c r="AA453" i="4"/>
  <c r="AA443" i="4"/>
  <c r="AA433" i="4"/>
  <c r="AA554" i="4"/>
  <c r="AA501" i="4"/>
  <c r="AA490" i="4"/>
  <c r="AA480" i="4"/>
  <c r="AA470" i="4"/>
  <c r="AA460" i="4"/>
  <c r="AA450" i="4"/>
  <c r="AA440" i="4"/>
  <c r="AA574" i="4"/>
  <c r="AA527" i="4"/>
  <c r="AA496" i="4"/>
  <c r="AA487" i="4"/>
  <c r="AA477" i="4"/>
  <c r="AA467" i="4"/>
  <c r="AA457" i="4"/>
  <c r="AA447" i="4"/>
  <c r="AA437" i="4"/>
  <c r="AA524" i="4"/>
  <c r="AA547" i="4"/>
  <c r="AA500" i="4"/>
  <c r="AA491" i="4"/>
  <c r="AA481" i="4"/>
  <c r="AA471" i="4"/>
  <c r="AA461" i="4"/>
  <c r="AA451" i="4"/>
  <c r="AA441" i="4"/>
  <c r="AA431" i="4"/>
  <c r="AA421" i="4"/>
  <c r="AA584" i="4"/>
  <c r="AA544" i="4"/>
  <c r="AA474" i="4"/>
  <c r="AA428" i="4"/>
  <c r="AA409" i="4"/>
  <c r="AA468" i="4"/>
  <c r="AA429" i="4"/>
  <c r="AA507" i="4"/>
  <c r="AA494" i="4"/>
  <c r="AA444" i="4"/>
  <c r="AA430" i="4"/>
  <c r="AA417" i="4"/>
  <c r="AA406" i="4"/>
  <c r="AA488" i="4"/>
  <c r="AA438" i="4"/>
  <c r="AA414" i="4"/>
  <c r="AA404" i="4"/>
  <c r="AA402" i="4"/>
  <c r="AA464" i="4"/>
  <c r="AA411" i="4"/>
  <c r="AA503" i="4"/>
  <c r="AA458" i="4"/>
  <c r="AA420" i="4"/>
  <c r="AA416" i="4"/>
  <c r="AA408" i="4"/>
  <c r="AA484" i="4"/>
  <c r="AA434" i="4"/>
  <c r="AA419" i="4"/>
  <c r="AA413" i="4"/>
  <c r="AA478" i="4"/>
  <c r="AA410" i="4"/>
  <c r="AA454" i="4"/>
  <c r="AA427" i="4"/>
  <c r="AA424" i="4"/>
  <c r="AA407" i="4"/>
  <c r="AA403" i="4"/>
  <c r="AA448" i="4"/>
  <c r="AA423" i="4"/>
  <c r="AA418" i="4"/>
  <c r="AK650" i="4"/>
  <c r="AK647" i="4"/>
  <c r="AK637" i="4"/>
  <c r="AK644" i="4"/>
  <c r="AK641" i="4"/>
  <c r="AK648" i="4"/>
  <c r="AK645" i="4"/>
  <c r="AK651" i="4"/>
  <c r="AK649" i="4"/>
  <c r="AK633" i="4"/>
  <c r="AK623" i="4"/>
  <c r="AK613" i="4"/>
  <c r="AK603" i="4"/>
  <c r="AK593" i="4"/>
  <c r="AK630" i="4"/>
  <c r="AK620" i="4"/>
  <c r="AK610" i="4"/>
  <c r="AK600" i="4"/>
  <c r="AK590" i="4"/>
  <c r="AK627" i="4"/>
  <c r="AK617" i="4"/>
  <c r="AK607" i="4"/>
  <c r="AK597" i="4"/>
  <c r="AK640" i="4"/>
  <c r="AK634" i="4"/>
  <c r="AK624" i="4"/>
  <c r="AK614" i="4"/>
  <c r="AK604" i="4"/>
  <c r="AK594" i="4"/>
  <c r="AK646" i="4"/>
  <c r="AK631" i="4"/>
  <c r="AK621" i="4"/>
  <c r="AK611" i="4"/>
  <c r="AK601" i="4"/>
  <c r="AK591" i="4"/>
  <c r="AK639" i="4"/>
  <c r="AK628" i="4"/>
  <c r="AK618" i="4"/>
  <c r="AK608" i="4"/>
  <c r="AK598" i="4"/>
  <c r="AK635" i="4"/>
  <c r="AK625" i="4"/>
  <c r="AK615" i="4"/>
  <c r="AK605" i="4"/>
  <c r="AK595" i="4"/>
  <c r="AK632" i="4"/>
  <c r="AK642" i="4"/>
  <c r="AK638" i="4"/>
  <c r="AK629" i="4"/>
  <c r="AK619" i="4"/>
  <c r="AK609" i="4"/>
  <c r="AK599" i="4"/>
  <c r="AK589" i="4"/>
  <c r="AK643" i="4"/>
  <c r="AK636" i="4"/>
  <c r="AK578" i="4"/>
  <c r="AK568" i="4"/>
  <c r="AK558" i="4"/>
  <c r="AK548" i="4"/>
  <c r="AK538" i="4"/>
  <c r="AK528" i="4"/>
  <c r="AK518" i="4"/>
  <c r="AK508" i="4"/>
  <c r="AK498" i="4"/>
  <c r="AK626" i="4"/>
  <c r="AK585" i="4"/>
  <c r="AK575" i="4"/>
  <c r="AK565" i="4"/>
  <c r="AK555" i="4"/>
  <c r="AK545" i="4"/>
  <c r="AK535" i="4"/>
  <c r="AK525" i="4"/>
  <c r="AK515" i="4"/>
  <c r="AK505" i="4"/>
  <c r="AK602" i="4"/>
  <c r="AK582" i="4"/>
  <c r="AK572" i="4"/>
  <c r="AK562" i="4"/>
  <c r="AK552" i="4"/>
  <c r="AK542" i="4"/>
  <c r="AK532" i="4"/>
  <c r="AK522" i="4"/>
  <c r="AK512" i="4"/>
  <c r="AK596" i="4"/>
  <c r="AK588" i="4"/>
  <c r="AK579" i="4"/>
  <c r="AK569" i="4"/>
  <c r="AK559" i="4"/>
  <c r="AK549" i="4"/>
  <c r="AK539" i="4"/>
  <c r="AK529" i="4"/>
  <c r="AK519" i="4"/>
  <c r="AK509" i="4"/>
  <c r="AK622" i="4"/>
  <c r="AK586" i="4"/>
  <c r="AK576" i="4"/>
  <c r="AK566" i="4"/>
  <c r="AK556" i="4"/>
  <c r="AK546" i="4"/>
  <c r="AK536" i="4"/>
  <c r="AK526" i="4"/>
  <c r="AK516" i="4"/>
  <c r="AK506" i="4"/>
  <c r="AK616" i="4"/>
  <c r="AK583" i="4"/>
  <c r="AK573" i="4"/>
  <c r="AK563" i="4"/>
  <c r="AK553" i="4"/>
  <c r="AK543" i="4"/>
  <c r="AK533" i="4"/>
  <c r="AK523" i="4"/>
  <c r="AK513" i="4"/>
  <c r="AK580" i="4"/>
  <c r="AK570" i="4"/>
  <c r="AK560" i="4"/>
  <c r="AK550" i="4"/>
  <c r="AK540" i="4"/>
  <c r="AK530" i="4"/>
  <c r="AK520" i="4"/>
  <c r="AK510" i="4"/>
  <c r="AK577" i="4"/>
  <c r="AK612" i="4"/>
  <c r="AK606" i="4"/>
  <c r="AK592" i="4"/>
  <c r="AK581" i="4"/>
  <c r="AK571" i="4"/>
  <c r="AK561" i="4"/>
  <c r="AK551" i="4"/>
  <c r="AK541" i="4"/>
  <c r="AK531" i="4"/>
  <c r="AK521" i="4"/>
  <c r="AK511" i="4"/>
  <c r="AK537" i="4"/>
  <c r="AK500" i="4"/>
  <c r="AK485" i="4"/>
  <c r="AK475" i="4"/>
  <c r="AK465" i="4"/>
  <c r="AK455" i="4"/>
  <c r="AK445" i="4"/>
  <c r="AK435" i="4"/>
  <c r="AK425" i="4"/>
  <c r="AK415" i="4"/>
  <c r="AK405" i="4"/>
  <c r="AK534" i="4"/>
  <c r="AK492" i="4"/>
  <c r="AK482" i="4"/>
  <c r="AK472" i="4"/>
  <c r="AK462" i="4"/>
  <c r="AK452" i="4"/>
  <c r="AK442" i="4"/>
  <c r="AK432" i="4"/>
  <c r="AK422" i="4"/>
  <c r="AK412" i="4"/>
  <c r="AK557" i="4"/>
  <c r="AK497" i="4"/>
  <c r="AK495" i="4"/>
  <c r="AK489" i="4"/>
  <c r="AK479" i="4"/>
  <c r="AK469" i="4"/>
  <c r="AK459" i="4"/>
  <c r="AK449" i="4"/>
  <c r="AK439" i="4"/>
  <c r="AK587" i="4"/>
  <c r="AK554" i="4"/>
  <c r="AK502" i="4"/>
  <c r="AK499" i="4"/>
  <c r="AK486" i="4"/>
  <c r="AK476" i="4"/>
  <c r="AK466" i="4"/>
  <c r="AK456" i="4"/>
  <c r="AK446" i="4"/>
  <c r="AK436" i="4"/>
  <c r="AK426" i="4"/>
  <c r="AK527" i="4"/>
  <c r="AK503" i="4"/>
  <c r="AK493" i="4"/>
  <c r="AK483" i="4"/>
  <c r="AK473" i="4"/>
  <c r="AK463" i="4"/>
  <c r="AK453" i="4"/>
  <c r="AK443" i="4"/>
  <c r="AK433" i="4"/>
  <c r="AK574" i="4"/>
  <c r="AK524" i="4"/>
  <c r="AK507" i="4"/>
  <c r="AK490" i="4"/>
  <c r="AK480" i="4"/>
  <c r="AK470" i="4"/>
  <c r="AK460" i="4"/>
  <c r="AK450" i="4"/>
  <c r="AK440" i="4"/>
  <c r="AK430" i="4"/>
  <c r="AK547" i="4"/>
  <c r="AK487" i="4"/>
  <c r="AK477" i="4"/>
  <c r="AK467" i="4"/>
  <c r="AK457" i="4"/>
  <c r="AK447" i="4"/>
  <c r="AK437" i="4"/>
  <c r="AK544" i="4"/>
  <c r="AK504" i="4"/>
  <c r="AK501" i="4"/>
  <c r="AK584" i="4"/>
  <c r="AK567" i="4"/>
  <c r="AK517" i="4"/>
  <c r="AK494" i="4"/>
  <c r="AK491" i="4"/>
  <c r="AK481" i="4"/>
  <c r="AK471" i="4"/>
  <c r="AK461" i="4"/>
  <c r="AK451" i="4"/>
  <c r="AK441" i="4"/>
  <c r="AK431" i="4"/>
  <c r="AK421" i="4"/>
  <c r="AK564" i="4"/>
  <c r="AK514" i="4"/>
  <c r="AK444" i="4"/>
  <c r="AK407" i="4"/>
  <c r="AK488" i="4"/>
  <c r="AK438" i="4"/>
  <c r="AK424" i="4"/>
  <c r="AK464" i="4"/>
  <c r="AK423" i="4"/>
  <c r="AK418" i="4"/>
  <c r="AK409" i="4"/>
  <c r="AK458" i="4"/>
  <c r="AK427" i="4"/>
  <c r="AK406" i="4"/>
  <c r="AK496" i="4"/>
  <c r="AK484" i="4"/>
  <c r="AK434" i="4"/>
  <c r="AK417" i="4"/>
  <c r="AK404" i="4"/>
  <c r="AK402" i="4"/>
  <c r="AK478" i="4"/>
  <c r="AK428" i="4"/>
  <c r="AK414" i="4"/>
  <c r="AK454" i="4"/>
  <c r="AK429" i="4"/>
  <c r="AK411" i="4"/>
  <c r="AK448" i="4"/>
  <c r="AK416" i="4"/>
  <c r="AK408" i="4"/>
  <c r="AK474" i="4"/>
  <c r="AK420" i="4"/>
  <c r="AK413" i="4"/>
  <c r="AK468" i="4"/>
  <c r="AK419" i="4"/>
  <c r="AK410" i="4"/>
  <c r="AK403" i="4"/>
  <c r="G168" i="2"/>
  <c r="G192" i="2"/>
  <c r="E49" i="10" s="1"/>
  <c r="G156" i="2"/>
  <c r="G155" i="2"/>
  <c r="G59" i="2"/>
  <c r="G54" i="2"/>
  <c r="G66" i="2"/>
  <c r="G172" i="2"/>
  <c r="G280" i="2"/>
  <c r="E67" i="10" s="1"/>
  <c r="G130" i="2"/>
  <c r="G226" i="2"/>
  <c r="G202" i="2"/>
  <c r="E53" i="10" s="1"/>
  <c r="G254" i="2"/>
  <c r="E65" i="10" s="1"/>
  <c r="G285" i="2"/>
  <c r="E12" i="9" s="1"/>
  <c r="G313" i="2"/>
  <c r="E76" i="10" s="1"/>
  <c r="G307" i="2"/>
  <c r="G302" i="2"/>
  <c r="G207" i="2"/>
  <c r="E141" i="17"/>
  <c r="E114" i="15"/>
  <c r="E54" i="12"/>
  <c r="E34" i="6"/>
  <c r="G326" i="2"/>
  <c r="E130" i="17"/>
  <c r="E109" i="15"/>
  <c r="E119" i="17"/>
  <c r="E97" i="15"/>
  <c r="E45" i="12"/>
  <c r="E28" i="6"/>
  <c r="G329" i="2"/>
  <c r="E79" i="10" s="1"/>
  <c r="G310" i="2"/>
  <c r="E13" i="9" s="1"/>
  <c r="E139" i="17"/>
  <c r="E117" i="15"/>
  <c r="E185" i="17"/>
  <c r="E42" i="16"/>
  <c r="G403" i="2"/>
  <c r="E21" i="9" s="1"/>
  <c r="G349" i="2"/>
  <c r="G640" i="2"/>
  <c r="G352" i="2"/>
  <c r="G488" i="2"/>
  <c r="E237" i="17"/>
  <c r="E79" i="16"/>
  <c r="E230" i="17"/>
  <c r="E73" i="16"/>
  <c r="E146" i="17"/>
  <c r="E126" i="15"/>
  <c r="E50" i="13"/>
  <c r="E29" i="7"/>
  <c r="E154" i="17"/>
  <c r="E122" i="15"/>
  <c r="E75" i="12"/>
  <c r="E35" i="8"/>
  <c r="G532" i="2"/>
  <c r="E224" i="17"/>
  <c r="E67" i="16"/>
  <c r="E64" i="13"/>
  <c r="E36" i="7"/>
  <c r="E128" i="17"/>
  <c r="E106" i="15"/>
  <c r="E88" i="12"/>
  <c r="E43" i="8"/>
  <c r="E126" i="17"/>
  <c r="E107" i="15"/>
  <c r="E219" i="17"/>
  <c r="E63" i="16"/>
  <c r="E184" i="17"/>
  <c r="E41" i="16"/>
  <c r="E83" i="13"/>
  <c r="E44" i="7"/>
  <c r="E94" i="13"/>
  <c r="E45" i="11"/>
  <c r="E56" i="13"/>
  <c r="E25" i="11"/>
  <c r="E147" i="17"/>
  <c r="E30" i="16"/>
  <c r="E222" i="17"/>
  <c r="E65" i="16"/>
  <c r="E174" i="17"/>
  <c r="E144" i="15"/>
  <c r="E73" i="13"/>
  <c r="E41" i="7"/>
  <c r="E211" i="17"/>
  <c r="E148" i="15"/>
  <c r="E188" i="17"/>
  <c r="E44" i="16"/>
  <c r="E214" i="17"/>
  <c r="E60" i="16"/>
  <c r="G570" i="2"/>
  <c r="E121" i="10" s="1"/>
  <c r="E242" i="17"/>
  <c r="E84" i="16"/>
  <c r="E170" i="17"/>
  <c r="E133" i="15"/>
  <c r="E62" i="12"/>
  <c r="E39" i="6"/>
  <c r="E149" i="17"/>
  <c r="E119" i="15"/>
  <c r="E82" i="13"/>
  <c r="E40" i="11"/>
  <c r="E44" i="12"/>
  <c r="E20" i="8"/>
  <c r="G400" i="2"/>
  <c r="E20" i="9" s="1"/>
  <c r="E43" i="12"/>
  <c r="E27" i="6"/>
  <c r="E69" i="12"/>
  <c r="E31" i="8"/>
  <c r="E175" i="17"/>
  <c r="E143" i="15"/>
  <c r="E197" i="17"/>
  <c r="E50" i="16"/>
  <c r="E186" i="17"/>
  <c r="E43" i="16"/>
  <c r="E59" i="13"/>
  <c r="E34" i="7"/>
  <c r="E221" i="17"/>
  <c r="E152" i="15"/>
  <c r="E212" i="17"/>
  <c r="E59" i="16"/>
  <c r="E68" i="13"/>
  <c r="E32" i="11"/>
  <c r="E63" i="13"/>
  <c r="E35" i="7"/>
  <c r="E45" i="8"/>
  <c r="E93" i="12"/>
  <c r="E86" i="12"/>
  <c r="E54" i="6"/>
  <c r="G261" i="2"/>
  <c r="G308" i="2"/>
  <c r="G384" i="2"/>
  <c r="E192" i="17"/>
  <c r="E47" i="16"/>
  <c r="G451" i="2"/>
  <c r="E23" i="9" s="1"/>
  <c r="G536" i="2"/>
  <c r="G431" i="2"/>
  <c r="G463" i="2"/>
  <c r="E67" i="13"/>
  <c r="E37" i="7"/>
  <c r="G620" i="2"/>
  <c r="E78" i="12"/>
  <c r="E38" i="8"/>
  <c r="E241" i="17"/>
  <c r="E83" i="16"/>
  <c r="E168" i="17"/>
  <c r="E33" i="16"/>
  <c r="E61" i="13"/>
  <c r="E28" i="11"/>
  <c r="E68" i="12"/>
  <c r="E30" i="8"/>
  <c r="G395" i="2"/>
  <c r="G441" i="2"/>
  <c r="G473" i="2"/>
  <c r="E109" i="10" s="1"/>
  <c r="G547" i="2"/>
  <c r="G331" i="2"/>
  <c r="G444" i="2"/>
  <c r="E108" i="10" s="1"/>
  <c r="G409" i="2"/>
  <c r="G316" i="2"/>
  <c r="G523" i="2"/>
  <c r="G496" i="2"/>
  <c r="E31" i="9" s="1"/>
  <c r="E55" i="13"/>
  <c r="E24" i="11"/>
  <c r="G456" i="2"/>
  <c r="E24" i="9" s="1"/>
  <c r="E34" i="8"/>
  <c r="E73" i="12"/>
  <c r="E52" i="12"/>
  <c r="E32" i="6"/>
  <c r="E210" i="17"/>
  <c r="E155" i="15"/>
  <c r="E215" i="17"/>
  <c r="E157" i="15"/>
  <c r="E179" i="17"/>
  <c r="E38" i="16"/>
  <c r="E201" i="17"/>
  <c r="E151" i="15"/>
  <c r="E44" i="13"/>
  <c r="E25" i="7"/>
  <c r="E90" i="17"/>
  <c r="E79" i="15"/>
  <c r="E131" i="17"/>
  <c r="E23" i="16"/>
  <c r="E109" i="17"/>
  <c r="E88" i="15"/>
  <c r="E106" i="17"/>
  <c r="E87" i="15"/>
  <c r="E205" i="17"/>
  <c r="E153" i="15"/>
  <c r="G513" i="2"/>
  <c r="E183" i="17"/>
  <c r="E40" i="16"/>
  <c r="E209" i="17"/>
  <c r="E58" i="16"/>
  <c r="E240" i="17"/>
  <c r="E82" i="16"/>
  <c r="E159" i="17"/>
  <c r="E127" i="15"/>
  <c r="E228" i="17"/>
  <c r="E71" i="16"/>
  <c r="E235" i="17"/>
  <c r="E78" i="16"/>
  <c r="E137" i="17"/>
  <c r="E113" i="15"/>
  <c r="E244" i="17"/>
  <c r="E85" i="16"/>
  <c r="G571" i="2"/>
  <c r="E122" i="10" s="1"/>
  <c r="E176" i="17"/>
  <c r="E138" i="15"/>
  <c r="E65" i="13"/>
  <c r="E30" i="11"/>
  <c r="G396" i="2"/>
  <c r="E99" i="10" s="1"/>
  <c r="E93" i="17"/>
  <c r="E78" i="15"/>
  <c r="G424" i="2"/>
  <c r="E105" i="10" s="1"/>
  <c r="G341" i="2"/>
  <c r="G544" i="2"/>
  <c r="G236" i="2"/>
  <c r="G457" i="2"/>
  <c r="G370" i="2"/>
  <c r="G563" i="2"/>
  <c r="G540" i="2"/>
  <c r="G600" i="2"/>
  <c r="G296" i="2"/>
  <c r="E227" i="17"/>
  <c r="E70" i="16"/>
  <c r="E163" i="17"/>
  <c r="E131" i="15"/>
  <c r="G487" i="2"/>
  <c r="G378" i="2"/>
  <c r="E95" i="10" s="1"/>
  <c r="G247" i="2"/>
  <c r="G477" i="2"/>
  <c r="E111" i="10" s="1"/>
  <c r="G303" i="2"/>
  <c r="G252" i="2"/>
  <c r="G489" i="2"/>
  <c r="E113" i="10" s="1"/>
  <c r="G257" i="2"/>
  <c r="E165" i="17"/>
  <c r="E137" i="15"/>
  <c r="G539" i="2"/>
  <c r="G418" i="2"/>
  <c r="E121" i="17"/>
  <c r="E101" i="15"/>
  <c r="G428" i="2"/>
  <c r="G439" i="2"/>
  <c r="G466" i="2"/>
  <c r="G319" i="2"/>
  <c r="G427" i="2"/>
  <c r="G552" i="2"/>
  <c r="E119" i="10" s="1"/>
  <c r="E67" i="12"/>
  <c r="E42" i="6"/>
  <c r="E82" i="12"/>
  <c r="E42" i="8"/>
  <c r="G494" i="2"/>
  <c r="E30" i="9" s="1"/>
  <c r="E27" i="11"/>
  <c r="E60" i="13"/>
  <c r="E76" i="13"/>
  <c r="E42" i="7"/>
  <c r="E70" i="13"/>
  <c r="E33" i="11"/>
  <c r="E80" i="13"/>
  <c r="E39" i="11"/>
  <c r="E62" i="13"/>
  <c r="E29" i="11"/>
  <c r="E148" i="17"/>
  <c r="E116" i="15"/>
  <c r="E60" i="12"/>
  <c r="E27" i="8"/>
  <c r="E33" i="8"/>
  <c r="E71" i="12"/>
  <c r="E190" i="17"/>
  <c r="E145" i="15"/>
  <c r="E51" i="12"/>
  <c r="E31" i="6"/>
  <c r="E51" i="13"/>
  <c r="E23" i="11"/>
  <c r="E164" i="17"/>
  <c r="E139" i="15"/>
  <c r="E229" i="17"/>
  <c r="E72" i="16"/>
  <c r="E225" i="17"/>
  <c r="E68" i="16"/>
  <c r="E64" i="12"/>
  <c r="E28" i="8"/>
  <c r="E56" i="12"/>
  <c r="E35" i="6"/>
  <c r="E142" i="17"/>
  <c r="E26" i="16"/>
  <c r="G530" i="2"/>
  <c r="E118" i="10" s="1"/>
  <c r="E132" i="17"/>
  <c r="E112" i="15"/>
  <c r="G491" i="2"/>
  <c r="G493" i="2"/>
  <c r="G321" i="2"/>
  <c r="E198" i="17"/>
  <c r="E51" i="16"/>
  <c r="G392" i="2"/>
  <c r="G597" i="2"/>
  <c r="E40" i="8"/>
  <c r="E80" i="12"/>
  <c r="E69" i="13"/>
  <c r="E38" i="7"/>
  <c r="E72" i="12"/>
  <c r="E44" i="6"/>
  <c r="E187" i="17"/>
  <c r="E142" i="15"/>
  <c r="E91" i="12"/>
  <c r="E44" i="8"/>
  <c r="G229" i="2"/>
  <c r="G244" i="2"/>
  <c r="G410" i="2"/>
  <c r="E103" i="10" s="1"/>
  <c r="G221" i="2"/>
  <c r="G586" i="2"/>
  <c r="G320" i="2"/>
  <c r="G363" i="2"/>
  <c r="G545" i="2"/>
  <c r="G631" i="2"/>
  <c r="G558" i="2"/>
  <c r="G338" i="2"/>
  <c r="G510" i="2"/>
  <c r="E34" i="9" s="1"/>
  <c r="G195" i="2"/>
  <c r="E38" i="13"/>
  <c r="E19" i="11"/>
  <c r="G616" i="2"/>
  <c r="G619" i="2"/>
  <c r="G351" i="2"/>
  <c r="G581" i="2"/>
  <c r="E124" i="10" s="1"/>
  <c r="E81" i="12"/>
  <c r="E41" i="8"/>
  <c r="E77" i="13"/>
  <c r="E36" i="11"/>
  <c r="E94" i="12"/>
  <c r="E46" i="8"/>
  <c r="E162" i="17"/>
  <c r="E135" i="15"/>
  <c r="E38" i="11"/>
  <c r="E79" i="13"/>
  <c r="G606" i="2"/>
  <c r="E128" i="10" s="1"/>
  <c r="G635" i="2"/>
  <c r="E53" i="9" s="1"/>
  <c r="G528" i="2"/>
  <c r="E57" i="6" s="1"/>
  <c r="G554" i="2"/>
  <c r="G646" i="2"/>
  <c r="F3" i="3"/>
  <c r="E239" i="17"/>
  <c r="E81" i="16"/>
  <c r="E71" i="13"/>
  <c r="E39" i="7"/>
  <c r="E100" i="12"/>
  <c r="E51" i="8"/>
  <c r="E86" i="13"/>
  <c r="E46" i="7"/>
  <c r="G651" i="2"/>
  <c r="E139" i="10" s="1"/>
  <c r="F2" i="3"/>
  <c r="L23" i="3"/>
  <c r="E182" i="17"/>
  <c r="E140" i="15"/>
  <c r="G416" i="2"/>
  <c r="E45" i="6" s="1"/>
  <c r="E74" i="13"/>
  <c r="E34" i="11"/>
  <c r="E47" i="8"/>
  <c r="E95" i="12"/>
  <c r="G511" i="2"/>
  <c r="E56" i="6" s="1"/>
  <c r="E104" i="12"/>
  <c r="E55" i="8"/>
  <c r="E89" i="13"/>
  <c r="E48" i="7"/>
  <c r="E91" i="13"/>
  <c r="E50" i="7"/>
  <c r="G607" i="2"/>
  <c r="G625" i="2"/>
  <c r="E75" i="13"/>
  <c r="E35" i="11"/>
  <c r="E103" i="12"/>
  <c r="E54" i="8"/>
  <c r="G637" i="2"/>
  <c r="E136" i="10" s="1"/>
  <c r="G629" i="2"/>
  <c r="E74" i="12"/>
  <c r="E46" i="6"/>
  <c r="E85" i="12"/>
  <c r="E53" i="6"/>
  <c r="G622" i="2"/>
  <c r="G507" i="2"/>
  <c r="E84" i="12"/>
  <c r="E52" i="6"/>
  <c r="E85" i="13"/>
  <c r="E41" i="11"/>
  <c r="P23" i="3"/>
  <c r="G495" i="2"/>
  <c r="G649" i="2"/>
  <c r="E54" i="9" s="1"/>
  <c r="E90" i="13"/>
  <c r="E49" i="7"/>
  <c r="Q23" i="3"/>
  <c r="G643" i="2"/>
  <c r="G617" i="2"/>
  <c r="E61" i="6" s="1"/>
  <c r="G577" i="2"/>
  <c r="R23" i="3"/>
  <c r="F6" i="3"/>
  <c r="G472" i="2"/>
  <c r="E167" i="17"/>
  <c r="E128" i="15"/>
  <c r="G626" i="2"/>
  <c r="E97" i="12"/>
  <c r="E62" i="6"/>
  <c r="E90" i="12"/>
  <c r="E59" i="6"/>
  <c r="G485" i="2"/>
  <c r="G562" i="2"/>
  <c r="G647" i="2"/>
  <c r="G613" i="2"/>
  <c r="J23" i="3"/>
  <c r="T23" i="3"/>
  <c r="F4" i="3"/>
  <c r="L42" i="3"/>
  <c r="F30" i="3"/>
  <c r="F42" i="3" s="1"/>
  <c r="E9" i="16" l="1"/>
  <c r="E18" i="17"/>
  <c r="E8" i="13"/>
  <c r="E45" i="13"/>
  <c r="E4" i="8"/>
  <c r="E124" i="15"/>
  <c r="E44" i="17"/>
  <c r="E36" i="15"/>
  <c r="E11" i="16"/>
  <c r="E125" i="15"/>
  <c r="E18" i="15"/>
  <c r="E6" i="16"/>
  <c r="E153" i="17"/>
  <c r="E80" i="15"/>
  <c r="E62" i="16"/>
  <c r="E13" i="15"/>
  <c r="E74" i="16"/>
  <c r="E158" i="15"/>
  <c r="E52" i="15"/>
  <c r="E35" i="15"/>
  <c r="E53" i="15"/>
  <c r="E32" i="15"/>
  <c r="E26" i="13"/>
  <c r="E3" i="6"/>
  <c r="E28" i="15"/>
  <c r="E55" i="17"/>
  <c r="E132" i="15"/>
  <c r="E4" i="6"/>
  <c r="E40" i="17"/>
  <c r="E6" i="17"/>
  <c r="E89" i="17"/>
  <c r="E51" i="15"/>
  <c r="E7" i="17"/>
  <c r="E3" i="15"/>
  <c r="E25" i="15"/>
  <c r="E23" i="15"/>
  <c r="F23" i="3"/>
  <c r="E56" i="16"/>
  <c r="E6" i="13"/>
  <c r="E32" i="17"/>
  <c r="E4" i="16"/>
  <c r="E50" i="15"/>
  <c r="E33" i="15"/>
  <c r="E35" i="13"/>
  <c r="E4" i="7"/>
  <c r="E3" i="16"/>
  <c r="E15" i="15"/>
  <c r="E12" i="13"/>
  <c r="E36" i="8"/>
  <c r="E74" i="15"/>
  <c r="E15" i="8"/>
  <c r="E2" i="8"/>
  <c r="E26" i="15"/>
  <c r="E16" i="15"/>
  <c r="E71" i="15"/>
  <c r="E95" i="15"/>
  <c r="E22" i="15"/>
  <c r="E5" i="16"/>
  <c r="E19" i="15"/>
  <c r="E29" i="15"/>
  <c r="E10" i="15"/>
  <c r="E18" i="6"/>
  <c r="E72" i="15"/>
  <c r="E14" i="15"/>
  <c r="E6" i="8"/>
  <c r="D39" i="9"/>
  <c r="D18" i="10"/>
  <c r="D97" i="10"/>
  <c r="D15" i="9"/>
  <c r="D10" i="9"/>
  <c r="D36" i="9"/>
  <c r="D53" i="10"/>
  <c r="E91" i="17"/>
  <c r="E83" i="15"/>
  <c r="D64" i="10"/>
  <c r="D31" i="4"/>
  <c r="H236" i="2" s="1"/>
  <c r="D100" i="4"/>
  <c r="D43" i="4"/>
  <c r="H485" i="2" s="1"/>
  <c r="D5" i="4"/>
  <c r="H19" i="2" s="1"/>
  <c r="D59" i="4"/>
  <c r="H94" i="2" s="1"/>
  <c r="D32" i="4"/>
  <c r="H316" i="2" s="1"/>
  <c r="D4" i="4"/>
  <c r="H13" i="2" s="1"/>
  <c r="D55" i="4"/>
  <c r="H104" i="2" s="1"/>
  <c r="D67" i="4"/>
  <c r="H141" i="2" s="1"/>
  <c r="D117" i="4"/>
  <c r="H181" i="2" s="1"/>
  <c r="D151" i="4"/>
  <c r="H622" i="2" s="1"/>
  <c r="D104" i="4"/>
  <c r="H20" i="2" s="1"/>
  <c r="D156" i="4"/>
  <c r="H86" i="2" s="1"/>
  <c r="H3" i="9" s="1"/>
  <c r="D111" i="4"/>
  <c r="H180" i="2" s="1"/>
  <c r="D166" i="4"/>
  <c r="H330" i="2" s="1"/>
  <c r="H15" i="9" s="1"/>
  <c r="D73" i="4"/>
  <c r="H241" i="2" s="1"/>
  <c r="D123" i="4"/>
  <c r="H259" i="2" s="1"/>
  <c r="D190" i="4"/>
  <c r="H494" i="2" s="1"/>
  <c r="H30" i="9" s="1"/>
  <c r="D287" i="4"/>
  <c r="H305" i="2" s="1"/>
  <c r="H74" i="10" s="1"/>
  <c r="D202" i="4"/>
  <c r="H594" i="2" s="1"/>
  <c r="H47" i="9" s="1"/>
  <c r="D272" i="4"/>
  <c r="H243" i="2" s="1"/>
  <c r="H64" i="10" s="1"/>
  <c r="D209" i="4"/>
  <c r="H282" i="2" s="1"/>
  <c r="H36" i="6" s="1"/>
  <c r="D171" i="4"/>
  <c r="H354" i="2" s="1"/>
  <c r="H17" i="9" s="1"/>
  <c r="D221" i="4"/>
  <c r="H14" i="2" s="1"/>
  <c r="H7" i="10" s="1"/>
  <c r="D178" i="4"/>
  <c r="H470" i="2" s="1"/>
  <c r="H28" i="9" s="1"/>
  <c r="D228" i="4"/>
  <c r="H37" i="2" s="1"/>
  <c r="H12" i="10" s="1"/>
  <c r="D329" i="4"/>
  <c r="H489" i="2" s="1"/>
  <c r="H113" i="10" s="1"/>
  <c r="D289" i="4"/>
  <c r="H313" i="2" s="1"/>
  <c r="H76" i="10" s="1"/>
  <c r="D360" i="4"/>
  <c r="H25" i="2" s="1"/>
  <c r="D291" i="4"/>
  <c r="H234" i="2" s="1"/>
  <c r="H61" i="10" s="1"/>
  <c r="D338" i="4"/>
  <c r="H611" i="2" s="1"/>
  <c r="H130" i="10" s="1"/>
  <c r="D268" i="4"/>
  <c r="H225" i="2" s="1"/>
  <c r="H60" i="10" s="1"/>
  <c r="D318" i="4"/>
  <c r="H437" i="2" s="1"/>
  <c r="H107" i="10" s="1"/>
  <c r="D275" i="4"/>
  <c r="H280" i="2" s="1"/>
  <c r="H67" i="10" s="1"/>
  <c r="D325" i="4"/>
  <c r="H473" i="2" s="1"/>
  <c r="H109" i="10" s="1"/>
  <c r="D383" i="4"/>
  <c r="H392" i="2" s="1"/>
  <c r="D362" i="4"/>
  <c r="H82" i="2" s="1"/>
  <c r="D354" i="4"/>
  <c r="H592" i="2" s="1"/>
  <c r="H127" i="10" s="1"/>
  <c r="D401" i="4"/>
  <c r="H650" i="2" s="1"/>
  <c r="D391" i="4"/>
  <c r="H492" i="2" s="1"/>
  <c r="D25" i="9"/>
  <c r="E103" i="17"/>
  <c r="E89" i="15"/>
  <c r="D46" i="10"/>
  <c r="D411" i="4"/>
  <c r="H41" i="2" s="1"/>
  <c r="D429" i="4"/>
  <c r="H50" i="2" s="1"/>
  <c r="D419" i="4"/>
  <c r="H78" i="2" s="1"/>
  <c r="D436" i="4"/>
  <c r="H182" i="2" s="1"/>
  <c r="D539" i="4"/>
  <c r="H547" i="2" s="1"/>
  <c r="D542" i="4"/>
  <c r="H493" i="2" s="1"/>
  <c r="D519" i="4"/>
  <c r="H408" i="2" s="1"/>
  <c r="D431" i="4"/>
  <c r="H179" i="2" s="1"/>
  <c r="D454" i="4"/>
  <c r="H146" i="2" s="1"/>
  <c r="D447" i="4"/>
  <c r="H137" i="2" s="1"/>
  <c r="D430" i="4"/>
  <c r="H103" i="2" s="1"/>
  <c r="D516" i="4"/>
  <c r="H415" i="2" s="1"/>
  <c r="D572" i="4"/>
  <c r="H382" i="2" s="1"/>
  <c r="D585" i="4"/>
  <c r="H504" i="2" s="1"/>
  <c r="D511" i="4"/>
  <c r="H331" i="2" s="1"/>
  <c r="D514" i="4"/>
  <c r="H395" i="2" s="1"/>
  <c r="D537" i="4"/>
  <c r="H463" i="2" s="1"/>
  <c r="D520" i="4"/>
  <c r="H422" i="2" s="1"/>
  <c r="D513" i="4"/>
  <c r="H401" i="2" s="1"/>
  <c r="D631" i="4"/>
  <c r="H572" i="2" s="1"/>
  <c r="D620" i="4"/>
  <c r="H583" i="2" s="1"/>
  <c r="D626" i="4"/>
  <c r="H521" i="2" s="1"/>
  <c r="D622" i="4"/>
  <c r="H548" i="2" s="1"/>
  <c r="D588" i="4"/>
  <c r="H406" i="2" s="1"/>
  <c r="D639" i="4"/>
  <c r="H631" i="2" s="1"/>
  <c r="E110" i="17"/>
  <c r="E90" i="15"/>
  <c r="D107" i="10"/>
  <c r="D96" i="10"/>
  <c r="D7" i="9"/>
  <c r="D31" i="10"/>
  <c r="D36" i="10"/>
  <c r="D5" i="10"/>
  <c r="D5" i="9"/>
  <c r="E92" i="12"/>
  <c r="E60" i="6"/>
  <c r="D128" i="10"/>
  <c r="E79" i="12"/>
  <c r="E39" i="8"/>
  <c r="E220" i="17"/>
  <c r="E64" i="16"/>
  <c r="E207" i="17"/>
  <c r="E57" i="16"/>
  <c r="E42" i="12"/>
  <c r="E26" i="6"/>
  <c r="E53" i="12"/>
  <c r="E33" i="6"/>
  <c r="D13" i="9"/>
  <c r="E46" i="12"/>
  <c r="E21" i="8"/>
  <c r="E54" i="17"/>
  <c r="E47" i="15"/>
  <c r="D41" i="10"/>
  <c r="D32" i="9"/>
  <c r="E125" i="17"/>
  <c r="E108" i="15"/>
  <c r="E34" i="17"/>
  <c r="E31" i="15"/>
  <c r="D36" i="4"/>
  <c r="H250" i="2" s="1"/>
  <c r="D125" i="4"/>
  <c r="H340" i="2" s="1"/>
  <c r="D49" i="4"/>
  <c r="H574" i="2" s="1"/>
  <c r="D10" i="4"/>
  <c r="H56" i="2" s="1"/>
  <c r="D52" i="4"/>
  <c r="H27" i="2" s="1"/>
  <c r="D37" i="4"/>
  <c r="H351" i="2" s="1"/>
  <c r="D9" i="4"/>
  <c r="H74" i="2" s="1"/>
  <c r="D143" i="4"/>
  <c r="H590" i="2" s="1"/>
  <c r="D72" i="4"/>
  <c r="H178" i="2" s="1"/>
  <c r="D122" i="4"/>
  <c r="H292" i="2" s="1"/>
  <c r="D155" i="4"/>
  <c r="H109" i="2" s="1"/>
  <c r="H5" i="9" s="1"/>
  <c r="D109" i="4"/>
  <c r="H155" i="2" s="1"/>
  <c r="D195" i="4"/>
  <c r="H556" i="2" s="1"/>
  <c r="H42" i="9" s="1"/>
  <c r="D116" i="4"/>
  <c r="H226" i="2" s="1"/>
  <c r="D147" i="4"/>
  <c r="H628" i="2" s="1"/>
  <c r="D78" i="4"/>
  <c r="H284" i="2" s="1"/>
  <c r="D128" i="4"/>
  <c r="H386" i="2" s="1"/>
  <c r="D215" i="4"/>
  <c r="H454" i="2" s="1"/>
  <c r="H49" i="6" s="1"/>
  <c r="D312" i="4"/>
  <c r="H378" i="2" s="1"/>
  <c r="H95" i="10" s="1"/>
  <c r="D207" i="4"/>
  <c r="D297" i="4"/>
  <c r="H366" i="2" s="1"/>
  <c r="H92" i="10" s="1"/>
  <c r="D214" i="4"/>
  <c r="H416" i="2" s="1"/>
  <c r="H45" i="6" s="1"/>
  <c r="D176" i="4"/>
  <c r="H462" i="2" s="1"/>
  <c r="H25" i="9" s="1"/>
  <c r="D226" i="4"/>
  <c r="H7" i="2" s="1"/>
  <c r="H4" i="10" s="1"/>
  <c r="D183" i="4"/>
  <c r="H510" i="2" s="1"/>
  <c r="H34" i="9" s="1"/>
  <c r="D233" i="4"/>
  <c r="H39" i="2" s="1"/>
  <c r="H13" i="10" s="1"/>
  <c r="D334" i="4"/>
  <c r="H490" i="2" s="1"/>
  <c r="H114" i="10" s="1"/>
  <c r="D294" i="4"/>
  <c r="H235" i="2" s="1"/>
  <c r="H62" i="10" s="1"/>
  <c r="D385" i="4"/>
  <c r="H372" i="2" s="1"/>
  <c r="D296" i="4"/>
  <c r="H324" i="2" s="1"/>
  <c r="H78" i="10" s="1"/>
  <c r="D339" i="4"/>
  <c r="H552" i="2" s="1"/>
  <c r="H119" i="10" s="1"/>
  <c r="D273" i="4"/>
  <c r="H185" i="2" s="1"/>
  <c r="H46" i="10" s="1"/>
  <c r="D323" i="4"/>
  <c r="H393" i="2" s="1"/>
  <c r="H98" i="10" s="1"/>
  <c r="D280" i="4"/>
  <c r="H212" i="2" s="1"/>
  <c r="H57" i="10" s="1"/>
  <c r="D333" i="4"/>
  <c r="H480" i="2" s="1"/>
  <c r="H112" i="10" s="1"/>
  <c r="D388" i="4"/>
  <c r="H368" i="2" s="1"/>
  <c r="D367" i="4"/>
  <c r="H69" i="2" s="1"/>
  <c r="D359" i="4"/>
  <c r="H23" i="2" s="1"/>
  <c r="D346" i="4"/>
  <c r="H624" i="2" s="1"/>
  <c r="H132" i="10" s="1"/>
  <c r="D396" i="4"/>
  <c r="H647" i="2" s="1"/>
  <c r="D78" i="10"/>
  <c r="E82" i="17"/>
  <c r="E14" i="16"/>
  <c r="E78" i="17"/>
  <c r="E61" i="15"/>
  <c r="D16" i="9"/>
  <c r="D443" i="4"/>
  <c r="H114" i="2" s="1"/>
  <c r="D479" i="4"/>
  <c r="H228" i="2" s="1"/>
  <c r="D433" i="4"/>
  <c r="H166" i="2" s="1"/>
  <c r="D446" i="4"/>
  <c r="H156" i="2" s="1"/>
  <c r="D432" i="4"/>
  <c r="H168" i="2" s="1"/>
  <c r="D435" i="4"/>
  <c r="H189" i="2" s="1"/>
  <c r="D569" i="4"/>
  <c r="H227" i="2" s="1"/>
  <c r="D441" i="4"/>
  <c r="H150" i="2" s="1"/>
  <c r="D464" i="4"/>
  <c r="H233" i="2" s="1"/>
  <c r="D457" i="4"/>
  <c r="H251" i="2" s="1"/>
  <c r="D440" i="4"/>
  <c r="H142" i="2" s="1"/>
  <c r="D526" i="4"/>
  <c r="H531" i="2" s="1"/>
  <c r="D582" i="4"/>
  <c r="H522" i="2" s="1"/>
  <c r="D508" i="4"/>
  <c r="H381" i="2" s="1"/>
  <c r="D521" i="4"/>
  <c r="H439" i="2" s="1"/>
  <c r="D524" i="4"/>
  <c r="H484" i="2" s="1"/>
  <c r="D547" i="4"/>
  <c r="H435" i="2" s="1"/>
  <c r="D530" i="4"/>
  <c r="H455" i="2" s="1"/>
  <c r="D523" i="4"/>
  <c r="H333" i="2" s="1"/>
  <c r="D594" i="4"/>
  <c r="H409" i="2" s="1"/>
  <c r="D630" i="4"/>
  <c r="H600" i="2" s="1"/>
  <c r="D636" i="4"/>
  <c r="H591" i="2" s="1"/>
  <c r="D632" i="4"/>
  <c r="H563" i="2" s="1"/>
  <c r="D598" i="4"/>
  <c r="H414" i="2" s="1"/>
  <c r="D649" i="4"/>
  <c r="H605" i="2" s="1"/>
  <c r="D84" i="10"/>
  <c r="D82" i="10"/>
  <c r="E52" i="17"/>
  <c r="E42" i="15"/>
  <c r="E58" i="12"/>
  <c r="E26" i="8"/>
  <c r="D12" i="10"/>
  <c r="D19" i="10"/>
  <c r="E151" i="17"/>
  <c r="E120" i="15"/>
  <c r="D129" i="10"/>
  <c r="D19" i="9"/>
  <c r="E28" i="13"/>
  <c r="E14" i="7"/>
  <c r="E13" i="13"/>
  <c r="E10" i="11"/>
  <c r="E22" i="13"/>
  <c r="E9" i="7"/>
  <c r="D46" i="4"/>
  <c r="H554" i="2" s="1"/>
  <c r="D41" i="4"/>
  <c r="H502" i="2" s="1"/>
  <c r="D3" i="4"/>
  <c r="H6" i="2" s="1"/>
  <c r="D64" i="4"/>
  <c r="H101" i="2" s="1"/>
  <c r="D15" i="4"/>
  <c r="H85" i="2" s="1"/>
  <c r="D95" i="4"/>
  <c r="H555" i="2" s="1"/>
  <c r="D42" i="4"/>
  <c r="H425" i="2" s="1"/>
  <c r="D14" i="4"/>
  <c r="H97" i="2" s="1"/>
  <c r="D150" i="4"/>
  <c r="H645" i="2" s="1"/>
  <c r="D77" i="4"/>
  <c r="H253" i="2" s="1"/>
  <c r="D127" i="4"/>
  <c r="H373" i="2" s="1"/>
  <c r="D185" i="4"/>
  <c r="H527" i="2" s="1"/>
  <c r="H37" i="9" s="1"/>
  <c r="D114" i="4"/>
  <c r="H139" i="2" s="1"/>
  <c r="D220" i="4"/>
  <c r="H4" i="2" s="1"/>
  <c r="H3" i="10" s="1"/>
  <c r="D121" i="4"/>
  <c r="H222" i="2" s="1"/>
  <c r="D158" i="4"/>
  <c r="H145" i="2" s="1"/>
  <c r="H7" i="9" s="1"/>
  <c r="D83" i="4"/>
  <c r="H355" i="2" s="1"/>
  <c r="D133" i="4"/>
  <c r="H413" i="2" s="1"/>
  <c r="D230" i="4"/>
  <c r="H34" i="2" s="1"/>
  <c r="H11" i="10" s="1"/>
  <c r="D242" i="4"/>
  <c r="H143" i="2" s="1"/>
  <c r="H38" i="10" s="1"/>
  <c r="D212" i="4"/>
  <c r="H476" i="2" s="1"/>
  <c r="H50" i="6" s="1"/>
  <c r="D254" i="4"/>
  <c r="H124" i="2" s="1"/>
  <c r="H33" i="10" s="1"/>
  <c r="D219" i="4"/>
  <c r="H641" i="2" s="1"/>
  <c r="H63" i="6" s="1"/>
  <c r="D181" i="4"/>
  <c r="H456" i="2" s="1"/>
  <c r="H24" i="9" s="1"/>
  <c r="D231" i="4"/>
  <c r="H80" i="2" s="1"/>
  <c r="H21" i="10" s="1"/>
  <c r="D188" i="4"/>
  <c r="H520" i="2" s="1"/>
  <c r="H35" i="9" s="1"/>
  <c r="D238" i="4"/>
  <c r="H92" i="2" s="1"/>
  <c r="H25" i="10" s="1"/>
  <c r="D350" i="4"/>
  <c r="H638" i="2" s="1"/>
  <c r="H137" i="10" s="1"/>
  <c r="D299" i="4"/>
  <c r="H345" i="2" s="1"/>
  <c r="H85" i="10" s="1"/>
  <c r="D251" i="4"/>
  <c r="H129" i="2" s="1"/>
  <c r="H35" i="10" s="1"/>
  <c r="D301" i="4"/>
  <c r="H287" i="2" s="1"/>
  <c r="H70" i="10" s="1"/>
  <c r="D340" i="4"/>
  <c r="H581" i="2" s="1"/>
  <c r="H124" i="10" s="1"/>
  <c r="D278" i="4"/>
  <c r="H220" i="2" s="1"/>
  <c r="H59" i="10" s="1"/>
  <c r="D328" i="4"/>
  <c r="H444" i="2" s="1"/>
  <c r="H108" i="10" s="1"/>
  <c r="D285" i="4"/>
  <c r="H281" i="2" s="1"/>
  <c r="H68" i="10" s="1"/>
  <c r="D343" i="4"/>
  <c r="H609" i="2" s="1"/>
  <c r="H129" i="10" s="1"/>
  <c r="D393" i="4"/>
  <c r="H459" i="2" s="1"/>
  <c r="D372" i="4"/>
  <c r="H149" i="2" s="1"/>
  <c r="D364" i="4"/>
  <c r="H30" i="2" s="1"/>
  <c r="D351" i="4"/>
  <c r="H606" i="2" s="1"/>
  <c r="H128" i="10" s="1"/>
  <c r="E34" i="12"/>
  <c r="E23" i="6"/>
  <c r="D4" i="9"/>
  <c r="E40" i="12"/>
  <c r="E25" i="6"/>
  <c r="E49" i="13"/>
  <c r="E22" i="11"/>
  <c r="D39" i="10"/>
  <c r="D493" i="4"/>
  <c r="H291" i="2" s="1"/>
  <c r="D403" i="4"/>
  <c r="H24" i="2" s="1"/>
  <c r="D483" i="4"/>
  <c r="H260" i="2" s="1"/>
  <c r="D456" i="4"/>
  <c r="D442" i="4"/>
  <c r="H118" i="2" s="1"/>
  <c r="D445" i="4"/>
  <c r="H126" i="2" s="1"/>
  <c r="D428" i="4"/>
  <c r="H63" i="2" s="1"/>
  <c r="D451" i="4"/>
  <c r="H273" i="2" s="1"/>
  <c r="D474" i="4"/>
  <c r="H288" i="2" s="1"/>
  <c r="D467" i="4"/>
  <c r="H246" i="2" s="1"/>
  <c r="D450" i="4"/>
  <c r="H177" i="2" s="1"/>
  <c r="D536" i="4"/>
  <c r="H343" i="2" s="1"/>
  <c r="D593" i="4"/>
  <c r="H487" i="2" s="1"/>
  <c r="D518" i="4"/>
  <c r="H328" i="2" s="1"/>
  <c r="D531" i="4"/>
  <c r="H421" i="2" s="1"/>
  <c r="D534" i="4"/>
  <c r="H447" i="2" s="1"/>
  <c r="D557" i="4"/>
  <c r="H541" i="2" s="1"/>
  <c r="D540" i="4"/>
  <c r="H539" i="2" s="1"/>
  <c r="D533" i="4"/>
  <c r="H468" i="2" s="1"/>
  <c r="D604" i="4"/>
  <c r="H544" i="2" s="1"/>
  <c r="D643" i="4"/>
  <c r="H612" i="2" s="1"/>
  <c r="D599" i="4"/>
  <c r="H440" i="2" s="1"/>
  <c r="D638" i="4"/>
  <c r="H640" i="2" s="1"/>
  <c r="D608" i="4"/>
  <c r="H491" i="2" s="1"/>
  <c r="D642" i="4"/>
  <c r="H616" i="2" s="1"/>
  <c r="E28" i="12"/>
  <c r="E21" i="6"/>
  <c r="D38" i="10"/>
  <c r="D80" i="10"/>
  <c r="E94" i="17"/>
  <c r="E82" i="15"/>
  <c r="D57" i="10"/>
  <c r="E15" i="12"/>
  <c r="E9" i="6"/>
  <c r="D2" i="10"/>
  <c r="D43" i="10"/>
  <c r="D35" i="10"/>
  <c r="D27" i="10"/>
  <c r="D13" i="10"/>
  <c r="D8" i="9"/>
  <c r="D24" i="10"/>
  <c r="D34" i="10"/>
  <c r="D7" i="10"/>
  <c r="D137" i="10"/>
  <c r="D127" i="10"/>
  <c r="D47" i="9"/>
  <c r="D34" i="9"/>
  <c r="D30" i="9"/>
  <c r="E191" i="17"/>
  <c r="E46" i="16"/>
  <c r="D22" i="9"/>
  <c r="D52" i="9"/>
  <c r="E81" i="13"/>
  <c r="E43" i="7"/>
  <c r="E98" i="12"/>
  <c r="E49" i="8"/>
  <c r="E127" i="17"/>
  <c r="E104" i="15"/>
  <c r="D103" i="10"/>
  <c r="D111" i="10"/>
  <c r="E48" i="12"/>
  <c r="E29" i="6"/>
  <c r="D33" i="9"/>
  <c r="D41" i="9"/>
  <c r="D37" i="9"/>
  <c r="E61" i="12"/>
  <c r="E38" i="6"/>
  <c r="E247" i="17"/>
  <c r="E88" i="16"/>
  <c r="D23" i="9"/>
  <c r="D43" i="9"/>
  <c r="E196" i="17"/>
  <c r="E49" i="16"/>
  <c r="E129" i="17"/>
  <c r="E110" i="15"/>
  <c r="D67" i="10"/>
  <c r="D33" i="10"/>
  <c r="E64" i="17"/>
  <c r="E54" i="15"/>
  <c r="D90" i="4"/>
  <c r="H411" i="2" s="1"/>
  <c r="D53" i="4"/>
  <c r="H71" i="2" s="1"/>
  <c r="D8" i="4"/>
  <c r="H64" i="2" s="1"/>
  <c r="D71" i="4"/>
  <c r="H207" i="2" s="1"/>
  <c r="D20" i="4"/>
  <c r="H93" i="2" s="1"/>
  <c r="D120" i="4"/>
  <c r="H245" i="2" s="1"/>
  <c r="D50" i="4"/>
  <c r="H577" i="2" s="1"/>
  <c r="D19" i="4"/>
  <c r="H138" i="2" s="1"/>
  <c r="D161" i="4"/>
  <c r="H239" i="2" s="1"/>
  <c r="H11" i="9" s="1"/>
  <c r="D82" i="4"/>
  <c r="H269" i="2" s="1"/>
  <c r="D132" i="4"/>
  <c r="H431" i="2" s="1"/>
  <c r="D210" i="4"/>
  <c r="H365" i="2" s="1"/>
  <c r="H43" i="6" s="1"/>
  <c r="D119" i="4"/>
  <c r="H231" i="2" s="1"/>
  <c r="D76" i="4"/>
  <c r="H230" i="2" s="1"/>
  <c r="D126" i="4"/>
  <c r="H299" i="2" s="1"/>
  <c r="D165" i="4"/>
  <c r="H285" i="2" s="1"/>
  <c r="H12" i="9" s="1"/>
  <c r="D88" i="4"/>
  <c r="H417" i="2" s="1"/>
  <c r="D138" i="4"/>
  <c r="H471" i="2" s="1"/>
  <c r="D235" i="4"/>
  <c r="H75" i="2" s="1"/>
  <c r="H19" i="10" s="1"/>
  <c r="D245" i="4"/>
  <c r="H122" i="2" s="1"/>
  <c r="H31" i="10" s="1"/>
  <c r="D217" i="4"/>
  <c r="H528" i="2" s="1"/>
  <c r="H57" i="6" s="1"/>
  <c r="D174" i="4"/>
  <c r="H445" i="2" s="1"/>
  <c r="H22" i="9" s="1"/>
  <c r="D224" i="4"/>
  <c r="H9" i="2" s="1"/>
  <c r="H6" i="10" s="1"/>
  <c r="D186" i="4"/>
  <c r="H557" i="2" s="1"/>
  <c r="H43" i="9" s="1"/>
  <c r="D236" i="4"/>
  <c r="H88" i="2" s="1"/>
  <c r="H23" i="10" s="1"/>
  <c r="D193" i="4"/>
  <c r="H535" i="2" s="1"/>
  <c r="H40" i="9" s="1"/>
  <c r="D277" i="4"/>
  <c r="H217" i="2" s="1"/>
  <c r="H58" i="10" s="1"/>
  <c r="D375" i="4"/>
  <c r="H201" i="2" s="1"/>
  <c r="D304" i="4"/>
  <c r="H329" i="2" s="1"/>
  <c r="H79" i="10" s="1"/>
  <c r="D256" i="4"/>
  <c r="H108" i="2" s="1"/>
  <c r="H28" i="10" s="1"/>
  <c r="D306" i="4"/>
  <c r="H360" i="2" s="1"/>
  <c r="H89" i="10" s="1"/>
  <c r="D330" i="4"/>
  <c r="H506" i="2" s="1"/>
  <c r="H116" i="10" s="1"/>
  <c r="D283" i="4"/>
  <c r="H254" i="2" s="1"/>
  <c r="H65" i="10" s="1"/>
  <c r="D355" i="4"/>
  <c r="H627" i="2" s="1"/>
  <c r="H133" i="10" s="1"/>
  <c r="D290" i="4"/>
  <c r="H315" i="2" s="1"/>
  <c r="H77" i="10" s="1"/>
  <c r="D348" i="4"/>
  <c r="H636" i="2" s="1"/>
  <c r="H135" i="10" s="1"/>
  <c r="D398" i="4"/>
  <c r="H543" i="2" s="1"/>
  <c r="D377" i="4"/>
  <c r="H306" i="2" s="1"/>
  <c r="D369" i="4"/>
  <c r="H102" i="2" s="1"/>
  <c r="D356" i="4"/>
  <c r="H651" i="2" s="1"/>
  <c r="H139" i="10" s="1"/>
  <c r="D63" i="10"/>
  <c r="D77" i="10"/>
  <c r="E9" i="13"/>
  <c r="E7" i="11"/>
  <c r="D92" i="10"/>
  <c r="D425" i="4"/>
  <c r="H87" i="2" s="1"/>
  <c r="D414" i="4"/>
  <c r="H38" i="2" s="1"/>
  <c r="D415" i="4"/>
  <c r="H28" i="2" s="1"/>
  <c r="D509" i="4"/>
  <c r="H349" i="2" s="1"/>
  <c r="D466" i="4"/>
  <c r="H213" i="2" s="1"/>
  <c r="D452" i="4"/>
  <c r="H211" i="2" s="1"/>
  <c r="D455" i="4"/>
  <c r="H277" i="2" s="1"/>
  <c r="D438" i="4"/>
  <c r="H147" i="2" s="1"/>
  <c r="D461" i="4"/>
  <c r="H290" i="2" s="1"/>
  <c r="D484" i="4"/>
  <c r="H302" i="2" s="1"/>
  <c r="D477" i="4"/>
  <c r="H275" i="2" s="1"/>
  <c r="D460" i="4"/>
  <c r="H176" i="2" s="1"/>
  <c r="D546" i="4"/>
  <c r="H588" i="2" s="1"/>
  <c r="D515" i="4"/>
  <c r="H367" i="2" s="1"/>
  <c r="D528" i="4"/>
  <c r="H450" i="2" s="1"/>
  <c r="D541" i="4"/>
  <c r="H432" i="2" s="1"/>
  <c r="D544" i="4"/>
  <c r="H464" i="2" s="1"/>
  <c r="D567" i="4"/>
  <c r="H191" i="2" s="1"/>
  <c r="D550" i="4"/>
  <c r="H426" i="2" s="1"/>
  <c r="D543" i="4"/>
  <c r="H394" i="2" s="1"/>
  <c r="D614" i="4"/>
  <c r="H457" i="2" s="1"/>
  <c r="D603" i="4"/>
  <c r="H568" i="2" s="1"/>
  <c r="D609" i="4"/>
  <c r="H488" i="2" s="1"/>
  <c r="D595" i="4"/>
  <c r="H515" i="2" s="1"/>
  <c r="D618" i="4"/>
  <c r="H483" i="2" s="1"/>
  <c r="E22" i="12"/>
  <c r="E16" i="6"/>
  <c r="D54" i="10"/>
  <c r="E58" i="17"/>
  <c r="E49" i="15"/>
  <c r="D56" i="10"/>
  <c r="D2" i="9"/>
  <c r="D113" i="10"/>
  <c r="E233" i="17"/>
  <c r="E76" i="16"/>
  <c r="E158" i="17"/>
  <c r="E130" i="15"/>
  <c r="D79" i="10"/>
  <c r="E99" i="12"/>
  <c r="E50" i="8"/>
  <c r="E87" i="13"/>
  <c r="E47" i="7"/>
  <c r="E217" i="17"/>
  <c r="E61" i="16"/>
  <c r="E81" i="17"/>
  <c r="E69" i="15"/>
  <c r="D51" i="9"/>
  <c r="E58" i="13"/>
  <c r="E33" i="7"/>
  <c r="D120" i="10"/>
  <c r="E50" i="12"/>
  <c r="E30" i="6"/>
  <c r="E203" i="17"/>
  <c r="E54" i="16"/>
  <c r="D122" i="10"/>
  <c r="D69" i="10"/>
  <c r="E133" i="17"/>
  <c r="E24" i="16"/>
  <c r="D45" i="9"/>
  <c r="D102" i="10"/>
  <c r="D121" i="10"/>
  <c r="D21" i="9"/>
  <c r="E41" i="13"/>
  <c r="E22" i="7"/>
  <c r="E57" i="17"/>
  <c r="E48" i="15"/>
  <c r="D72" i="10"/>
  <c r="D3" i="10"/>
  <c r="D51" i="10"/>
  <c r="D115" i="4"/>
  <c r="H194" i="2" s="1"/>
  <c r="D61" i="4"/>
  <c r="H130" i="2" s="1"/>
  <c r="D13" i="4"/>
  <c r="H121" i="2" s="1"/>
  <c r="D47" i="4"/>
  <c r="H486" i="2" s="1"/>
  <c r="D25" i="4"/>
  <c r="H247" i="2" s="1"/>
  <c r="D2" i="4"/>
  <c r="D60" i="4"/>
  <c r="H100" i="2" s="1"/>
  <c r="D24" i="4"/>
  <c r="H255" i="2" s="1"/>
  <c r="D162" i="4"/>
  <c r="H215" i="2" s="1"/>
  <c r="H10" i="9" s="1"/>
  <c r="D87" i="4"/>
  <c r="H383" i="2" s="1"/>
  <c r="D137" i="4"/>
  <c r="H466" i="2" s="1"/>
  <c r="D74" i="4"/>
  <c r="H229" i="2" s="1"/>
  <c r="D124" i="4"/>
  <c r="H270" i="2" s="1"/>
  <c r="D81" i="4"/>
  <c r="H321" i="2" s="1"/>
  <c r="D131" i="4"/>
  <c r="H339" i="2" s="1"/>
  <c r="D169" i="4"/>
  <c r="H310" i="2" s="1"/>
  <c r="H13" i="9" s="1"/>
  <c r="D93" i="4"/>
  <c r="H562" i="2" s="1"/>
  <c r="D145" i="4"/>
  <c r="H625" i="2" s="1"/>
  <c r="D240" i="4"/>
  <c r="H55" i="2" s="1"/>
  <c r="H17" i="10" s="1"/>
  <c r="D246" i="4"/>
  <c r="H96" i="2" s="1"/>
  <c r="H26" i="10" s="1"/>
  <c r="D222" i="4"/>
  <c r="H15" i="2" s="1"/>
  <c r="H8" i="10" s="1"/>
  <c r="D179" i="4"/>
  <c r="H397" i="2" s="1"/>
  <c r="H19" i="9" s="1"/>
  <c r="D229" i="4"/>
  <c r="H45" i="2" s="1"/>
  <c r="H15" i="10" s="1"/>
  <c r="D191" i="4"/>
  <c r="H469" i="2" s="1"/>
  <c r="H27" i="9" s="1"/>
  <c r="D241" i="4"/>
  <c r="H53" i="2" s="1"/>
  <c r="H16" i="10" s="1"/>
  <c r="D198" i="4"/>
  <c r="H549" i="2" s="1"/>
  <c r="H41" i="9" s="1"/>
  <c r="D302" i="4"/>
  <c r="H374" i="2" s="1"/>
  <c r="H94" i="10" s="1"/>
  <c r="D259" i="4"/>
  <c r="H153" i="2" s="1"/>
  <c r="H39" i="10" s="1"/>
  <c r="D309" i="4"/>
  <c r="H359" i="2" s="1"/>
  <c r="H88" i="10" s="1"/>
  <c r="D261" i="4"/>
  <c r="H171" i="2" s="1"/>
  <c r="H45" i="10" s="1"/>
  <c r="D311" i="4"/>
  <c r="H334" i="2" s="1"/>
  <c r="H81" i="10" s="1"/>
  <c r="D336" i="4"/>
  <c r="H570" i="2" s="1"/>
  <c r="H121" i="10" s="1"/>
  <c r="D288" i="4"/>
  <c r="H295" i="2" s="1"/>
  <c r="H71" i="10" s="1"/>
  <c r="D380" i="4"/>
  <c r="H289" i="2" s="1"/>
  <c r="D295" i="4"/>
  <c r="H332" i="2" s="1"/>
  <c r="H80" i="10" s="1"/>
  <c r="D353" i="4"/>
  <c r="H639" i="2" s="1"/>
  <c r="H138" i="10" s="1"/>
  <c r="D390" i="4"/>
  <c r="H376" i="2" s="1"/>
  <c r="D382" i="4"/>
  <c r="H198" i="2" s="1"/>
  <c r="D374" i="4"/>
  <c r="H164" i="2" s="1"/>
  <c r="D361" i="4"/>
  <c r="E60" i="17"/>
  <c r="E46" i="15"/>
  <c r="D117" i="10"/>
  <c r="E23" i="13"/>
  <c r="E10" i="7"/>
  <c r="D463" i="4"/>
  <c r="H264" i="2" s="1"/>
  <c r="D421" i="4"/>
  <c r="H62" i="2" s="1"/>
  <c r="D423" i="4"/>
  <c r="H68" i="2" s="1"/>
  <c r="D416" i="4"/>
  <c r="H67" i="2" s="1"/>
  <c r="D476" i="4"/>
  <c r="H283" i="2" s="1"/>
  <c r="D462" i="4"/>
  <c r="H274" i="2" s="1"/>
  <c r="D465" i="4"/>
  <c r="H248" i="2" s="1"/>
  <c r="D448" i="4"/>
  <c r="H256" i="2" s="1"/>
  <c r="D471" i="4"/>
  <c r="H214" i="2" s="1"/>
  <c r="D494" i="4"/>
  <c r="H326" i="2" s="1"/>
  <c r="D487" i="4"/>
  <c r="H307" i="2" s="1"/>
  <c r="D470" i="4"/>
  <c r="H240" i="2" s="1"/>
  <c r="D556" i="4"/>
  <c r="H497" i="2" s="1"/>
  <c r="D525" i="4"/>
  <c r="H362" i="2" s="1"/>
  <c r="D538" i="4"/>
  <c r="H370" i="2" s="1"/>
  <c r="D551" i="4"/>
  <c r="H519" i="2" s="1"/>
  <c r="D554" i="4"/>
  <c r="H442" i="2" s="1"/>
  <c r="D577" i="4"/>
  <c r="H322" i="2" s="1"/>
  <c r="D560" i="4"/>
  <c r="H597" i="2" s="1"/>
  <c r="D553" i="4"/>
  <c r="H453" i="2" s="1"/>
  <c r="D624" i="4"/>
  <c r="H595" i="2" s="1"/>
  <c r="D613" i="4"/>
  <c r="H589" i="2" s="1"/>
  <c r="D619" i="4"/>
  <c r="H560" i="2" s="1"/>
  <c r="D605" i="4"/>
  <c r="H578" i="2" s="1"/>
  <c r="D628" i="4"/>
  <c r="H553" i="2" s="1"/>
  <c r="E72" i="17"/>
  <c r="E58" i="15"/>
  <c r="D89" i="10"/>
  <c r="D59" i="10"/>
  <c r="E157" i="17"/>
  <c r="E32" i="16"/>
  <c r="D100" i="10"/>
  <c r="D17" i="10"/>
  <c r="D16" i="10"/>
  <c r="D30" i="10"/>
  <c r="D21" i="10"/>
  <c r="D20" i="10"/>
  <c r="D32" i="10"/>
  <c r="D28" i="10"/>
  <c r="D25" i="10"/>
  <c r="D10" i="10"/>
  <c r="D49" i="10"/>
  <c r="E16" i="13"/>
  <c r="E12" i="11"/>
  <c r="D90" i="10"/>
  <c r="D6" i="4"/>
  <c r="H18" i="2" s="1"/>
  <c r="D62" i="4"/>
  <c r="H163" i="2" s="1"/>
  <c r="D18" i="4"/>
  <c r="H127" i="2" s="1"/>
  <c r="D56" i="4"/>
  <c r="H99" i="2" s="1"/>
  <c r="D30" i="4"/>
  <c r="H266" i="2" s="1"/>
  <c r="D7" i="4"/>
  <c r="H47" i="2" s="1"/>
  <c r="D69" i="4"/>
  <c r="H205" i="2" s="1"/>
  <c r="D29" i="4"/>
  <c r="H249" i="2" s="1"/>
  <c r="D141" i="4"/>
  <c r="H529" i="2" s="1"/>
  <c r="D92" i="4"/>
  <c r="H495" i="2" s="1"/>
  <c r="D139" i="4"/>
  <c r="H479" i="2" s="1"/>
  <c r="D79" i="4"/>
  <c r="D129" i="4"/>
  <c r="H384" i="2" s="1"/>
  <c r="D86" i="4"/>
  <c r="H418" i="2" s="1"/>
  <c r="D136" i="4"/>
  <c r="H443" i="2" s="1"/>
  <c r="D180" i="4"/>
  <c r="H496" i="2" s="1"/>
  <c r="H31" i="9" s="1"/>
  <c r="D98" i="4"/>
  <c r="H644" i="2" s="1"/>
  <c r="D153" i="4"/>
  <c r="H643" i="2" s="1"/>
  <c r="D247" i="4"/>
  <c r="H128" i="2" s="1"/>
  <c r="H34" i="10" s="1"/>
  <c r="D177" i="4"/>
  <c r="H498" i="2" s="1"/>
  <c r="H32" i="9" s="1"/>
  <c r="D227" i="4"/>
  <c r="H21" i="2" s="1"/>
  <c r="H9" i="10" s="1"/>
  <c r="D184" i="4"/>
  <c r="H475" i="2" s="1"/>
  <c r="H29" i="9" s="1"/>
  <c r="D234" i="4"/>
  <c r="H33" i="2" s="1"/>
  <c r="H10" i="10" s="1"/>
  <c r="D196" i="4"/>
  <c r="H533" i="2" s="1"/>
  <c r="H39" i="9" s="1"/>
  <c r="D267" i="4"/>
  <c r="H204" i="2" s="1"/>
  <c r="H55" i="10" s="1"/>
  <c r="D203" i="4"/>
  <c r="H635" i="2" s="1"/>
  <c r="H53" i="9" s="1"/>
  <c r="D365" i="4"/>
  <c r="H57" i="2" s="1"/>
  <c r="D264" i="4"/>
  <c r="H154" i="2" s="1"/>
  <c r="H40" i="10" s="1"/>
  <c r="D314" i="4"/>
  <c r="H410" i="2" s="1"/>
  <c r="H103" i="10" s="1"/>
  <c r="D266" i="4"/>
  <c r="H208" i="2" s="1"/>
  <c r="H56" i="10" s="1"/>
  <c r="D316" i="4"/>
  <c r="H398" i="2" s="1"/>
  <c r="H100" i="10" s="1"/>
  <c r="D337" i="4"/>
  <c r="H503" i="2" s="1"/>
  <c r="H115" i="10" s="1"/>
  <c r="D293" i="4"/>
  <c r="H364" i="2" s="1"/>
  <c r="H91" i="10" s="1"/>
  <c r="D250" i="4"/>
  <c r="H84" i="2" s="1"/>
  <c r="H22" i="10" s="1"/>
  <c r="D300" i="4"/>
  <c r="H336" i="2" s="1"/>
  <c r="H82" i="10" s="1"/>
  <c r="D358" i="4"/>
  <c r="H10" i="2" s="1"/>
  <c r="D395" i="4"/>
  <c r="H434" i="2" s="1"/>
  <c r="D387" i="4"/>
  <c r="H412" i="2" s="1"/>
  <c r="D379" i="4"/>
  <c r="H257" i="2" s="1"/>
  <c r="D366" i="4"/>
  <c r="H48" i="2" s="1"/>
  <c r="D71" i="10"/>
  <c r="D93" i="10"/>
  <c r="D402" i="4"/>
  <c r="D449" i="4"/>
  <c r="H152" i="2" s="1"/>
  <c r="D453" i="4"/>
  <c r="H206" i="2" s="1"/>
  <c r="D424" i="4"/>
  <c r="H51" i="2" s="1"/>
  <c r="D486" i="4"/>
  <c r="H301" i="2" s="1"/>
  <c r="D472" i="4"/>
  <c r="H238" i="2" s="1"/>
  <c r="D475" i="4"/>
  <c r="H216" i="2" s="1"/>
  <c r="D458" i="4"/>
  <c r="H136" i="2" s="1"/>
  <c r="D481" i="4"/>
  <c r="H325" i="2" s="1"/>
  <c r="D552" i="4"/>
  <c r="H505" i="2" s="1"/>
  <c r="D496" i="4"/>
  <c r="H369" i="2" s="1"/>
  <c r="D480" i="4"/>
  <c r="H242" i="2" s="1"/>
  <c r="D566" i="4"/>
  <c r="H167" i="2" s="1"/>
  <c r="D535" i="4"/>
  <c r="H513" i="2" s="1"/>
  <c r="D548" i="4"/>
  <c r="H427" i="2" s="1"/>
  <c r="D561" i="4"/>
  <c r="H550" i="2" s="1"/>
  <c r="D564" i="4"/>
  <c r="H165" i="2" s="1"/>
  <c r="D587" i="4"/>
  <c r="H542" i="2" s="1"/>
  <c r="D570" i="4"/>
  <c r="H258" i="2" s="1"/>
  <c r="D563" i="4"/>
  <c r="H133" i="2" s="1"/>
  <c r="D634" i="4"/>
  <c r="H584" i="2" s="1"/>
  <c r="D623" i="4"/>
  <c r="H538" i="2" s="1"/>
  <c r="D629" i="4"/>
  <c r="H576" i="2" s="1"/>
  <c r="D615" i="4"/>
  <c r="H518" i="2" s="1"/>
  <c r="D645" i="4"/>
  <c r="H561" i="2" s="1"/>
  <c r="D60" i="10"/>
  <c r="E96" i="17"/>
  <c r="E86" i="15"/>
  <c r="D85" i="10"/>
  <c r="E42" i="13"/>
  <c r="E23" i="7"/>
  <c r="D40" i="10"/>
  <c r="D26" i="10"/>
  <c r="D8" i="10"/>
  <c r="E155" i="17"/>
  <c r="E96" i="15"/>
  <c r="D126" i="10"/>
  <c r="D139" i="10"/>
  <c r="E134" i="17"/>
  <c r="E111" i="15"/>
  <c r="E53" i="8"/>
  <c r="E102" i="12"/>
  <c r="E74" i="17"/>
  <c r="E62" i="15"/>
  <c r="E152" i="17"/>
  <c r="E31" i="16"/>
  <c r="E194" i="17"/>
  <c r="E146" i="15"/>
  <c r="D131" i="10"/>
  <c r="D112" i="10"/>
  <c r="D105" i="10"/>
  <c r="D17" i="9"/>
  <c r="D115" i="10"/>
  <c r="E202" i="17"/>
  <c r="E53" i="16"/>
  <c r="D66" i="10"/>
  <c r="D9" i="9"/>
  <c r="E7" i="13"/>
  <c r="E5" i="11"/>
  <c r="E80" i="17"/>
  <c r="E67" i="15"/>
  <c r="D42" i="10"/>
  <c r="D11" i="4"/>
  <c r="H54" i="2" s="1"/>
  <c r="D65" i="4"/>
  <c r="H90" i="2" s="1"/>
  <c r="D23" i="4"/>
  <c r="H190" i="2" s="1"/>
  <c r="D70" i="4"/>
  <c r="H219" i="2" s="1"/>
  <c r="D35" i="4"/>
  <c r="H296" i="2" s="1"/>
  <c r="D12" i="4"/>
  <c r="H59" i="2" s="1"/>
  <c r="D57" i="4"/>
  <c r="H65" i="2" s="1"/>
  <c r="D34" i="4"/>
  <c r="H319" i="2" s="1"/>
  <c r="D170" i="4"/>
  <c r="H400" i="2" s="1"/>
  <c r="H20" i="9" s="1"/>
  <c r="D97" i="4"/>
  <c r="H632" i="2" s="1"/>
  <c r="D148" i="4"/>
  <c r="H615" i="2" s="1"/>
  <c r="D84" i="4"/>
  <c r="H399" i="2" s="1"/>
  <c r="D134" i="4"/>
  <c r="H429" i="2" s="1"/>
  <c r="D91" i="4"/>
  <c r="H460" i="2" s="1"/>
  <c r="D140" i="4"/>
  <c r="H478" i="2" s="1"/>
  <c r="D205" i="4"/>
  <c r="H630" i="2" s="1"/>
  <c r="H52" i="9" s="1"/>
  <c r="D103" i="4"/>
  <c r="H26" i="2" s="1"/>
  <c r="D159" i="4"/>
  <c r="H77" i="2" s="1"/>
  <c r="H2" i="9" s="1"/>
  <c r="D248" i="4"/>
  <c r="H72" i="2" s="1"/>
  <c r="H18" i="10" s="1"/>
  <c r="D182" i="4"/>
  <c r="H526" i="2" s="1"/>
  <c r="H36" i="9" s="1"/>
  <c r="D232" i="4"/>
  <c r="H89" i="2" s="1"/>
  <c r="H24" i="10" s="1"/>
  <c r="D189" i="4"/>
  <c r="H534" i="2" s="1"/>
  <c r="H38" i="9" s="1"/>
  <c r="D239" i="4"/>
  <c r="H116" i="2" s="1"/>
  <c r="H30" i="10" s="1"/>
  <c r="D201" i="4"/>
  <c r="H579" i="2" s="1"/>
  <c r="H45" i="9" s="1"/>
  <c r="D292" i="4"/>
  <c r="H344" i="2" s="1"/>
  <c r="H84" i="10" s="1"/>
  <c r="D208" i="4"/>
  <c r="H107" i="2" s="1"/>
  <c r="H17" i="6" s="1"/>
  <c r="D317" i="4"/>
  <c r="H396" i="2" s="1"/>
  <c r="H99" i="10" s="1"/>
  <c r="D269" i="4"/>
  <c r="H159" i="2" s="1"/>
  <c r="H42" i="10" s="1"/>
  <c r="D319" i="4"/>
  <c r="H390" i="2" s="1"/>
  <c r="H97" i="10" s="1"/>
  <c r="D271" i="4"/>
  <c r="H193" i="2" s="1"/>
  <c r="H50" i="10" s="1"/>
  <c r="D321" i="4"/>
  <c r="H361" i="2" s="1"/>
  <c r="H90" i="10" s="1"/>
  <c r="D345" i="4"/>
  <c r="H559" i="2" s="1"/>
  <c r="H120" i="10" s="1"/>
  <c r="D298" i="4"/>
  <c r="H358" i="2" s="1"/>
  <c r="H87" i="10" s="1"/>
  <c r="D255" i="4"/>
  <c r="H79" i="2" s="1"/>
  <c r="H20" i="10" s="1"/>
  <c r="D305" i="4"/>
  <c r="H312" i="2" s="1"/>
  <c r="H75" i="10" s="1"/>
  <c r="D363" i="4"/>
  <c r="H35" i="2" s="1"/>
  <c r="D400" i="4"/>
  <c r="H646" i="2" s="1"/>
  <c r="D392" i="4"/>
  <c r="H472" i="2" s="1"/>
  <c r="D384" i="4"/>
  <c r="H402" i="2" s="1"/>
  <c r="D371" i="4"/>
  <c r="H81" i="2" s="1"/>
  <c r="D45" i="10"/>
  <c r="D408" i="4"/>
  <c r="D409" i="4"/>
  <c r="H46" i="2" s="1"/>
  <c r="D405" i="4"/>
  <c r="H91" i="2" s="1"/>
  <c r="D439" i="4"/>
  <c r="H120" i="2" s="1"/>
  <c r="D501" i="4"/>
  <c r="H348" i="2" s="1"/>
  <c r="D482" i="4"/>
  <c r="H218" i="2" s="1"/>
  <c r="D485" i="4"/>
  <c r="H267" i="2" s="1"/>
  <c r="D468" i="4"/>
  <c r="H172" i="2" s="1"/>
  <c r="D491" i="4"/>
  <c r="H314" i="2" s="1"/>
  <c r="D407" i="4"/>
  <c r="H83" i="2" s="1"/>
  <c r="D507" i="4"/>
  <c r="H320" i="2" s="1"/>
  <c r="D490" i="4"/>
  <c r="H297" i="2" s="1"/>
  <c r="D576" i="4"/>
  <c r="H377" i="2" s="1"/>
  <c r="D545" i="4"/>
  <c r="H458" i="2" s="1"/>
  <c r="D558" i="4"/>
  <c r="H517" i="2" s="1"/>
  <c r="D571" i="4"/>
  <c r="H199" i="2" s="1"/>
  <c r="D574" i="4"/>
  <c r="H272" i="2" s="1"/>
  <c r="D591" i="4"/>
  <c r="H525" i="2" s="1"/>
  <c r="D580" i="4"/>
  <c r="H356" i="2" s="1"/>
  <c r="D573" i="4"/>
  <c r="H465" i="2" s="1"/>
  <c r="D637" i="4"/>
  <c r="H532" i="2" s="1"/>
  <c r="D633" i="4"/>
  <c r="H500" i="2" s="1"/>
  <c r="D640" i="4"/>
  <c r="H604" i="2" s="1"/>
  <c r="D625" i="4"/>
  <c r="H582" i="2" s="1"/>
  <c r="D651" i="4"/>
  <c r="H514" i="2" s="1"/>
  <c r="E21" i="12"/>
  <c r="E15" i="6"/>
  <c r="D62" i="10"/>
  <c r="E87" i="17"/>
  <c r="E77" i="15"/>
  <c r="E18" i="12"/>
  <c r="E12" i="6"/>
  <c r="D81" i="10"/>
  <c r="D6" i="10"/>
  <c r="D9" i="10"/>
  <c r="D23" i="10"/>
  <c r="E243" i="17"/>
  <c r="E159" i="15"/>
  <c r="D133" i="10"/>
  <c r="E160" i="17"/>
  <c r="E134" i="15"/>
  <c r="E114" i="17"/>
  <c r="E92" i="15"/>
  <c r="E250" i="17"/>
  <c r="E91" i="16"/>
  <c r="E249" i="17"/>
  <c r="E90" i="16"/>
  <c r="E120" i="17"/>
  <c r="E105" i="15"/>
  <c r="D35" i="9"/>
  <c r="E113" i="17"/>
  <c r="E91" i="15"/>
  <c r="E11" i="11"/>
  <c r="E15" i="13"/>
  <c r="E173" i="17"/>
  <c r="E36" i="16"/>
  <c r="E238" i="17"/>
  <c r="E80" i="16"/>
  <c r="E122" i="17"/>
  <c r="E102" i="15"/>
  <c r="E107" i="17"/>
  <c r="E93" i="15"/>
  <c r="E14" i="12"/>
  <c r="E8" i="6"/>
  <c r="E93" i="13"/>
  <c r="E44" i="11"/>
  <c r="D138" i="10"/>
  <c r="E89" i="12"/>
  <c r="E58" i="6"/>
  <c r="D119" i="10"/>
  <c r="D74" i="10"/>
  <c r="D52" i="10"/>
  <c r="E19" i="13"/>
  <c r="E14" i="11"/>
  <c r="D11" i="9"/>
  <c r="D16" i="4"/>
  <c r="H76" i="2" s="1"/>
  <c r="D51" i="4"/>
  <c r="H22" i="2" s="1"/>
  <c r="D28" i="4"/>
  <c r="H223" i="2" s="1"/>
  <c r="D85" i="4"/>
  <c r="H423" i="2" s="1"/>
  <c r="D40" i="4"/>
  <c r="H317" i="2" s="1"/>
  <c r="D17" i="4"/>
  <c r="H119" i="2" s="1"/>
  <c r="D80" i="4"/>
  <c r="H279" i="2" s="1"/>
  <c r="D39" i="4"/>
  <c r="H389" i="2" s="1"/>
  <c r="D175" i="4"/>
  <c r="H508" i="2" s="1"/>
  <c r="H33" i="9" s="1"/>
  <c r="D102" i="4"/>
  <c r="H17" i="2" s="1"/>
  <c r="D154" i="4"/>
  <c r="H111" i="2" s="1"/>
  <c r="H6" i="9" s="1"/>
  <c r="D89" i="4"/>
  <c r="H379" i="2" s="1"/>
  <c r="D144" i="4"/>
  <c r="H608" i="2" s="1"/>
  <c r="D96" i="4"/>
  <c r="H633" i="2" s="1"/>
  <c r="D149" i="4"/>
  <c r="H626" i="2" s="1"/>
  <c r="D58" i="4"/>
  <c r="H115" i="2" s="1"/>
  <c r="D108" i="4"/>
  <c r="H113" i="2" s="1"/>
  <c r="D160" i="4"/>
  <c r="H95" i="2" s="1"/>
  <c r="H4" i="9" s="1"/>
  <c r="D249" i="4"/>
  <c r="H110" i="2" s="1"/>
  <c r="H29" i="10" s="1"/>
  <c r="D187" i="4"/>
  <c r="H467" i="2" s="1"/>
  <c r="H26" i="9" s="1"/>
  <c r="D237" i="4"/>
  <c r="H40" i="2" s="1"/>
  <c r="H14" i="10" s="1"/>
  <c r="D194" i="4"/>
  <c r="H564" i="2" s="1"/>
  <c r="H44" i="9" s="1"/>
  <c r="D257" i="4"/>
  <c r="H169" i="2" s="1"/>
  <c r="H43" i="10" s="1"/>
  <c r="D206" i="4"/>
  <c r="H649" i="2" s="1"/>
  <c r="H54" i="9" s="1"/>
  <c r="D253" i="4"/>
  <c r="H131" i="2" s="1"/>
  <c r="H36" i="10" s="1"/>
  <c r="D213" i="4"/>
  <c r="H438" i="2" s="1"/>
  <c r="H47" i="6" s="1"/>
  <c r="D322" i="4"/>
  <c r="H474" i="2" s="1"/>
  <c r="H110" i="10" s="1"/>
  <c r="D274" i="4"/>
  <c r="H200" i="2" s="1"/>
  <c r="H52" i="10" s="1"/>
  <c r="D324" i="4"/>
  <c r="H477" i="2" s="1"/>
  <c r="H111" i="10" s="1"/>
  <c r="D276" i="4"/>
  <c r="H203" i="2" s="1"/>
  <c r="H54" i="10" s="1"/>
  <c r="D326" i="4"/>
  <c r="H516" i="2" s="1"/>
  <c r="H117" i="10" s="1"/>
  <c r="D370" i="4"/>
  <c r="H66" i="2" s="1"/>
  <c r="D303" i="4"/>
  <c r="H388" i="2" s="1"/>
  <c r="H96" i="10" s="1"/>
  <c r="D260" i="4"/>
  <c r="H170" i="2" s="1"/>
  <c r="H44" i="10" s="1"/>
  <c r="D310" i="4"/>
  <c r="H286" i="2" s="1"/>
  <c r="H69" i="10" s="1"/>
  <c r="D368" i="4"/>
  <c r="H61" i="2" s="1"/>
  <c r="D347" i="4"/>
  <c r="H585" i="2" s="1"/>
  <c r="H125" i="10" s="1"/>
  <c r="D397" i="4"/>
  <c r="H573" i="2" s="1"/>
  <c r="D389" i="4"/>
  <c r="H461" i="2" s="1"/>
  <c r="D376" i="4"/>
  <c r="H265" i="2" s="1"/>
  <c r="E57" i="12"/>
  <c r="E25" i="8"/>
  <c r="D44" i="10"/>
  <c r="D73" i="10"/>
  <c r="E32" i="13"/>
  <c r="E16" i="11"/>
  <c r="D48" i="10"/>
  <c r="D469" i="4"/>
  <c r="H327" i="2" s="1"/>
  <c r="D422" i="4"/>
  <c r="H73" i="2" s="1"/>
  <c r="D418" i="4"/>
  <c r="H98" i="2" s="1"/>
  <c r="D489" i="4"/>
  <c r="H263" i="2" s="1"/>
  <c r="D512" i="4"/>
  <c r="H341" i="2" s="1"/>
  <c r="D492" i="4"/>
  <c r="H303" i="2" s="1"/>
  <c r="D497" i="4"/>
  <c r="H323" i="2" s="1"/>
  <c r="D478" i="4"/>
  <c r="H221" i="2" s="1"/>
  <c r="D549" i="4"/>
  <c r="H509" i="2" s="1"/>
  <c r="D417" i="4"/>
  <c r="H44" i="2" s="1"/>
  <c r="D529" i="4"/>
  <c r="H342" i="2" s="1"/>
  <c r="D498" i="4"/>
  <c r="H244" i="2" s="1"/>
  <c r="D586" i="4"/>
  <c r="H499" i="2" s="1"/>
  <c r="D555" i="4"/>
  <c r="H481" i="2" s="1"/>
  <c r="D568" i="4"/>
  <c r="H232" i="2" s="1"/>
  <c r="D581" i="4"/>
  <c r="H271" i="2" s="1"/>
  <c r="D584" i="4"/>
  <c r="H353" i="2" s="1"/>
  <c r="D597" i="4"/>
  <c r="H524" i="2" s="1"/>
  <c r="D589" i="4"/>
  <c r="H363" i="2" s="1"/>
  <c r="D583" i="4"/>
  <c r="H448" i="2" s="1"/>
  <c r="D644" i="4"/>
  <c r="H620" i="2" s="1"/>
  <c r="D596" i="4"/>
  <c r="H545" i="2" s="1"/>
  <c r="D592" i="4"/>
  <c r="H449" i="2" s="1"/>
  <c r="D635" i="4"/>
  <c r="H565" i="2" s="1"/>
  <c r="D647" i="4"/>
  <c r="H601" i="2" s="1"/>
  <c r="D18" i="9"/>
  <c r="D50" i="10"/>
  <c r="E108" i="17"/>
  <c r="E18" i="16"/>
  <c r="E66" i="17"/>
  <c r="E13" i="16"/>
  <c r="E17" i="12"/>
  <c r="E11" i="6"/>
  <c r="D37" i="10"/>
  <c r="D6" i="9"/>
  <c r="D4" i="10"/>
  <c r="D101" i="10"/>
  <c r="D31" i="9"/>
  <c r="D54" i="9"/>
  <c r="D135" i="10"/>
  <c r="D61" i="10"/>
  <c r="D49" i="9"/>
  <c r="D134" i="10"/>
  <c r="E43" i="13"/>
  <c r="E24" i="7"/>
  <c r="D95" i="10"/>
  <c r="D38" i="9"/>
  <c r="E88" i="13"/>
  <c r="E42" i="11"/>
  <c r="E66" i="12"/>
  <c r="E41" i="6"/>
  <c r="E216" i="17"/>
  <c r="E154" i="15"/>
  <c r="D24" i="9"/>
  <c r="E70" i="12"/>
  <c r="E32" i="8"/>
  <c r="D110" i="10"/>
  <c r="O23" i="3"/>
  <c r="V23" i="3"/>
  <c r="W23" i="3" s="1"/>
  <c r="E101" i="12"/>
  <c r="E52" i="8"/>
  <c r="E246" i="17"/>
  <c r="E87" i="16"/>
  <c r="D98" i="10"/>
  <c r="D132" i="10"/>
  <c r="E208" i="17"/>
  <c r="E156" i="15"/>
  <c r="E111" i="17"/>
  <c r="E94" i="15"/>
  <c r="D76" i="10"/>
  <c r="E16" i="12"/>
  <c r="E10" i="6"/>
  <c r="E84" i="13"/>
  <c r="E45" i="7"/>
  <c r="D136" i="10"/>
  <c r="E204" i="17"/>
  <c r="E55" i="16"/>
  <c r="D44" i="9"/>
  <c r="D109" i="10"/>
  <c r="E177" i="17"/>
  <c r="E141" i="15"/>
  <c r="D46" i="9"/>
  <c r="D88" i="10"/>
  <c r="E171" i="17"/>
  <c r="E35" i="16"/>
  <c r="D12" i="9"/>
  <c r="E33" i="12"/>
  <c r="E14" i="8"/>
  <c r="E50" i="17"/>
  <c r="E10" i="16"/>
  <c r="D21" i="4"/>
  <c r="H161" i="2" s="1"/>
  <c r="D66" i="4"/>
  <c r="H140" i="2" s="1"/>
  <c r="D33" i="4"/>
  <c r="H195" i="2" s="1"/>
  <c r="D110" i="4"/>
  <c r="H151" i="2" s="1"/>
  <c r="D45" i="4"/>
  <c r="H507" i="2" s="1"/>
  <c r="D22" i="4"/>
  <c r="H173" i="2" s="1"/>
  <c r="D105" i="4"/>
  <c r="H31" i="2" s="1"/>
  <c r="D44" i="4"/>
  <c r="H501" i="2" s="1"/>
  <c r="D200" i="4"/>
  <c r="H596" i="2" s="1"/>
  <c r="H48" i="9" s="1"/>
  <c r="D107" i="4"/>
  <c r="H105" i="2" s="1"/>
  <c r="D172" i="4"/>
  <c r="H403" i="2" s="1"/>
  <c r="H21" i="9" s="1"/>
  <c r="D94" i="4"/>
  <c r="H599" i="2" s="1"/>
  <c r="D167" i="4"/>
  <c r="H380" i="2" s="1"/>
  <c r="H18" i="9" s="1"/>
  <c r="D101" i="4"/>
  <c r="H11" i="2" s="1"/>
  <c r="D152" i="4"/>
  <c r="H648" i="2" s="1"/>
  <c r="D63" i="4"/>
  <c r="H135" i="2" s="1"/>
  <c r="D113" i="4"/>
  <c r="H134" i="2" s="1"/>
  <c r="D163" i="4"/>
  <c r="H184" i="2" s="1"/>
  <c r="H9" i="9" s="1"/>
  <c r="D252" i="4"/>
  <c r="H123" i="2" s="1"/>
  <c r="H32" i="10" s="1"/>
  <c r="D192" i="4"/>
  <c r="H618" i="2" s="1"/>
  <c r="H51" i="9" s="1"/>
  <c r="D243" i="4"/>
  <c r="H106" i="2" s="1"/>
  <c r="H27" i="10" s="1"/>
  <c r="D199" i="4"/>
  <c r="H593" i="2" s="1"/>
  <c r="H46" i="9" s="1"/>
  <c r="D282" i="4"/>
  <c r="H237" i="2" s="1"/>
  <c r="H63" i="10" s="1"/>
  <c r="D211" i="4"/>
  <c r="H446" i="2" s="1"/>
  <c r="H48" i="6" s="1"/>
  <c r="D168" i="4"/>
  <c r="H311" i="2" s="1"/>
  <c r="H14" i="9" s="1"/>
  <c r="D218" i="4"/>
  <c r="H617" i="2" s="1"/>
  <c r="H61" i="6" s="1"/>
  <c r="D327" i="4"/>
  <c r="H424" i="2" s="1"/>
  <c r="H105" i="10" s="1"/>
  <c r="D279" i="4"/>
  <c r="H202" i="2" s="1"/>
  <c r="H53" i="10" s="1"/>
  <c r="D341" i="4"/>
  <c r="H571" i="2" s="1"/>
  <c r="H122" i="10" s="1"/>
  <c r="D281" i="4"/>
  <c r="H278" i="2" s="1"/>
  <c r="H66" i="10" s="1"/>
  <c r="D332" i="4"/>
  <c r="H530" i="2" s="1"/>
  <c r="H118" i="10" s="1"/>
  <c r="D258" i="4"/>
  <c r="H158" i="2" s="1"/>
  <c r="H41" i="10" s="1"/>
  <c r="D308" i="4"/>
  <c r="H371" i="2" s="1"/>
  <c r="H93" i="10" s="1"/>
  <c r="D265" i="4"/>
  <c r="H187" i="2" s="1"/>
  <c r="H48" i="10" s="1"/>
  <c r="D315" i="4"/>
  <c r="H404" i="2" s="1"/>
  <c r="H101" i="10" s="1"/>
  <c r="D373" i="4"/>
  <c r="H162" i="2" s="1"/>
  <c r="D352" i="4"/>
  <c r="H634" i="2" s="1"/>
  <c r="H134" i="10" s="1"/>
  <c r="D344" i="4"/>
  <c r="H580" i="2" s="1"/>
  <c r="H123" i="10" s="1"/>
  <c r="D394" i="4"/>
  <c r="H482" i="2" s="1"/>
  <c r="D381" i="4"/>
  <c r="H293" i="2" s="1"/>
  <c r="D94" i="10"/>
  <c r="D58" i="10"/>
  <c r="D404" i="4"/>
  <c r="H36" i="2" s="1"/>
  <c r="D473" i="4"/>
  <c r="H174" i="2" s="1"/>
  <c r="D459" i="4"/>
  <c r="H224" i="2" s="1"/>
  <c r="D559" i="4"/>
  <c r="H642" i="2" s="1"/>
  <c r="D562" i="4"/>
  <c r="H112" i="2" s="1"/>
  <c r="D495" i="4"/>
  <c r="H262" i="2" s="1"/>
  <c r="D502" i="4"/>
  <c r="H385" i="2" s="1"/>
  <c r="D488" i="4"/>
  <c r="H347" i="2" s="1"/>
  <c r="D434" i="4"/>
  <c r="H157" i="2" s="1"/>
  <c r="D427" i="4"/>
  <c r="H125" i="2" s="1"/>
  <c r="D410" i="4"/>
  <c r="H42" i="2" s="1"/>
  <c r="D532" i="4"/>
  <c r="H428" i="2" s="1"/>
  <c r="D601" i="4"/>
  <c r="H452" i="2" s="1"/>
  <c r="D565" i="4"/>
  <c r="H197" i="2" s="1"/>
  <c r="D578" i="4"/>
  <c r="H318" i="2" s="1"/>
  <c r="D617" i="4"/>
  <c r="H558" i="2" s="1"/>
  <c r="D517" i="4"/>
  <c r="H433" i="2" s="1"/>
  <c r="D500" i="4"/>
  <c r="H391" i="2" s="1"/>
  <c r="D621" i="4"/>
  <c r="H566" i="2" s="1"/>
  <c r="D590" i="4"/>
  <c r="H441" i="2" s="1"/>
  <c r="D600" i="4"/>
  <c r="H523" i="2" s="1"/>
  <c r="D606" i="4"/>
  <c r="H512" i="2" s="1"/>
  <c r="D602" i="4"/>
  <c r="H586" i="2" s="1"/>
  <c r="D641" i="4"/>
  <c r="H619" i="2" s="1"/>
  <c r="D650" i="4"/>
  <c r="H614" i="2" s="1"/>
  <c r="D87" i="10"/>
  <c r="E189" i="17"/>
  <c r="E45" i="16"/>
  <c r="D70" i="10"/>
  <c r="E69" i="17"/>
  <c r="E60" i="15"/>
  <c r="E31" i="12"/>
  <c r="E12" i="8"/>
  <c r="E118" i="17"/>
  <c r="E21" i="16"/>
  <c r="D22" i="10"/>
  <c r="D15" i="10"/>
  <c r="D11" i="10"/>
  <c r="D3" i="9"/>
  <c r="E96" i="12"/>
  <c r="E48" i="8"/>
  <c r="D104" i="10"/>
  <c r="D86" i="10"/>
  <c r="E31" i="11"/>
  <c r="E66" i="13"/>
  <c r="E136" i="17"/>
  <c r="E115" i="15"/>
  <c r="D124" i="10"/>
  <c r="E72" i="13"/>
  <c r="E40" i="7"/>
  <c r="E59" i="12"/>
  <c r="E37" i="6"/>
  <c r="D108" i="10"/>
  <c r="E92" i="13"/>
  <c r="E43" i="11"/>
  <c r="E169" i="17"/>
  <c r="E34" i="16"/>
  <c r="D130" i="10"/>
  <c r="E78" i="13"/>
  <c r="E37" i="11"/>
  <c r="D40" i="9"/>
  <c r="D125" i="10"/>
  <c r="D116" i="10"/>
  <c r="E195" i="17"/>
  <c r="E150" i="15"/>
  <c r="D114" i="10"/>
  <c r="D26" i="9"/>
  <c r="E248" i="17"/>
  <c r="E89" i="16"/>
  <c r="E161" i="17"/>
  <c r="E129" i="15"/>
  <c r="D123" i="10"/>
  <c r="E48" i="13"/>
  <c r="E28" i="7"/>
  <c r="E83" i="12"/>
  <c r="E51" i="6"/>
  <c r="E87" i="12"/>
  <c r="E55" i="6"/>
  <c r="D48" i="9"/>
  <c r="D42" i="9"/>
  <c r="D53" i="9"/>
  <c r="E112" i="17"/>
  <c r="E19" i="16"/>
  <c r="D50" i="9"/>
  <c r="D118" i="10"/>
  <c r="E63" i="12"/>
  <c r="E40" i="6"/>
  <c r="E47" i="13"/>
  <c r="E21" i="11"/>
  <c r="D27" i="9"/>
  <c r="E199" i="17"/>
  <c r="E52" i="16"/>
  <c r="D99" i="10"/>
  <c r="D29" i="9"/>
  <c r="D83" i="10"/>
  <c r="E143" i="17"/>
  <c r="E27" i="16"/>
  <c r="E77" i="12"/>
  <c r="E37" i="8"/>
  <c r="D20" i="9"/>
  <c r="D106" i="10"/>
  <c r="D28" i="9"/>
  <c r="E117" i="17"/>
  <c r="E99" i="15"/>
  <c r="D65" i="10"/>
  <c r="E53" i="17"/>
  <c r="E43" i="15"/>
  <c r="D91" i="10"/>
  <c r="D75" i="10"/>
  <c r="D55" i="10"/>
  <c r="D26" i="4"/>
  <c r="H210" i="2" s="1"/>
  <c r="D75" i="4"/>
  <c r="H261" i="2" s="1"/>
  <c r="D38" i="4"/>
  <c r="H357" i="2" s="1"/>
  <c r="D135" i="4"/>
  <c r="H430" i="2" s="1"/>
  <c r="D54" i="4"/>
  <c r="D27" i="4"/>
  <c r="H252" i="2" s="1"/>
  <c r="D130" i="4"/>
  <c r="H375" i="2" s="1"/>
  <c r="D48" i="4"/>
  <c r="H623" i="2" s="1"/>
  <c r="D225" i="4"/>
  <c r="D112" i="4"/>
  <c r="H175" i="2" s="1"/>
  <c r="D146" i="4"/>
  <c r="H629" i="2" s="1"/>
  <c r="D99" i="4"/>
  <c r="H607" i="2" s="1"/>
  <c r="D142" i="4"/>
  <c r="H575" i="2" s="1"/>
  <c r="D106" i="4"/>
  <c r="H117" i="2" s="1"/>
  <c r="D157" i="4"/>
  <c r="D68" i="4"/>
  <c r="H183" i="2" s="1"/>
  <c r="D118" i="4"/>
  <c r="H188" i="2" s="1"/>
  <c r="D164" i="4"/>
  <c r="H335" i="2" s="1"/>
  <c r="H16" i="9" s="1"/>
  <c r="D262" i="4"/>
  <c r="H186" i="2" s="1"/>
  <c r="H47" i="10" s="1"/>
  <c r="D197" i="4"/>
  <c r="H602" i="2" s="1"/>
  <c r="H50" i="9" s="1"/>
  <c r="D244" i="4"/>
  <c r="H132" i="2" s="1"/>
  <c r="H37" i="10" s="1"/>
  <c r="D204" i="4"/>
  <c r="H598" i="2" s="1"/>
  <c r="H49" i="9" s="1"/>
  <c r="D307" i="4"/>
  <c r="H337" i="2" s="1"/>
  <c r="H83" i="10" s="1"/>
  <c r="D216" i="4"/>
  <c r="H511" i="2" s="1"/>
  <c r="H56" i="6" s="1"/>
  <c r="D173" i="4"/>
  <c r="H451" i="2" s="1"/>
  <c r="H23" i="9" s="1"/>
  <c r="D223" i="4"/>
  <c r="H8" i="2" s="1"/>
  <c r="H5" i="10" s="1"/>
  <c r="D331" i="4"/>
  <c r="H436" i="2" s="1"/>
  <c r="H106" i="10" s="1"/>
  <c r="D284" i="4"/>
  <c r="H298" i="2" s="1"/>
  <c r="H72" i="10" s="1"/>
  <c r="D342" i="4"/>
  <c r="H587" i="2" s="1"/>
  <c r="H126" i="10" s="1"/>
  <c r="D286" i="4"/>
  <c r="H300" i="2" s="1"/>
  <c r="H73" i="10" s="1"/>
  <c r="D335" i="4"/>
  <c r="H420" i="2" s="1"/>
  <c r="H104" i="10" s="1"/>
  <c r="D263" i="4"/>
  <c r="H192" i="2" s="1"/>
  <c r="H49" i="10" s="1"/>
  <c r="D313" i="4"/>
  <c r="H350" i="2" s="1"/>
  <c r="H86" i="10" s="1"/>
  <c r="D270" i="4"/>
  <c r="H196" i="2" s="1"/>
  <c r="H51" i="10" s="1"/>
  <c r="D320" i="4"/>
  <c r="H407" i="2" s="1"/>
  <c r="H102" i="10" s="1"/>
  <c r="D378" i="4"/>
  <c r="H276" i="2" s="1"/>
  <c r="D357" i="4"/>
  <c r="H637" i="2" s="1"/>
  <c r="H136" i="10" s="1"/>
  <c r="D349" i="4"/>
  <c r="H621" i="2" s="1"/>
  <c r="H131" i="10" s="1"/>
  <c r="D399" i="4"/>
  <c r="H613" i="2" s="1"/>
  <c r="D386" i="4"/>
  <c r="H387" i="2" s="1"/>
  <c r="D14" i="9"/>
  <c r="E79" i="17"/>
  <c r="E70" i="15"/>
  <c r="D406" i="4"/>
  <c r="H29" i="2" s="1"/>
  <c r="D412" i="4"/>
  <c r="H60" i="2" s="1"/>
  <c r="D413" i="4"/>
  <c r="H58" i="2" s="1"/>
  <c r="D426" i="4"/>
  <c r="H43" i="2" s="1"/>
  <c r="D579" i="4"/>
  <c r="H304" i="2" s="1"/>
  <c r="D499" i="4"/>
  <c r="H419" i="2" s="1"/>
  <c r="D505" i="4"/>
  <c r="H268" i="2" s="1"/>
  <c r="D522" i="4"/>
  <c r="H352" i="2" s="1"/>
  <c r="D444" i="4"/>
  <c r="H160" i="2" s="1"/>
  <c r="D437" i="4"/>
  <c r="H144" i="2" s="1"/>
  <c r="D420" i="4"/>
  <c r="H70" i="2" s="1"/>
  <c r="D506" i="4"/>
  <c r="H294" i="2" s="1"/>
  <c r="D607" i="4"/>
  <c r="H537" i="2" s="1"/>
  <c r="D575" i="4"/>
  <c r="H346" i="2" s="1"/>
  <c r="D611" i="4"/>
  <c r="H540" i="2" s="1"/>
  <c r="D504" i="4"/>
  <c r="H308" i="2" s="1"/>
  <c r="D527" i="4"/>
  <c r="H405" i="2" s="1"/>
  <c r="D510" i="4"/>
  <c r="H610" i="2" s="1"/>
  <c r="D503" i="4"/>
  <c r="H338" i="2" s="1"/>
  <c r="D627" i="4"/>
  <c r="H546" i="2" s="1"/>
  <c r="D610" i="4"/>
  <c r="H536" i="2" s="1"/>
  <c r="D616" i="4"/>
  <c r="H603" i="2" s="1"/>
  <c r="D612" i="4"/>
  <c r="H569" i="2" s="1"/>
  <c r="D648" i="4"/>
  <c r="H551" i="2" s="1"/>
  <c r="D646" i="4"/>
  <c r="H567" i="2" s="1"/>
  <c r="E49" i="12"/>
  <c r="E23" i="8"/>
  <c r="D47" i="10"/>
  <c r="E105" i="17"/>
  <c r="E100" i="15"/>
  <c r="E33" i="13"/>
  <c r="E17" i="11"/>
  <c r="D29" i="10"/>
  <c r="D68" i="10"/>
  <c r="D14" i="10"/>
  <c r="F119" i="10" l="1"/>
  <c r="D44" i="8"/>
  <c r="F53" i="9"/>
  <c r="D19" i="8"/>
  <c r="F21" i="9"/>
  <c r="D3" i="11"/>
  <c r="D90" i="12"/>
  <c r="D31" i="8"/>
  <c r="D49" i="7"/>
  <c r="D168" i="17"/>
  <c r="D40" i="13"/>
  <c r="F3" i="10"/>
  <c r="D84" i="17"/>
  <c r="D226" i="17"/>
  <c r="D104" i="17"/>
  <c r="D93" i="17"/>
  <c r="D53" i="13"/>
  <c r="D24" i="13"/>
  <c r="D37" i="13"/>
  <c r="D121" i="15"/>
  <c r="D132" i="15"/>
  <c r="D24" i="17"/>
  <c r="D71" i="13"/>
  <c r="D44" i="7"/>
  <c r="D82" i="16"/>
  <c r="D16" i="8"/>
  <c r="D40" i="11"/>
  <c r="D26" i="11"/>
  <c r="D6" i="7"/>
  <c r="D39" i="17"/>
  <c r="F136" i="10"/>
  <c r="D136" i="15"/>
  <c r="D67" i="12"/>
  <c r="D38" i="7"/>
  <c r="D36" i="7"/>
  <c r="D47" i="8"/>
  <c r="D46" i="7"/>
  <c r="D3" i="7"/>
  <c r="D31" i="7"/>
  <c r="D95" i="17"/>
  <c r="F24" i="9"/>
  <c r="D236" i="17"/>
  <c r="D56" i="17"/>
  <c r="D36" i="11"/>
  <c r="D24" i="11"/>
  <c r="D4" i="8"/>
  <c r="D50" i="7"/>
  <c r="D40" i="8"/>
  <c r="F124" i="10"/>
  <c r="D28" i="8"/>
  <c r="D42" i="7"/>
  <c r="D46" i="6"/>
  <c r="D43" i="12"/>
  <c r="D205" i="17"/>
  <c r="F34" i="9"/>
  <c r="F105" i="10"/>
  <c r="H154" i="17"/>
  <c r="H122" i="15"/>
  <c r="D248" i="17"/>
  <c r="H147" i="17"/>
  <c r="H30" i="16"/>
  <c r="D154" i="17"/>
  <c r="D8" i="13"/>
  <c r="H33" i="17"/>
  <c r="H5" i="16"/>
  <c r="H73" i="17"/>
  <c r="H59" i="15"/>
  <c r="F121" i="10"/>
  <c r="D105" i="17"/>
  <c r="D70" i="15"/>
  <c r="H58" i="17"/>
  <c r="H49" i="15"/>
  <c r="D10" i="16"/>
  <c r="D9" i="12"/>
  <c r="D38" i="15"/>
  <c r="D21" i="12"/>
  <c r="D218" i="17"/>
  <c r="D8" i="8"/>
  <c r="D26" i="12"/>
  <c r="D89" i="17"/>
  <c r="D33" i="13"/>
  <c r="D49" i="12"/>
  <c r="H181" i="17"/>
  <c r="H160" i="15"/>
  <c r="H134" i="17"/>
  <c r="H111" i="15"/>
  <c r="D17" i="16"/>
  <c r="H88" i="13"/>
  <c r="H42" i="11"/>
  <c r="G17" i="3"/>
  <c r="H3" i="2"/>
  <c r="H2" i="10" s="1"/>
  <c r="G54" i="10" s="1"/>
  <c r="F203" i="2" s="1"/>
  <c r="D17" i="6"/>
  <c r="D245" i="17"/>
  <c r="D143" i="17"/>
  <c r="D21" i="11"/>
  <c r="D87" i="12"/>
  <c r="D48" i="13"/>
  <c r="D89" i="16"/>
  <c r="D237" i="17"/>
  <c r="D62" i="13"/>
  <c r="D78" i="13"/>
  <c r="D230" i="17"/>
  <c r="D75" i="13"/>
  <c r="D30" i="11"/>
  <c r="D24" i="15"/>
  <c r="D52" i="15"/>
  <c r="D27" i="15"/>
  <c r="D4" i="11"/>
  <c r="D22" i="8"/>
  <c r="H246" i="17"/>
  <c r="H87" i="16"/>
  <c r="H40" i="17"/>
  <c r="H7" i="16"/>
  <c r="H251" i="17"/>
  <c r="H161" i="15"/>
  <c r="D73" i="17"/>
  <c r="H5" i="12"/>
  <c r="H3" i="8"/>
  <c r="H32" i="12"/>
  <c r="H13" i="8"/>
  <c r="D124" i="17"/>
  <c r="D213" i="17"/>
  <c r="D141" i="15"/>
  <c r="D111" i="17"/>
  <c r="D29" i="11"/>
  <c r="D32" i="11"/>
  <c r="D43" i="13"/>
  <c r="D23" i="11"/>
  <c r="D42" i="17"/>
  <c r="D10" i="17"/>
  <c r="D9" i="17"/>
  <c r="D65" i="12"/>
  <c r="H239" i="17"/>
  <c r="H81" i="16"/>
  <c r="H50" i="17"/>
  <c r="H10" i="16"/>
  <c r="H120" i="17"/>
  <c r="H105" i="15"/>
  <c r="H49" i="13"/>
  <c r="H22" i="11"/>
  <c r="H7" i="12"/>
  <c r="H4" i="8"/>
  <c r="D19" i="13"/>
  <c r="F52" i="10"/>
  <c r="D185" i="17"/>
  <c r="D119" i="15"/>
  <c r="D238" i="17"/>
  <c r="D85" i="13"/>
  <c r="D75" i="12"/>
  <c r="D34" i="8"/>
  <c r="D90" i="16"/>
  <c r="D211" i="17"/>
  <c r="D35" i="6"/>
  <c r="D8" i="15"/>
  <c r="H41" i="17"/>
  <c r="H8" i="16"/>
  <c r="H78" i="17"/>
  <c r="H61" i="15"/>
  <c r="D19" i="12"/>
  <c r="H68" i="13"/>
  <c r="H32" i="11"/>
  <c r="D83" i="17"/>
  <c r="D6" i="6"/>
  <c r="D91" i="13"/>
  <c r="D62" i="15"/>
  <c r="D113" i="15"/>
  <c r="D155" i="17"/>
  <c r="D38" i="17"/>
  <c r="H186" i="17"/>
  <c r="H43" i="16"/>
  <c r="H195" i="17"/>
  <c r="H150" i="15"/>
  <c r="H14" i="17"/>
  <c r="H15" i="15"/>
  <c r="H70" i="13"/>
  <c r="H33" i="11"/>
  <c r="H102" i="12"/>
  <c r="H53" i="8"/>
  <c r="H51" i="12"/>
  <c r="H31" i="6"/>
  <c r="D85" i="15"/>
  <c r="F49" i="10"/>
  <c r="D41" i="15"/>
  <c r="D72" i="17"/>
  <c r="H176" i="17"/>
  <c r="H138" i="15"/>
  <c r="H117" i="17"/>
  <c r="H99" i="15"/>
  <c r="H57" i="12"/>
  <c r="H25" i="8"/>
  <c r="H27" i="12"/>
  <c r="H19" i="6"/>
  <c r="D46" i="13"/>
  <c r="F11" i="10"/>
  <c r="F15" i="10"/>
  <c r="F22" i="10"/>
  <c r="F70" i="10"/>
  <c r="F58" i="10"/>
  <c r="F94" i="10"/>
  <c r="F64" i="10"/>
  <c r="F86" i="10"/>
  <c r="F104" i="10"/>
  <c r="F114" i="10"/>
  <c r="F130" i="10"/>
  <c r="F98" i="10"/>
  <c r="F116" i="10"/>
  <c r="F110" i="10"/>
  <c r="F101" i="10"/>
  <c r="F135" i="10"/>
  <c r="F14" i="10"/>
  <c r="F68" i="10"/>
  <c r="F29" i="10"/>
  <c r="F50" i="10"/>
  <c r="F48" i="10"/>
  <c r="F73" i="10"/>
  <c r="F44" i="10"/>
  <c r="F74" i="10"/>
  <c r="F83" i="10"/>
  <c r="F125" i="10"/>
  <c r="F138" i="10"/>
  <c r="F88" i="10"/>
  <c r="F123" i="10"/>
  <c r="F134" i="10"/>
  <c r="F133" i="10"/>
  <c r="F23" i="10"/>
  <c r="F9" i="10"/>
  <c r="F6" i="10"/>
  <c r="F81" i="10"/>
  <c r="F132" i="10"/>
  <c r="F69" i="10"/>
  <c r="F4" i="10"/>
  <c r="F37" i="10"/>
  <c r="F60" i="10"/>
  <c r="F93" i="10"/>
  <c r="F71" i="10"/>
  <c r="F90" i="10"/>
  <c r="F115" i="10"/>
  <c r="F120" i="10"/>
  <c r="F126" i="10"/>
  <c r="F10" i="10"/>
  <c r="F25" i="10"/>
  <c r="F28" i="10"/>
  <c r="F32" i="10"/>
  <c r="F20" i="10"/>
  <c r="F21" i="10"/>
  <c r="F30" i="10"/>
  <c r="F16" i="10"/>
  <c r="F17" i="10"/>
  <c r="F100" i="10"/>
  <c r="F59" i="10"/>
  <c r="F45" i="10"/>
  <c r="F42" i="10"/>
  <c r="F72" i="10"/>
  <c r="F8" i="10"/>
  <c r="F26" i="10"/>
  <c r="F54" i="10"/>
  <c r="F85" i="10"/>
  <c r="F92" i="10"/>
  <c r="F77" i="10"/>
  <c r="F112" i="10"/>
  <c r="F131" i="10"/>
  <c r="F7" i="10"/>
  <c r="F34" i="10"/>
  <c r="F24" i="10"/>
  <c r="F13" i="10"/>
  <c r="F27" i="10"/>
  <c r="F35" i="10"/>
  <c r="F43" i="10"/>
  <c r="F2" i="10"/>
  <c r="F89" i="10"/>
  <c r="F80" i="10"/>
  <c r="F38" i="10"/>
  <c r="F117" i="10"/>
  <c r="F51" i="10"/>
  <c r="F61" i="10"/>
  <c r="F102" i="10"/>
  <c r="F129" i="10"/>
  <c r="F127" i="10"/>
  <c r="F18" i="10"/>
  <c r="F63" i="10"/>
  <c r="F5" i="10"/>
  <c r="F36" i="10"/>
  <c r="F31" i="10"/>
  <c r="F96" i="10"/>
  <c r="F107" i="10"/>
  <c r="F39" i="10"/>
  <c r="F46" i="10"/>
  <c r="F137" i="10"/>
  <c r="F106" i="10"/>
  <c r="F97" i="10"/>
  <c r="F19" i="10"/>
  <c r="F12" i="10"/>
  <c r="F82" i="10"/>
  <c r="F78" i="10"/>
  <c r="F55" i="10"/>
  <c r="F75" i="10"/>
  <c r="D45" i="12"/>
  <c r="D47" i="16"/>
  <c r="D30" i="6"/>
  <c r="D81" i="12"/>
  <c r="D50" i="8"/>
  <c r="D27" i="6"/>
  <c r="D219" i="17"/>
  <c r="D94" i="12"/>
  <c r="D16" i="6"/>
  <c r="H152" i="17"/>
  <c r="H31" i="16"/>
  <c r="H94" i="17"/>
  <c r="H82" i="15"/>
  <c r="H26" i="17"/>
  <c r="H26" i="15"/>
  <c r="H44" i="13"/>
  <c r="H25" i="7"/>
  <c r="H41" i="13"/>
  <c r="H22" i="7"/>
  <c r="D27" i="7"/>
  <c r="D28" i="6"/>
  <c r="F23" i="9"/>
  <c r="D90" i="17"/>
  <c r="D70" i="16"/>
  <c r="D60" i="12"/>
  <c r="D86" i="13"/>
  <c r="D224" i="17"/>
  <c r="D161" i="15"/>
  <c r="D29" i="13"/>
  <c r="H248" i="17"/>
  <c r="H89" i="16"/>
  <c r="H146" i="17"/>
  <c r="H126" i="15"/>
  <c r="H34" i="17"/>
  <c r="H31" i="15"/>
  <c r="D22" i="11"/>
  <c r="D172" i="17"/>
  <c r="H86" i="12"/>
  <c r="H54" i="6"/>
  <c r="D86" i="17"/>
  <c r="D148" i="15"/>
  <c r="D120" i="15"/>
  <c r="D23" i="17"/>
  <c r="H135" i="17"/>
  <c r="H25" i="16"/>
  <c r="H148" i="17"/>
  <c r="H116" i="15"/>
  <c r="H53" i="17"/>
  <c r="H43" i="15"/>
  <c r="H12" i="11"/>
  <c r="H16" i="13"/>
  <c r="H71" i="12"/>
  <c r="H33" i="8"/>
  <c r="H18" i="12"/>
  <c r="H12" i="6"/>
  <c r="D9" i="8"/>
  <c r="D47" i="15"/>
  <c r="D57" i="16"/>
  <c r="D60" i="6"/>
  <c r="D158" i="15"/>
  <c r="D30" i="7"/>
  <c r="H131" i="17"/>
  <c r="H23" i="16"/>
  <c r="H180" i="17"/>
  <c r="H39" i="16"/>
  <c r="H56" i="17"/>
  <c r="H53" i="15"/>
  <c r="D103" i="17"/>
  <c r="H66" i="13"/>
  <c r="H31" i="11"/>
  <c r="H45" i="13"/>
  <c r="H26" i="7"/>
  <c r="H61" i="12"/>
  <c r="H38" i="6"/>
  <c r="D88" i="15"/>
  <c r="D50" i="12"/>
  <c r="D99" i="12"/>
  <c r="D138" i="15"/>
  <c r="D16" i="17"/>
  <c r="D17" i="17"/>
  <c r="D3" i="12"/>
  <c r="D22" i="12"/>
  <c r="H149" i="17"/>
  <c r="H119" i="15"/>
  <c r="H113" i="17"/>
  <c r="H91" i="15"/>
  <c r="D34" i="15"/>
  <c r="H47" i="12"/>
  <c r="H22" i="8"/>
  <c r="H17" i="12"/>
  <c r="H11" i="6"/>
  <c r="F33" i="10"/>
  <c r="D242" i="17"/>
  <c r="D88" i="16"/>
  <c r="F103" i="10"/>
  <c r="D71" i="12"/>
  <c r="D23" i="15"/>
  <c r="H173" i="17"/>
  <c r="H36" i="16"/>
  <c r="H121" i="17"/>
  <c r="H101" i="15"/>
  <c r="D49" i="13"/>
  <c r="H68" i="12"/>
  <c r="H30" i="8"/>
  <c r="H89" i="12"/>
  <c r="H58" i="6"/>
  <c r="D94" i="13"/>
  <c r="D151" i="17"/>
  <c r="D100" i="17"/>
  <c r="D6" i="15"/>
  <c r="D52" i="13"/>
  <c r="H220" i="17"/>
  <c r="H64" i="16"/>
  <c r="H189" i="17"/>
  <c r="H45" i="16"/>
  <c r="H60" i="17"/>
  <c r="H46" i="15"/>
  <c r="H27" i="11"/>
  <c r="H60" i="13"/>
  <c r="H53" i="13"/>
  <c r="H31" i="7"/>
  <c r="H66" i="12"/>
  <c r="H41" i="6"/>
  <c r="D14" i="6"/>
  <c r="D54" i="17"/>
  <c r="D93" i="12"/>
  <c r="D35" i="11"/>
  <c r="D207" i="17"/>
  <c r="D92" i="12"/>
  <c r="H209" i="17"/>
  <c r="H58" i="16"/>
  <c r="H118" i="17"/>
  <c r="H21" i="16"/>
  <c r="H27" i="17"/>
  <c r="H24" i="15"/>
  <c r="H21" i="13"/>
  <c r="H8" i="7"/>
  <c r="D39" i="12"/>
  <c r="D83" i="15"/>
  <c r="D21" i="16"/>
  <c r="H2" i="13"/>
  <c r="H2" i="11"/>
  <c r="D235" i="17"/>
  <c r="H17" i="13"/>
  <c r="H6" i="7"/>
  <c r="D54" i="15"/>
  <c r="D110" i="15"/>
  <c r="D247" i="17"/>
  <c r="D106" i="17"/>
  <c r="D104" i="15"/>
  <c r="D97" i="12"/>
  <c r="D9" i="15"/>
  <c r="D2" i="6"/>
  <c r="H250" i="17"/>
  <c r="H91" i="16"/>
  <c r="H169" i="17"/>
  <c r="H34" i="16"/>
  <c r="H95" i="17"/>
  <c r="H74" i="15"/>
  <c r="D25" i="6"/>
  <c r="H46" i="13"/>
  <c r="H27" i="7"/>
  <c r="D9" i="7"/>
  <c r="D44" i="6"/>
  <c r="D30" i="8"/>
  <c r="D139" i="15"/>
  <c r="D8" i="12"/>
  <c r="D30" i="13"/>
  <c r="D15" i="7"/>
  <c r="H235" i="17"/>
  <c r="H78" i="16"/>
  <c r="H205" i="17"/>
  <c r="H153" i="15"/>
  <c r="H70" i="17"/>
  <c r="H64" i="15"/>
  <c r="D14" i="16"/>
  <c r="H100" i="12"/>
  <c r="H51" i="8"/>
  <c r="H6" i="13"/>
  <c r="H3" i="7"/>
  <c r="D21" i="8"/>
  <c r="D34" i="6"/>
  <c r="D64" i="16"/>
  <c r="D2" i="11"/>
  <c r="D6" i="8"/>
  <c r="H188" i="17"/>
  <c r="H44" i="16"/>
  <c r="H156" i="17"/>
  <c r="H124" i="15"/>
  <c r="H16" i="17"/>
  <c r="H14" i="15"/>
  <c r="H37" i="12"/>
  <c r="H16" i="8"/>
  <c r="H9" i="12"/>
  <c r="H6" i="6"/>
  <c r="D91" i="17"/>
  <c r="H97" i="12"/>
  <c r="H62" i="6"/>
  <c r="F118" i="10"/>
  <c r="D40" i="16"/>
  <c r="D156" i="15"/>
  <c r="D6" i="13"/>
  <c r="H99" i="17"/>
  <c r="H76" i="15"/>
  <c r="D249" i="17"/>
  <c r="D15" i="6"/>
  <c r="D98" i="15"/>
  <c r="H243" i="17"/>
  <c r="H159" i="15"/>
  <c r="D61" i="13"/>
  <c r="H69" i="12"/>
  <c r="H31" i="8"/>
  <c r="H158" i="17"/>
  <c r="H130" i="15"/>
  <c r="D11" i="11"/>
  <c r="D6" i="11"/>
  <c r="H230" i="17"/>
  <c r="H73" i="16"/>
  <c r="H14" i="13"/>
  <c r="H5" i="7"/>
  <c r="D76" i="17"/>
  <c r="H52" i="17"/>
  <c r="H42" i="15"/>
  <c r="H13" i="12"/>
  <c r="H7" i="6"/>
  <c r="D39" i="15"/>
  <c r="D29" i="15"/>
  <c r="H88" i="17"/>
  <c r="H73" i="15"/>
  <c r="D10" i="7"/>
  <c r="H79" i="12"/>
  <c r="H39" i="8"/>
  <c r="H96" i="17"/>
  <c r="H86" i="15"/>
  <c r="H37" i="13"/>
  <c r="H20" i="7"/>
  <c r="H53" i="12"/>
  <c r="H33" i="6"/>
  <c r="F65" i="10"/>
  <c r="D63" i="16"/>
  <c r="D152" i="15"/>
  <c r="D210" i="17"/>
  <c r="D63" i="12"/>
  <c r="D51" i="6"/>
  <c r="D155" i="15"/>
  <c r="D25" i="11"/>
  <c r="D112" i="15"/>
  <c r="D59" i="12"/>
  <c r="D95" i="15"/>
  <c r="D118" i="17"/>
  <c r="D45" i="16"/>
  <c r="H191" i="17"/>
  <c r="H46" i="16"/>
  <c r="H11" i="17"/>
  <c r="H10" i="15"/>
  <c r="H6" i="17"/>
  <c r="H7" i="15"/>
  <c r="H34" i="12"/>
  <c r="H23" i="6"/>
  <c r="D50" i="17"/>
  <c r="F109" i="10"/>
  <c r="D45" i="7"/>
  <c r="D100" i="12"/>
  <c r="D70" i="12"/>
  <c r="D215" i="17"/>
  <c r="D140" i="15"/>
  <c r="F54" i="9"/>
  <c r="D55" i="17"/>
  <c r="D9" i="16"/>
  <c r="D18" i="17"/>
  <c r="D13" i="16"/>
  <c r="H204" i="17"/>
  <c r="H55" i="16"/>
  <c r="H81" i="17"/>
  <c r="H69" i="15"/>
  <c r="H28" i="17"/>
  <c r="H23" i="15"/>
  <c r="H24" i="12"/>
  <c r="H9" i="8"/>
  <c r="H52" i="13"/>
  <c r="H30" i="7"/>
  <c r="D17" i="7"/>
  <c r="D22" i="6"/>
  <c r="D225" i="17"/>
  <c r="D8" i="6"/>
  <c r="D86" i="12"/>
  <c r="D36" i="16"/>
  <c r="D91" i="15"/>
  <c r="D30" i="16"/>
  <c r="D12" i="6"/>
  <c r="D29" i="8"/>
  <c r="H241" i="17"/>
  <c r="H83" i="16"/>
  <c r="H115" i="17"/>
  <c r="H20" i="16"/>
  <c r="H32" i="17"/>
  <c r="H27" i="15"/>
  <c r="D116" i="17"/>
  <c r="H9" i="13"/>
  <c r="H7" i="11"/>
  <c r="H16" i="12"/>
  <c r="H10" i="6"/>
  <c r="D37" i="7"/>
  <c r="D53" i="8"/>
  <c r="D187" i="17"/>
  <c r="D6" i="12"/>
  <c r="D5" i="12"/>
  <c r="H232" i="17"/>
  <c r="H75" i="16"/>
  <c r="H141" i="17"/>
  <c r="H114" i="15"/>
  <c r="G26" i="3"/>
  <c r="G42" i="3" s="1"/>
  <c r="H16" i="2"/>
  <c r="H78" i="12"/>
  <c r="H38" i="8"/>
  <c r="H56" i="12"/>
  <c r="H35" i="6"/>
  <c r="D5" i="8"/>
  <c r="D4" i="6"/>
  <c r="D46" i="17"/>
  <c r="H162" i="17"/>
  <c r="H135" i="15"/>
  <c r="H85" i="17"/>
  <c r="H71" i="15"/>
  <c r="D23" i="13"/>
  <c r="G14" i="3"/>
  <c r="H32" i="2"/>
  <c r="H64" i="13"/>
  <c r="H36" i="7"/>
  <c r="D27" i="13"/>
  <c r="D37" i="17"/>
  <c r="D24" i="16"/>
  <c r="D33" i="7"/>
  <c r="D38" i="11"/>
  <c r="D28" i="16"/>
  <c r="D158" i="17"/>
  <c r="D20" i="8"/>
  <c r="D43" i="17"/>
  <c r="D2" i="12"/>
  <c r="F56" i="10"/>
  <c r="H38" i="17"/>
  <c r="H6" i="16"/>
  <c r="H47" i="17"/>
  <c r="H40" i="15"/>
  <c r="D97" i="17"/>
  <c r="H77" i="12"/>
  <c r="H37" i="8"/>
  <c r="H69" i="13"/>
  <c r="H38" i="7"/>
  <c r="D64" i="17"/>
  <c r="D144" i="17"/>
  <c r="D129" i="17"/>
  <c r="D82" i="13"/>
  <c r="F111" i="10"/>
  <c r="D51" i="13"/>
  <c r="D127" i="17"/>
  <c r="D62" i="6"/>
  <c r="D39" i="7"/>
  <c r="D123" i="15"/>
  <c r="H142" i="17"/>
  <c r="H26" i="16"/>
  <c r="H126" i="17"/>
  <c r="H107" i="15"/>
  <c r="H3" i="17"/>
  <c r="H4" i="15"/>
  <c r="D40" i="12"/>
  <c r="H5" i="11"/>
  <c r="H7" i="13"/>
  <c r="H103" i="12"/>
  <c r="H54" i="8"/>
  <c r="D24" i="12"/>
  <c r="D22" i="13"/>
  <c r="D20" i="15"/>
  <c r="H238" i="17"/>
  <c r="H80" i="16"/>
  <c r="H46" i="17"/>
  <c r="H37" i="15"/>
  <c r="H37" i="17"/>
  <c r="H30" i="15"/>
  <c r="D82" i="17"/>
  <c r="H46" i="12"/>
  <c r="H21" i="8"/>
  <c r="H15" i="12"/>
  <c r="H9" i="6"/>
  <c r="D32" i="7"/>
  <c r="D24" i="6"/>
  <c r="D46" i="12"/>
  <c r="D58" i="16"/>
  <c r="D220" i="17"/>
  <c r="D12" i="7"/>
  <c r="D3" i="16"/>
  <c r="D21" i="17"/>
  <c r="D16" i="7"/>
  <c r="H231" i="17"/>
  <c r="H74" i="16"/>
  <c r="H29" i="17"/>
  <c r="H29" i="15"/>
  <c r="H7" i="17"/>
  <c r="H9" i="15"/>
  <c r="D98" i="17"/>
  <c r="G107" i="10"/>
  <c r="F437" i="2" s="1"/>
  <c r="H83" i="12"/>
  <c r="H51" i="6"/>
  <c r="D64" i="15"/>
  <c r="D57" i="15"/>
  <c r="D64" i="13"/>
  <c r="H42" i="12"/>
  <c r="H26" i="6"/>
  <c r="D145" i="15"/>
  <c r="D8" i="16"/>
  <c r="D15" i="13"/>
  <c r="D4" i="15"/>
  <c r="H130" i="17"/>
  <c r="H109" i="15"/>
  <c r="H228" i="17"/>
  <c r="H71" i="16"/>
  <c r="D25" i="17"/>
  <c r="D90" i="13"/>
  <c r="D33" i="15"/>
  <c r="H86" i="13"/>
  <c r="H46" i="7"/>
  <c r="D32" i="8"/>
  <c r="D17" i="12"/>
  <c r="D231" i="17"/>
  <c r="D59" i="13"/>
  <c r="H35" i="17"/>
  <c r="H32" i="15"/>
  <c r="H11" i="12"/>
  <c r="H6" i="8"/>
  <c r="H76" i="17"/>
  <c r="H68" i="15"/>
  <c r="D65" i="17"/>
  <c r="H89" i="17"/>
  <c r="H16" i="16"/>
  <c r="D130" i="15"/>
  <c r="D12" i="17"/>
  <c r="D27" i="17"/>
  <c r="D21" i="7"/>
  <c r="H212" i="17"/>
  <c r="H59" i="16"/>
  <c r="D83" i="12"/>
  <c r="D129" i="15"/>
  <c r="D150" i="15"/>
  <c r="D68" i="13"/>
  <c r="D43" i="11"/>
  <c r="D41" i="7"/>
  <c r="D40" i="7"/>
  <c r="D79" i="15"/>
  <c r="D115" i="15"/>
  <c r="D38" i="13"/>
  <c r="D18" i="11"/>
  <c r="D12" i="8"/>
  <c r="D189" i="17"/>
  <c r="H143" i="17"/>
  <c r="H27" i="16"/>
  <c r="H36" i="17"/>
  <c r="H33" i="15"/>
  <c r="D10" i="13"/>
  <c r="H56" i="13"/>
  <c r="H25" i="11"/>
  <c r="H23" i="12"/>
  <c r="H8" i="8"/>
  <c r="D35" i="16"/>
  <c r="D39" i="6"/>
  <c r="D153" i="15"/>
  <c r="D132" i="17"/>
  <c r="D84" i="13"/>
  <c r="D41" i="16"/>
  <c r="D127" i="15"/>
  <c r="D41" i="6"/>
  <c r="D26" i="16"/>
  <c r="D35" i="17"/>
  <c r="D66" i="17"/>
  <c r="D25" i="13"/>
  <c r="H247" i="17"/>
  <c r="H88" i="16"/>
  <c r="H128" i="17"/>
  <c r="H106" i="15"/>
  <c r="H105" i="17"/>
  <c r="H100" i="15"/>
  <c r="H13" i="13"/>
  <c r="H10" i="11"/>
  <c r="H27" i="13"/>
  <c r="H13" i="7"/>
  <c r="H26" i="12"/>
  <c r="H18" i="6"/>
  <c r="D67" i="13"/>
  <c r="D91" i="12"/>
  <c r="D14" i="12"/>
  <c r="D122" i="15"/>
  <c r="D173" i="17"/>
  <c r="D113" i="17"/>
  <c r="D105" i="15"/>
  <c r="D41" i="11"/>
  <c r="D68" i="12"/>
  <c r="D107" i="15"/>
  <c r="D32" i="6"/>
  <c r="D49" i="17"/>
  <c r="D32" i="15"/>
  <c r="D18" i="12"/>
  <c r="H179" i="17"/>
  <c r="H38" i="16"/>
  <c r="H103" i="17"/>
  <c r="H89" i="15"/>
  <c r="H15" i="17"/>
  <c r="H13" i="15"/>
  <c r="H81" i="12"/>
  <c r="H41" i="8"/>
  <c r="H59" i="12"/>
  <c r="H37" i="6"/>
  <c r="D67" i="15"/>
  <c r="D10" i="12"/>
  <c r="D71" i="16"/>
  <c r="D111" i="15"/>
  <c r="F40" i="10"/>
  <c r="D86" i="15"/>
  <c r="H19" i="17"/>
  <c r="H3" i="16"/>
  <c r="H211" i="17"/>
  <c r="H148" i="15"/>
  <c r="D55" i="15"/>
  <c r="H72" i="13"/>
  <c r="H40" i="7"/>
  <c r="H22" i="13"/>
  <c r="H9" i="7"/>
  <c r="D160" i="15"/>
  <c r="H221" i="17"/>
  <c r="H152" i="15"/>
  <c r="H98" i="17"/>
  <c r="H81" i="15"/>
  <c r="H35" i="13"/>
  <c r="H18" i="11"/>
  <c r="D73" i="16"/>
  <c r="D186" i="17"/>
  <c r="D133" i="17"/>
  <c r="F122" i="10"/>
  <c r="D82" i="12"/>
  <c r="D58" i="13"/>
  <c r="D34" i="11"/>
  <c r="D131" i="15"/>
  <c r="D241" i="17"/>
  <c r="D77" i="17"/>
  <c r="D37" i="15"/>
  <c r="H187" i="17"/>
  <c r="H142" i="15"/>
  <c r="H91" i="17"/>
  <c r="H83" i="15"/>
  <c r="H50" i="13"/>
  <c r="H29" i="7"/>
  <c r="D75" i="17"/>
  <c r="D30" i="15"/>
  <c r="D49" i="16"/>
  <c r="D28" i="11"/>
  <c r="D78" i="16"/>
  <c r="D56" i="12"/>
  <c r="D41" i="8"/>
  <c r="D49" i="8"/>
  <c r="D47" i="17"/>
  <c r="D46" i="16"/>
  <c r="D4" i="7"/>
  <c r="D2" i="8"/>
  <c r="D9" i="6"/>
  <c r="H244" i="17"/>
  <c r="H85" i="16"/>
  <c r="H62" i="17"/>
  <c r="H51" i="15"/>
  <c r="H106" i="17"/>
  <c r="H87" i="15"/>
  <c r="H32" i="13"/>
  <c r="H16" i="11"/>
  <c r="H73" i="12"/>
  <c r="H34" i="8"/>
  <c r="H22" i="12"/>
  <c r="H16" i="6"/>
  <c r="D20" i="12"/>
  <c r="D10" i="11"/>
  <c r="D11" i="12"/>
  <c r="D19" i="17"/>
  <c r="D26" i="8"/>
  <c r="H133" i="17"/>
  <c r="H24" i="16"/>
  <c r="H84" i="17"/>
  <c r="H72" i="15"/>
  <c r="H90" i="12"/>
  <c r="H59" i="6"/>
  <c r="D33" i="6"/>
  <c r="D126" i="15"/>
  <c r="D39" i="8"/>
  <c r="D31" i="17"/>
  <c r="H227" i="17"/>
  <c r="H70" i="16"/>
  <c r="H43" i="17"/>
  <c r="H36" i="15"/>
  <c r="H10" i="12"/>
  <c r="H5" i="8"/>
  <c r="G8" i="3"/>
  <c r="H2" i="2"/>
  <c r="D193" i="17"/>
  <c r="H90" i="17"/>
  <c r="H79" i="15"/>
  <c r="D43" i="15"/>
  <c r="D33" i="16"/>
  <c r="D177" i="17"/>
  <c r="D135" i="15"/>
  <c r="H222" i="17"/>
  <c r="H65" i="16"/>
  <c r="D106" i="15"/>
  <c r="H184" i="17"/>
  <c r="H41" i="16"/>
  <c r="H67" i="17"/>
  <c r="H55" i="15"/>
  <c r="H39" i="12"/>
  <c r="H18" i="8"/>
  <c r="D57" i="6"/>
  <c r="D33" i="11"/>
  <c r="D174" i="17"/>
  <c r="H72" i="12"/>
  <c r="H44" i="6"/>
  <c r="D93" i="13"/>
  <c r="D109" i="17"/>
  <c r="H182" i="17"/>
  <c r="H140" i="15"/>
  <c r="H92" i="13"/>
  <c r="H43" i="11"/>
  <c r="D101" i="17"/>
  <c r="D102" i="12"/>
  <c r="H198" i="17"/>
  <c r="H51" i="16"/>
  <c r="D28" i="15"/>
  <c r="D157" i="17"/>
  <c r="D166" i="17"/>
  <c r="H41" i="12"/>
  <c r="H19" i="8"/>
  <c r="D121" i="17"/>
  <c r="D179" i="17"/>
  <c r="H167" i="17"/>
  <c r="H128" i="15"/>
  <c r="H199" i="17"/>
  <c r="H52" i="16"/>
  <c r="H76" i="12"/>
  <c r="H36" i="8"/>
  <c r="D161" i="17"/>
  <c r="D195" i="17"/>
  <c r="D72" i="13"/>
  <c r="D136" i="17"/>
  <c r="D133" i="15"/>
  <c r="D2" i="7"/>
  <c r="D5" i="15"/>
  <c r="D10" i="15"/>
  <c r="D31" i="12"/>
  <c r="F87" i="10"/>
  <c r="H223" i="17"/>
  <c r="H66" i="16"/>
  <c r="H55" i="17"/>
  <c r="H44" i="15"/>
  <c r="H79" i="13"/>
  <c r="H38" i="11"/>
  <c r="D27" i="12"/>
  <c r="D41" i="17"/>
  <c r="D86" i="16"/>
  <c r="D171" i="17"/>
  <c r="D10" i="6"/>
  <c r="D144" i="15"/>
  <c r="D52" i="8"/>
  <c r="D66" i="12"/>
  <c r="F95" i="10"/>
  <c r="D170" i="17"/>
  <c r="D12" i="13"/>
  <c r="F3" i="9"/>
  <c r="F25" i="9"/>
  <c r="F39" i="9"/>
  <c r="F44" i="9"/>
  <c r="F50" i="9"/>
  <c r="F46" i="9"/>
  <c r="F17" i="9"/>
  <c r="F35" i="9"/>
  <c r="F38" i="9"/>
  <c r="F51" i="9"/>
  <c r="F22" i="9"/>
  <c r="F28" i="9"/>
  <c r="F11" i="9"/>
  <c r="F26" i="9"/>
  <c r="F42" i="9"/>
  <c r="F40" i="9"/>
  <c r="F49" i="9"/>
  <c r="F6" i="9"/>
  <c r="F15" i="9"/>
  <c r="F43" i="9"/>
  <c r="F33" i="9"/>
  <c r="F52" i="9"/>
  <c r="F36" i="9"/>
  <c r="F37" i="9"/>
  <c r="F41" i="9"/>
  <c r="F29" i="9"/>
  <c r="F27" i="9"/>
  <c r="F8" i="9"/>
  <c r="F19" i="9"/>
  <c r="F45" i="9"/>
  <c r="F32" i="9"/>
  <c r="F2" i="9"/>
  <c r="F47" i="9"/>
  <c r="F48" i="9"/>
  <c r="F5" i="9"/>
  <c r="F7" i="9"/>
  <c r="F10" i="9"/>
  <c r="F14" i="9"/>
  <c r="D26" i="17"/>
  <c r="D8" i="17"/>
  <c r="D18" i="16"/>
  <c r="H144" i="17"/>
  <c r="H28" i="16"/>
  <c r="H8" i="17"/>
  <c r="H12" i="15"/>
  <c r="D8" i="11"/>
  <c r="D59" i="15"/>
  <c r="H99" i="12"/>
  <c r="H50" i="8"/>
  <c r="H62" i="12"/>
  <c r="H39" i="6"/>
  <c r="D39" i="16"/>
  <c r="D93" i="15"/>
  <c r="D102" i="15"/>
  <c r="D162" i="17"/>
  <c r="D97" i="15"/>
  <c r="D50" i="16"/>
  <c r="D120" i="17"/>
  <c r="D159" i="15"/>
  <c r="D44" i="15"/>
  <c r="D17" i="15"/>
  <c r="D77" i="15"/>
  <c r="D74" i="16"/>
  <c r="H196" i="17"/>
  <c r="H49" i="16"/>
  <c r="H155" i="17"/>
  <c r="H96" i="15"/>
  <c r="D57" i="13"/>
  <c r="H76" i="13"/>
  <c r="H42" i="7"/>
  <c r="H42" i="13"/>
  <c r="H23" i="7"/>
  <c r="D80" i="17"/>
  <c r="D134" i="17"/>
  <c r="F139" i="10"/>
  <c r="D34" i="13"/>
  <c r="D2" i="17"/>
  <c r="D29" i="17"/>
  <c r="D23" i="7"/>
  <c r="D96" i="17"/>
  <c r="H61" i="17"/>
  <c r="H11" i="16"/>
  <c r="H116" i="17"/>
  <c r="H98" i="15"/>
  <c r="G91" i="10"/>
  <c r="F364" i="2" s="1"/>
  <c r="H70" i="12"/>
  <c r="H32" i="8"/>
  <c r="H28" i="12"/>
  <c r="H21" i="6"/>
  <c r="D23" i="12"/>
  <c r="D12" i="11"/>
  <c r="D3" i="8"/>
  <c r="D125" i="15"/>
  <c r="H214" i="17"/>
  <c r="H60" i="16"/>
  <c r="H136" i="17"/>
  <c r="H115" i="15"/>
  <c r="H100" i="17"/>
  <c r="H84" i="15"/>
  <c r="H38" i="13"/>
  <c r="H19" i="11"/>
  <c r="H98" i="12"/>
  <c r="H49" i="8"/>
  <c r="H54" i="12"/>
  <c r="H34" i="6"/>
  <c r="D45" i="15"/>
  <c r="D48" i="15"/>
  <c r="D35" i="8"/>
  <c r="D73" i="12"/>
  <c r="F79" i="10"/>
  <c r="D51" i="16"/>
  <c r="D7" i="17"/>
  <c r="D49" i="15"/>
  <c r="H163" i="17"/>
  <c r="H131" i="15"/>
  <c r="H71" i="17"/>
  <c r="H57" i="15"/>
  <c r="D11" i="7"/>
  <c r="H25" i="13"/>
  <c r="H15" i="11"/>
  <c r="D13" i="7"/>
  <c r="D196" i="17"/>
  <c r="D43" i="16"/>
  <c r="D38" i="6"/>
  <c r="D101" i="15"/>
  <c r="D98" i="12"/>
  <c r="D191" i="17"/>
  <c r="D5" i="16"/>
  <c r="D15" i="12"/>
  <c r="H203" i="17"/>
  <c r="H54" i="16"/>
  <c r="H79" i="17"/>
  <c r="H70" i="15"/>
  <c r="D150" i="17"/>
  <c r="H35" i="11"/>
  <c r="H75" i="13"/>
  <c r="H59" i="13"/>
  <c r="H34" i="7"/>
  <c r="H74" i="12"/>
  <c r="H46" i="6"/>
  <c r="D13" i="13"/>
  <c r="D78" i="12"/>
  <c r="D81" i="16"/>
  <c r="D65" i="13"/>
  <c r="D59" i="6"/>
  <c r="D58" i="12"/>
  <c r="H123" i="17"/>
  <c r="H103" i="15"/>
  <c r="H75" i="17"/>
  <c r="H65" i="15"/>
  <c r="H33" i="12"/>
  <c r="H14" i="8"/>
  <c r="H65" i="12"/>
  <c r="H29" i="8"/>
  <c r="D108" i="15"/>
  <c r="D54" i="12"/>
  <c r="D53" i="12"/>
  <c r="D79" i="12"/>
  <c r="D7" i="15"/>
  <c r="D13" i="15"/>
  <c r="D25" i="12"/>
  <c r="D90" i="15"/>
  <c r="H150" i="17"/>
  <c r="H121" i="15"/>
  <c r="H48" i="17"/>
  <c r="H39" i="15"/>
  <c r="D13" i="12"/>
  <c r="D135" i="17"/>
  <c r="H96" i="12"/>
  <c r="H48" i="8"/>
  <c r="H48" i="12"/>
  <c r="H29" i="6"/>
  <c r="D29" i="12"/>
  <c r="D47" i="13"/>
  <c r="D60" i="13"/>
  <c r="D3" i="17"/>
  <c r="H77" i="13"/>
  <c r="H36" i="11"/>
  <c r="D19" i="6"/>
  <c r="D79" i="16"/>
  <c r="H201" i="17"/>
  <c r="H151" i="15"/>
  <c r="D74" i="17"/>
  <c r="H12" i="13"/>
  <c r="H9" i="11"/>
  <c r="D21" i="15"/>
  <c r="H28" i="13"/>
  <c r="H14" i="7"/>
  <c r="H138" i="17"/>
  <c r="H125" i="15"/>
  <c r="D40" i="6"/>
  <c r="D73" i="13"/>
  <c r="H183" i="17"/>
  <c r="H40" i="16"/>
  <c r="H85" i="13"/>
  <c r="H41" i="11"/>
  <c r="D39" i="13"/>
  <c r="H224" i="17"/>
  <c r="H67" i="16"/>
  <c r="D79" i="17"/>
  <c r="D7" i="12"/>
  <c r="H12" i="17"/>
  <c r="H11" i="15"/>
  <c r="G5" i="3"/>
  <c r="H52" i="2"/>
  <c r="D63" i="17"/>
  <c r="D156" i="17"/>
  <c r="H17" i="17"/>
  <c r="H16" i="15"/>
  <c r="D81" i="15"/>
  <c r="D99" i="15"/>
  <c r="D19" i="16"/>
  <c r="D89" i="13"/>
  <c r="D3" i="13"/>
  <c r="D10" i="8"/>
  <c r="H109" i="17"/>
  <c r="H88" i="15"/>
  <c r="H91" i="12"/>
  <c r="H44" i="8"/>
  <c r="F99" i="10"/>
  <c r="D151" i="15"/>
  <c r="D84" i="12"/>
  <c r="D85" i="16"/>
  <c r="D66" i="13"/>
  <c r="D221" i="17"/>
  <c r="D48" i="8"/>
  <c r="D16" i="16"/>
  <c r="D26" i="7"/>
  <c r="D60" i="15"/>
  <c r="H140" i="17"/>
  <c r="H118" i="15"/>
  <c r="H125" i="17"/>
  <c r="H108" i="15"/>
  <c r="G123" i="10"/>
  <c r="F580" i="2" s="1"/>
  <c r="H85" i="12"/>
  <c r="H53" i="6"/>
  <c r="D31" i="13"/>
  <c r="D30" i="12"/>
  <c r="D14" i="8"/>
  <c r="D29" i="7"/>
  <c r="D244" i="17"/>
  <c r="D80" i="12"/>
  <c r="D16" i="12"/>
  <c r="D27" i="11"/>
  <c r="D101" i="12"/>
  <c r="D228" i="17"/>
  <c r="D51" i="8"/>
  <c r="D103" i="12"/>
  <c r="D108" i="17"/>
  <c r="H112" i="17"/>
  <c r="H19" i="16"/>
  <c r="H200" i="17"/>
  <c r="H149" i="15"/>
  <c r="D25" i="8"/>
  <c r="H90" i="13"/>
  <c r="H49" i="7"/>
  <c r="H73" i="13"/>
  <c r="H41" i="7"/>
  <c r="D24" i="8"/>
  <c r="D44" i="13"/>
  <c r="D58" i="6"/>
  <c r="D107" i="17"/>
  <c r="D128" i="17"/>
  <c r="D122" i="17"/>
  <c r="D91" i="16"/>
  <c r="D38" i="8"/>
  <c r="D243" i="17"/>
  <c r="D9" i="11"/>
  <c r="D12" i="15"/>
  <c r="D87" i="17"/>
  <c r="H157" i="17"/>
  <c r="H32" i="16"/>
  <c r="H25" i="17"/>
  <c r="H25" i="15"/>
  <c r="G87" i="10"/>
  <c r="F358" i="2" s="1"/>
  <c r="G30" i="10"/>
  <c r="F116" i="2" s="1"/>
  <c r="H75" i="12"/>
  <c r="H35" i="8"/>
  <c r="H40" i="12"/>
  <c r="H25" i="6"/>
  <c r="D5" i="11"/>
  <c r="D146" i="15"/>
  <c r="D34" i="7"/>
  <c r="D240" i="17"/>
  <c r="D42" i="13"/>
  <c r="D19" i="7"/>
  <c r="H202" i="17"/>
  <c r="H53" i="16"/>
  <c r="H45" i="17"/>
  <c r="H35" i="15"/>
  <c r="D8" i="7"/>
  <c r="D4" i="12"/>
  <c r="H309" i="2"/>
  <c r="H209" i="2"/>
  <c r="H34" i="13"/>
  <c r="H18" i="7"/>
  <c r="D16" i="13"/>
  <c r="D18" i="7"/>
  <c r="H229" i="17"/>
  <c r="H72" i="16"/>
  <c r="H132" i="17"/>
  <c r="H112" i="15"/>
  <c r="H21" i="17"/>
  <c r="H20" i="15"/>
  <c r="H62" i="13"/>
  <c r="H29" i="11"/>
  <c r="G94" i="10"/>
  <c r="F374" i="2" s="1"/>
  <c r="H84" i="13"/>
  <c r="H45" i="7"/>
  <c r="H23" i="13"/>
  <c r="H10" i="7"/>
  <c r="D68" i="17"/>
  <c r="D178" i="17"/>
  <c r="D57" i="17"/>
  <c r="D63" i="13"/>
  <c r="D54" i="16"/>
  <c r="D69" i="15"/>
  <c r="D47" i="7"/>
  <c r="D76" i="16"/>
  <c r="D38" i="16"/>
  <c r="D36" i="12"/>
  <c r="D58" i="17"/>
  <c r="H168" i="17"/>
  <c r="H33" i="16"/>
  <c r="H165" i="17"/>
  <c r="H137" i="15"/>
  <c r="H72" i="17"/>
  <c r="H58" i="15"/>
  <c r="H57" i="13"/>
  <c r="H26" i="11"/>
  <c r="H20" i="11"/>
  <c r="H39" i="13"/>
  <c r="H80" i="12"/>
  <c r="H40" i="8"/>
  <c r="H30" i="12"/>
  <c r="H22" i="6"/>
  <c r="D56" i="15"/>
  <c r="D37" i="16"/>
  <c r="D61" i="12"/>
  <c r="D176" i="17"/>
  <c r="D198" i="17"/>
  <c r="D79" i="13"/>
  <c r="D65" i="15"/>
  <c r="D137" i="17"/>
  <c r="D33" i="8"/>
  <c r="D11" i="15"/>
  <c r="D15" i="8"/>
  <c r="D21" i="6"/>
  <c r="H175" i="17"/>
  <c r="H143" i="15"/>
  <c r="H101" i="17"/>
  <c r="H85" i="15"/>
  <c r="D37" i="12"/>
  <c r="F4" i="9"/>
  <c r="G129" i="10"/>
  <c r="F609" i="2" s="1"/>
  <c r="H83" i="13"/>
  <c r="H44" i="7"/>
  <c r="D14" i="7"/>
  <c r="D142" i="17"/>
  <c r="D2" i="13"/>
  <c r="D15" i="17"/>
  <c r="D42" i="15"/>
  <c r="F84" i="10"/>
  <c r="H164" i="17"/>
  <c r="H139" i="15"/>
  <c r="H44" i="17"/>
  <c r="H41" i="15"/>
  <c r="F16" i="9"/>
  <c r="G92" i="10"/>
  <c r="F366" i="2" s="1"/>
  <c r="H52" i="12"/>
  <c r="H32" i="6"/>
  <c r="D125" i="17"/>
  <c r="D164" i="17"/>
  <c r="D142" i="15"/>
  <c r="D51" i="15"/>
  <c r="D115" i="17"/>
  <c r="D110" i="17"/>
  <c r="H159" i="17"/>
  <c r="H127" i="15"/>
  <c r="H63" i="17"/>
  <c r="H52" i="15"/>
  <c r="D102" i="17"/>
  <c r="H80" i="13"/>
  <c r="H39" i="11"/>
  <c r="G61" i="10"/>
  <c r="F234" i="2" s="1"/>
  <c r="H38" i="12"/>
  <c r="H17" i="8"/>
  <c r="D75" i="15"/>
  <c r="H77" i="17"/>
  <c r="H63" i="15"/>
  <c r="D11" i="6"/>
  <c r="D47" i="6"/>
  <c r="D43" i="6"/>
  <c r="D49" i="6"/>
  <c r="D50" i="6"/>
  <c r="D63" i="6"/>
  <c r="D48" i="6"/>
  <c r="D118" i="15"/>
  <c r="D44" i="11"/>
  <c r="D2" i="16"/>
  <c r="H78" i="13"/>
  <c r="H37" i="11"/>
  <c r="D48" i="17"/>
  <c r="H74" i="13"/>
  <c r="H34" i="11"/>
  <c r="H43" i="13"/>
  <c r="H24" i="7"/>
  <c r="G136" i="10"/>
  <c r="F637" i="2" s="1"/>
  <c r="D37" i="6"/>
  <c r="D139" i="17"/>
  <c r="H178" i="17"/>
  <c r="H37" i="16"/>
  <c r="D149" i="15"/>
  <c r="H82" i="17"/>
  <c r="H14" i="16"/>
  <c r="D5" i="13"/>
  <c r="D36" i="17"/>
  <c r="D48" i="16"/>
  <c r="D11" i="17"/>
  <c r="D77" i="12"/>
  <c r="D55" i="8"/>
  <c r="H23" i="17"/>
  <c r="H22" i="15"/>
  <c r="H87" i="13"/>
  <c r="H47" i="7"/>
  <c r="H48" i="13"/>
  <c r="H28" i="7"/>
  <c r="F91" i="10"/>
  <c r="D62" i="12"/>
  <c r="D52" i="16"/>
  <c r="D190" i="17"/>
  <c r="D212" i="17"/>
  <c r="D149" i="17"/>
  <c r="D48" i="7"/>
  <c r="D25" i="7"/>
  <c r="D148" i="17"/>
  <c r="D27" i="8"/>
  <c r="D31" i="11"/>
  <c r="D96" i="12"/>
  <c r="D11" i="16"/>
  <c r="D69" i="17"/>
  <c r="D232" i="17"/>
  <c r="H166" i="17"/>
  <c r="H132" i="15"/>
  <c r="H139" i="17"/>
  <c r="H117" i="15"/>
  <c r="D140" i="17"/>
  <c r="G105" i="10"/>
  <c r="F424" i="2" s="1"/>
  <c r="H29" i="12"/>
  <c r="H11" i="8"/>
  <c r="H12" i="12"/>
  <c r="H7" i="8"/>
  <c r="D33" i="12"/>
  <c r="D175" i="17"/>
  <c r="D55" i="16"/>
  <c r="F76" i="10"/>
  <c r="D51" i="12"/>
  <c r="D20" i="17"/>
  <c r="D14" i="13"/>
  <c r="D59" i="17"/>
  <c r="D76" i="12"/>
  <c r="F18" i="9"/>
  <c r="H192" i="17"/>
  <c r="H47" i="16"/>
  <c r="H74" i="17"/>
  <c r="H62" i="15"/>
  <c r="D57" i="12"/>
  <c r="G96" i="10"/>
  <c r="F388" i="2" s="1"/>
  <c r="H94" i="12"/>
  <c r="H46" i="8"/>
  <c r="H45" i="12"/>
  <c r="H28" i="6"/>
  <c r="D22" i="16"/>
  <c r="D147" i="15"/>
  <c r="D89" i="12"/>
  <c r="D83" i="13"/>
  <c r="D183" i="17"/>
  <c r="D182" i="17"/>
  <c r="D192" i="17"/>
  <c r="D42" i="6"/>
  <c r="D250" i="17"/>
  <c r="D209" i="17"/>
  <c r="D104" i="12"/>
  <c r="D5" i="7"/>
  <c r="D26" i="15"/>
  <c r="F62" i="10"/>
  <c r="H108" i="17"/>
  <c r="H18" i="16"/>
  <c r="H104" i="17"/>
  <c r="H95" i="15"/>
  <c r="D67" i="17"/>
  <c r="D20" i="6"/>
  <c r="H67" i="13"/>
  <c r="H37" i="7"/>
  <c r="H20" i="13"/>
  <c r="H7" i="7"/>
  <c r="D7" i="13"/>
  <c r="F66" i="10"/>
  <c r="D194" i="17"/>
  <c r="D14" i="17"/>
  <c r="D17" i="13"/>
  <c r="D13" i="11"/>
  <c r="H31" i="17"/>
  <c r="H4" i="16"/>
  <c r="H69" i="17"/>
  <c r="H60" i="15"/>
  <c r="G9" i="10"/>
  <c r="F21" i="2" s="1"/>
  <c r="H82" i="12"/>
  <c r="H42" i="8"/>
  <c r="H8" i="12"/>
  <c r="H5" i="6"/>
  <c r="D51" i="17"/>
  <c r="H218" i="17"/>
  <c r="H62" i="16"/>
  <c r="H213" i="17"/>
  <c r="H147" i="15"/>
  <c r="H24" i="17"/>
  <c r="H21" i="15"/>
  <c r="D46" i="15"/>
  <c r="G138" i="10"/>
  <c r="F639" i="2" s="1"/>
  <c r="G2" i="3"/>
  <c r="H5" i="2"/>
  <c r="D22" i="7"/>
  <c r="D88" i="12"/>
  <c r="D157" i="15"/>
  <c r="D203" i="17"/>
  <c r="D81" i="17"/>
  <c r="D87" i="13"/>
  <c r="D84" i="16"/>
  <c r="D95" i="12"/>
  <c r="D233" i="17"/>
  <c r="D28" i="17"/>
  <c r="D11" i="13"/>
  <c r="H185" i="17"/>
  <c r="H42" i="16"/>
  <c r="H137" i="17"/>
  <c r="H113" i="15"/>
  <c r="H129" i="17"/>
  <c r="H110" i="15"/>
  <c r="H82" i="13"/>
  <c r="H40" i="11"/>
  <c r="H71" i="13"/>
  <c r="H39" i="7"/>
  <c r="H92" i="12"/>
  <c r="H60" i="6"/>
  <c r="F67" i="10"/>
  <c r="D43" i="8"/>
  <c r="D35" i="7"/>
  <c r="D42" i="8"/>
  <c r="D7" i="8"/>
  <c r="F57" i="10"/>
  <c r="D28" i="12"/>
  <c r="H216" i="17"/>
  <c r="H154" i="15"/>
  <c r="H97" i="17"/>
  <c r="H80" i="15"/>
  <c r="H44" i="12"/>
  <c r="H20" i="8"/>
  <c r="H20" i="12"/>
  <c r="H14" i="6"/>
  <c r="D54" i="13"/>
  <c r="D28" i="13"/>
  <c r="D85" i="12"/>
  <c r="D26" i="13"/>
  <c r="D62" i="17"/>
  <c r="D52" i="17"/>
  <c r="D29" i="16"/>
  <c r="H170" i="17"/>
  <c r="H133" i="15"/>
  <c r="H49" i="17"/>
  <c r="H9" i="16"/>
  <c r="H93" i="13"/>
  <c r="H44" i="11"/>
  <c r="G78" i="10"/>
  <c r="F324" i="2" s="1"/>
  <c r="H12" i="2"/>
  <c r="H49" i="2"/>
  <c r="H58" i="12"/>
  <c r="H26" i="8"/>
  <c r="D31" i="15"/>
  <c r="F41" i="10"/>
  <c r="F13" i="9"/>
  <c r="D188" i="17"/>
  <c r="D84" i="15"/>
  <c r="D22" i="15"/>
  <c r="D7" i="16"/>
  <c r="D35" i="15"/>
  <c r="D223" i="17"/>
  <c r="H177" i="17"/>
  <c r="H141" i="15"/>
  <c r="H153" i="17"/>
  <c r="H123" i="15"/>
  <c r="H94" i="13"/>
  <c r="H45" i="11"/>
  <c r="H5" i="13"/>
  <c r="H4" i="11"/>
  <c r="H31" i="13"/>
  <c r="H17" i="7"/>
  <c r="D32" i="12"/>
  <c r="D20" i="7"/>
  <c r="D66" i="16"/>
  <c r="H233" i="17"/>
  <c r="H76" i="16"/>
  <c r="D130" i="17"/>
  <c r="D87" i="16"/>
  <c r="H63" i="12"/>
  <c r="H40" i="6"/>
  <c r="D138" i="17"/>
  <c r="H40" i="13"/>
  <c r="H21" i="7"/>
  <c r="D32" i="16"/>
  <c r="D3" i="6"/>
  <c r="D67" i="16"/>
  <c r="D22" i="17"/>
  <c r="H30" i="13"/>
  <c r="H16" i="7"/>
  <c r="D246" i="17"/>
  <c r="H145" i="17"/>
  <c r="H29" i="16"/>
  <c r="D74" i="13"/>
  <c r="D32" i="17"/>
  <c r="H51" i="13"/>
  <c r="H23" i="11"/>
  <c r="D18" i="8"/>
  <c r="D18" i="15"/>
  <c r="H197" i="17"/>
  <c r="H50" i="16"/>
  <c r="H25" i="12"/>
  <c r="H10" i="8"/>
  <c r="D41" i="12"/>
  <c r="D44" i="16"/>
  <c r="D201" i="17"/>
  <c r="D214" i="17"/>
  <c r="D60" i="16"/>
  <c r="H18" i="17"/>
  <c r="H17" i="15"/>
  <c r="H67" i="12"/>
  <c r="H42" i="6"/>
  <c r="D112" i="17"/>
  <c r="D39" i="11"/>
  <c r="D45" i="6"/>
  <c r="D35" i="13"/>
  <c r="H207" i="17"/>
  <c r="H57" i="16"/>
  <c r="H4" i="17"/>
  <c r="H6" i="15"/>
  <c r="H206" i="17"/>
  <c r="H56" i="16"/>
  <c r="H101" i="12"/>
  <c r="H52" i="8"/>
  <c r="D50" i="13"/>
  <c r="D83" i="16"/>
  <c r="D131" i="17"/>
  <c r="D199" i="17"/>
  <c r="D229" i="17"/>
  <c r="D19" i="11"/>
  <c r="D54" i="8"/>
  <c r="D23" i="16"/>
  <c r="D72" i="16"/>
  <c r="D34" i="16"/>
  <c r="D61" i="6"/>
  <c r="D55" i="13"/>
  <c r="D25" i="15"/>
  <c r="D18" i="6"/>
  <c r="D53" i="15"/>
  <c r="D69" i="16"/>
  <c r="H217" i="17"/>
  <c r="H61" i="16"/>
  <c r="H92" i="17"/>
  <c r="H75" i="15"/>
  <c r="H33" i="13"/>
  <c r="H17" i="11"/>
  <c r="H29" i="13"/>
  <c r="H15" i="7"/>
  <c r="H35" i="12"/>
  <c r="H24" i="6"/>
  <c r="D184" i="17"/>
  <c r="D165" i="17"/>
  <c r="D204" i="17"/>
  <c r="D143" i="15"/>
  <c r="D154" i="15"/>
  <c r="D42" i="11"/>
  <c r="D87" i="15"/>
  <c r="F31" i="9"/>
  <c r="D4" i="13"/>
  <c r="D7" i="7"/>
  <c r="D75" i="16"/>
  <c r="H124" i="17"/>
  <c r="H22" i="16"/>
  <c r="H119" i="17"/>
  <c r="H97" i="15"/>
  <c r="D16" i="11"/>
  <c r="D2" i="15"/>
  <c r="H15" i="13"/>
  <c r="H11" i="11"/>
  <c r="H63" i="13"/>
  <c r="H35" i="7"/>
  <c r="H3" i="13"/>
  <c r="H2" i="7"/>
  <c r="D78" i="15"/>
  <c r="D119" i="17"/>
  <c r="D42" i="16"/>
  <c r="D64" i="12"/>
  <c r="D126" i="17"/>
  <c r="D92" i="15"/>
  <c r="D134" i="15"/>
  <c r="D19" i="15"/>
  <c r="D50" i="15"/>
  <c r="D15" i="11"/>
  <c r="H193" i="17"/>
  <c r="H48" i="16"/>
  <c r="H57" i="17"/>
  <c r="H48" i="15"/>
  <c r="D21" i="13"/>
  <c r="G90" i="10"/>
  <c r="F361" i="2" s="1"/>
  <c r="H95" i="12"/>
  <c r="H47" i="8"/>
  <c r="H14" i="12"/>
  <c r="H8" i="6"/>
  <c r="D53" i="16"/>
  <c r="D31" i="16"/>
  <c r="D52" i="12"/>
  <c r="D181" i="17"/>
  <c r="H215" i="17"/>
  <c r="H157" i="15"/>
  <c r="H83" i="17"/>
  <c r="H66" i="15"/>
  <c r="D13" i="6"/>
  <c r="H10" i="13"/>
  <c r="H8" i="11"/>
  <c r="H81" i="13"/>
  <c r="H43" i="7"/>
  <c r="D44" i="12"/>
  <c r="D15" i="15"/>
  <c r="D6" i="16"/>
  <c r="D56" i="16"/>
  <c r="D62" i="16"/>
  <c r="H234" i="17"/>
  <c r="H77" i="16"/>
  <c r="H80" i="17"/>
  <c r="H67" i="15"/>
  <c r="H22" i="17"/>
  <c r="H18" i="15"/>
  <c r="D60" i="17"/>
  <c r="G80" i="10"/>
  <c r="F332" i="2" s="1"/>
  <c r="H64" i="12"/>
  <c r="H28" i="8"/>
  <c r="H50" i="12"/>
  <c r="H30" i="6"/>
  <c r="D12" i="16"/>
  <c r="D234" i="17"/>
  <c r="D41" i="13"/>
  <c r="D116" i="15"/>
  <c r="D61" i="16"/>
  <c r="D74" i="12"/>
  <c r="D45" i="8"/>
  <c r="D146" i="17"/>
  <c r="D12" i="12"/>
  <c r="D153" i="17"/>
  <c r="H171" i="17"/>
  <c r="H35" i="16"/>
  <c r="H236" i="17"/>
  <c r="H158" i="15"/>
  <c r="H5" i="17"/>
  <c r="H5" i="15"/>
  <c r="D7" i="11"/>
  <c r="G135" i="10"/>
  <c r="F636" i="2" s="1"/>
  <c r="H49" i="12"/>
  <c r="H23" i="8"/>
  <c r="D77" i="16"/>
  <c r="D141" i="17"/>
  <c r="D29" i="6"/>
  <c r="D72" i="12"/>
  <c r="D239" i="17"/>
  <c r="D43" i="7"/>
  <c r="D35" i="12"/>
  <c r="D14" i="15"/>
  <c r="D16" i="15"/>
  <c r="D82" i="15"/>
  <c r="D145" i="17"/>
  <c r="H210" i="17"/>
  <c r="H155" i="15"/>
  <c r="H20" i="17"/>
  <c r="H19" i="15"/>
  <c r="D80" i="15"/>
  <c r="D23" i="6"/>
  <c r="G3" i="10"/>
  <c r="F4" i="2" s="1"/>
  <c r="H24" i="13"/>
  <c r="H11" i="7"/>
  <c r="D76" i="15"/>
  <c r="D163" i="17"/>
  <c r="D56" i="6"/>
  <c r="D4" i="16"/>
  <c r="D6" i="17"/>
  <c r="D38" i="12"/>
  <c r="H190" i="17"/>
  <c r="H145" i="15"/>
  <c r="H64" i="17"/>
  <c r="H54" i="15"/>
  <c r="D61" i="15"/>
  <c r="G132" i="10"/>
  <c r="F624" i="2" s="1"/>
  <c r="H61" i="13"/>
  <c r="H28" i="11"/>
  <c r="H36" i="13"/>
  <c r="H19" i="7"/>
  <c r="D34" i="17"/>
  <c r="D15" i="16"/>
  <c r="D70" i="17"/>
  <c r="D26" i="6"/>
  <c r="D69" i="12"/>
  <c r="D17" i="8"/>
  <c r="H151" i="17"/>
  <c r="H120" i="15"/>
  <c r="H194" i="17"/>
  <c r="H146" i="15"/>
  <c r="G127" i="10"/>
  <c r="F592" i="2" s="1"/>
  <c r="H26" i="13"/>
  <c r="H12" i="7"/>
  <c r="F53" i="10"/>
  <c r="D100" i="15"/>
  <c r="G93" i="10"/>
  <c r="F371" i="2" s="1"/>
  <c r="D56" i="13"/>
  <c r="H174" i="17"/>
  <c r="H144" i="15"/>
  <c r="D197" i="17"/>
  <c r="D30" i="17"/>
  <c r="H91" i="13"/>
  <c r="H50" i="7"/>
  <c r="H111" i="17"/>
  <c r="H94" i="15"/>
  <c r="D53" i="17"/>
  <c r="D128" i="15"/>
  <c r="D124" i="15"/>
  <c r="D13" i="17"/>
  <c r="D208" i="17"/>
  <c r="H30" i="17"/>
  <c r="H28" i="15"/>
  <c r="G116" i="10"/>
  <c r="F506" i="2" s="1"/>
  <c r="D47" i="12"/>
  <c r="H102" i="17"/>
  <c r="H17" i="16"/>
  <c r="G11" i="3"/>
  <c r="H148" i="2"/>
  <c r="H8" i="9" s="1"/>
  <c r="G28" i="9" s="1"/>
  <c r="F470" i="2" s="1"/>
  <c r="D103" i="15"/>
  <c r="H226" i="17"/>
  <c r="H69" i="16"/>
  <c r="D37" i="8"/>
  <c r="D80" i="13"/>
  <c r="D92" i="13"/>
  <c r="H240" i="17"/>
  <c r="H82" i="16"/>
  <c r="D117" i="17"/>
  <c r="D54" i="6"/>
  <c r="D20" i="16"/>
  <c r="D61" i="17"/>
  <c r="F47" i="10"/>
  <c r="H42" i="17"/>
  <c r="H38" i="15"/>
  <c r="D7" i="6"/>
  <c r="D25" i="16"/>
  <c r="G37" i="10"/>
  <c r="F132" i="2" s="1"/>
  <c r="H43" i="12"/>
  <c r="H27" i="6"/>
  <c r="D11" i="8"/>
  <c r="D5" i="17"/>
  <c r="D45" i="13"/>
  <c r="D17" i="11"/>
  <c r="D23" i="8"/>
  <c r="H127" i="17"/>
  <c r="H104" i="15"/>
  <c r="H51" i="17"/>
  <c r="H45" i="15"/>
  <c r="H65" i="13"/>
  <c r="H30" i="11"/>
  <c r="G73" i="10"/>
  <c r="F300" i="2" s="1"/>
  <c r="H36" i="12"/>
  <c r="H15" i="8"/>
  <c r="D13" i="8"/>
  <c r="F20" i="9"/>
  <c r="D27" i="16"/>
  <c r="D46" i="8"/>
  <c r="D55" i="6"/>
  <c r="D28" i="7"/>
  <c r="D159" i="17"/>
  <c r="D109" i="15"/>
  <c r="D59" i="16"/>
  <c r="D137" i="15"/>
  <c r="D37" i="11"/>
  <c r="D169" i="17"/>
  <c r="D167" i="17"/>
  <c r="F108" i="10"/>
  <c r="D77" i="13"/>
  <c r="D20" i="13"/>
  <c r="H245" i="17"/>
  <c r="H86" i="16"/>
  <c r="H86" i="17"/>
  <c r="H15" i="16"/>
  <c r="H9" i="17"/>
  <c r="H2" i="16"/>
  <c r="H104" i="12"/>
  <c r="H55" i="8"/>
  <c r="H87" i="12"/>
  <c r="H55" i="6"/>
  <c r="D180" i="17"/>
  <c r="D55" i="12"/>
  <c r="F12" i="9"/>
  <c r="D117" i="15"/>
  <c r="D94" i="15"/>
  <c r="D69" i="13"/>
  <c r="D147" i="17"/>
  <c r="D216" i="17"/>
  <c r="D88" i="13"/>
  <c r="D24" i="7"/>
  <c r="D70" i="13"/>
  <c r="D85" i="17"/>
  <c r="D20" i="11"/>
  <c r="H65" i="17"/>
  <c r="H12" i="16"/>
  <c r="H114" i="17"/>
  <c r="H92" i="15"/>
  <c r="D32" i="13"/>
  <c r="G117" i="10"/>
  <c r="F516" i="2" s="1"/>
  <c r="H19" i="12"/>
  <c r="H13" i="6"/>
  <c r="D14" i="11"/>
  <c r="D52" i="6"/>
  <c r="D80" i="16"/>
  <c r="D114" i="17"/>
  <c r="D160" i="17"/>
  <c r="D71" i="15"/>
  <c r="D36" i="8"/>
  <c r="D18" i="13"/>
  <c r="D36" i="13"/>
  <c r="H13" i="16"/>
  <c r="H66" i="17"/>
  <c r="H93" i="17"/>
  <c r="H78" i="15"/>
  <c r="H18" i="13"/>
  <c r="H13" i="11"/>
  <c r="H89" i="13"/>
  <c r="H48" i="7"/>
  <c r="D88" i="17"/>
  <c r="F9" i="9"/>
  <c r="D202" i="17"/>
  <c r="D68" i="16"/>
  <c r="D152" i="17"/>
  <c r="D96" i="15"/>
  <c r="D44" i="17"/>
  <c r="D206" i="17"/>
  <c r="H219" i="17"/>
  <c r="H63" i="16"/>
  <c r="H161" i="17"/>
  <c r="H129" i="15"/>
  <c r="H110" i="17"/>
  <c r="H90" i="15"/>
  <c r="H47" i="13"/>
  <c r="H21" i="11"/>
  <c r="G103" i="10"/>
  <c r="F410" i="2" s="1"/>
  <c r="H88" i="12"/>
  <c r="H43" i="8"/>
  <c r="D73" i="15"/>
  <c r="D66" i="15"/>
  <c r="D3" i="15"/>
  <c r="D68" i="15"/>
  <c r="D58" i="15"/>
  <c r="H237" i="17"/>
  <c r="H79" i="16"/>
  <c r="H107" i="17"/>
  <c r="H93" i="15"/>
  <c r="H87" i="17"/>
  <c r="H77" i="15"/>
  <c r="D200" i="17"/>
  <c r="H24" i="11"/>
  <c r="H55" i="13"/>
  <c r="H58" i="13"/>
  <c r="H33" i="7"/>
  <c r="H84" i="12"/>
  <c r="H52" i="6"/>
  <c r="D222" i="17"/>
  <c r="D227" i="17"/>
  <c r="D31" i="6"/>
  <c r="D217" i="17"/>
  <c r="D53" i="6"/>
  <c r="F113" i="10"/>
  <c r="D33" i="17"/>
  <c r="D251" i="17"/>
  <c r="H225" i="17"/>
  <c r="H68" i="16"/>
  <c r="H59" i="17"/>
  <c r="H50" i="15"/>
  <c r="H10" i="17"/>
  <c r="H8" i="15"/>
  <c r="D9" i="13"/>
  <c r="H60" i="12"/>
  <c r="H27" i="8"/>
  <c r="H21" i="12"/>
  <c r="H15" i="6"/>
  <c r="D99" i="17"/>
  <c r="D65" i="16"/>
  <c r="D48" i="12"/>
  <c r="D76" i="13"/>
  <c r="D81" i="13"/>
  <c r="F30" i="9"/>
  <c r="D63" i="15"/>
  <c r="D36" i="15"/>
  <c r="D74" i="15"/>
  <c r="D94" i="17"/>
  <c r="H172" i="17"/>
  <c r="H136" i="15"/>
  <c r="H39" i="17"/>
  <c r="H34" i="15"/>
  <c r="D34" i="12"/>
  <c r="G59" i="10"/>
  <c r="F220" i="2" s="1"/>
  <c r="H31" i="12"/>
  <c r="H12" i="8"/>
  <c r="H4" i="12"/>
  <c r="H3" i="6"/>
  <c r="D114" i="15"/>
  <c r="D92" i="17"/>
  <c r="D40" i="17"/>
  <c r="D45" i="17"/>
  <c r="H242" i="17"/>
  <c r="H84" i="16"/>
  <c r="H160" i="17"/>
  <c r="H134" i="15"/>
  <c r="H54" i="17"/>
  <c r="H47" i="15"/>
  <c r="D78" i="17"/>
  <c r="H4" i="13"/>
  <c r="H3" i="11"/>
  <c r="G62" i="10"/>
  <c r="F235" i="2" s="1"/>
  <c r="H93" i="12"/>
  <c r="H45" i="8"/>
  <c r="D40" i="15"/>
  <c r="D45" i="11"/>
  <c r="D42" i="12"/>
  <c r="F128" i="10"/>
  <c r="D5" i="6"/>
  <c r="D72" i="15"/>
  <c r="D4" i="17"/>
  <c r="H249" i="17"/>
  <c r="H90" i="16"/>
  <c r="H122" i="17"/>
  <c r="H102" i="15"/>
  <c r="H208" i="17"/>
  <c r="H156" i="15"/>
  <c r="D89" i="15"/>
  <c r="H14" i="11"/>
  <c r="H19" i="13"/>
  <c r="G113" i="10"/>
  <c r="F489" i="2" s="1"/>
  <c r="H55" i="12"/>
  <c r="H24" i="8"/>
  <c r="H6" i="12"/>
  <c r="H4" i="6"/>
  <c r="D71" i="17"/>
  <c r="D123" i="17"/>
  <c r="D36" i="6"/>
  <c r="G106" i="10" l="1"/>
  <c r="F436" i="2" s="1"/>
  <c r="G111" i="10"/>
  <c r="F477" i="2" s="1"/>
  <c r="G44" i="10"/>
  <c r="F170" i="2" s="1"/>
  <c r="G25" i="10"/>
  <c r="F92" i="2" s="1"/>
  <c r="G137" i="10"/>
  <c r="F638" i="2" s="1"/>
  <c r="G31" i="10"/>
  <c r="F122" i="2" s="1"/>
  <c r="G120" i="10"/>
  <c r="F559" i="2" s="1"/>
  <c r="G28" i="10"/>
  <c r="F108" i="2" s="1"/>
  <c r="G81" i="10"/>
  <c r="F334" i="2" s="1"/>
  <c r="G57" i="10"/>
  <c r="F212" i="2" s="1"/>
  <c r="G36" i="10"/>
  <c r="F131" i="2" s="1"/>
  <c r="G75" i="10"/>
  <c r="F312" i="2" s="1"/>
  <c r="G10" i="10"/>
  <c r="F33" i="2" s="1"/>
  <c r="G69" i="10"/>
  <c r="F286" i="2" s="1"/>
  <c r="G64" i="10"/>
  <c r="F243" i="2" s="1"/>
  <c r="G32" i="10"/>
  <c r="F123" i="2" s="1"/>
  <c r="G11" i="10"/>
  <c r="F34" i="2" s="1"/>
  <c r="G27" i="10"/>
  <c r="F106" i="2" s="1"/>
  <c r="G125" i="10"/>
  <c r="F585" i="2" s="1"/>
  <c r="G67" i="10"/>
  <c r="F280" i="2" s="1"/>
  <c r="G112" i="10"/>
  <c r="F480" i="2" s="1"/>
  <c r="G29" i="10"/>
  <c r="F110" i="2" s="1"/>
  <c r="G38" i="10"/>
  <c r="F143" i="2" s="1"/>
  <c r="G14" i="10"/>
  <c r="F40" i="2" s="1"/>
  <c r="G101" i="10"/>
  <c r="F404" i="2" s="1"/>
  <c r="G5" i="10"/>
  <c r="F8" i="2" s="1"/>
  <c r="G76" i="10"/>
  <c r="F313" i="2" s="1"/>
  <c r="G108" i="10"/>
  <c r="F444" i="2" s="1"/>
  <c r="G134" i="10"/>
  <c r="F634" i="2" s="1"/>
  <c r="G51" i="10"/>
  <c r="F196" i="2" s="1"/>
  <c r="G131" i="10"/>
  <c r="F621" i="2" s="1"/>
  <c r="G122" i="10"/>
  <c r="F571" i="2" s="1"/>
  <c r="G26" i="10"/>
  <c r="F96" i="2" s="1"/>
  <c r="G55" i="10"/>
  <c r="F204" i="2" s="1"/>
  <c r="G63" i="10"/>
  <c r="F237" i="2" s="1"/>
  <c r="G82" i="10"/>
  <c r="F336" i="2" s="1"/>
  <c r="G52" i="10"/>
  <c r="F200" i="2" s="1"/>
  <c r="G45" i="10"/>
  <c r="F171" i="2" s="1"/>
  <c r="G34" i="10"/>
  <c r="F128" i="2" s="1"/>
  <c r="G83" i="10"/>
  <c r="F337" i="2" s="1"/>
  <c r="G16" i="10"/>
  <c r="F53" i="2" s="1"/>
  <c r="G56" i="10"/>
  <c r="F208" i="2" s="1"/>
  <c r="G24" i="10"/>
  <c r="F89" i="2" s="1"/>
  <c r="G100" i="10"/>
  <c r="F398" i="2" s="1"/>
  <c r="G43" i="10"/>
  <c r="F169" i="2" s="1"/>
  <c r="G102" i="10"/>
  <c r="F407" i="2" s="1"/>
  <c r="G41" i="10"/>
  <c r="F158" i="2" s="1"/>
  <c r="G115" i="10"/>
  <c r="F503" i="2" s="1"/>
  <c r="G130" i="10"/>
  <c r="F611" i="2" s="1"/>
  <c r="G39" i="10"/>
  <c r="F153" i="2" s="1"/>
  <c r="G60" i="10"/>
  <c r="F225" i="2" s="1"/>
  <c r="G22" i="10"/>
  <c r="F84" i="2" s="1"/>
  <c r="G84" i="10"/>
  <c r="F344" i="2" s="1"/>
  <c r="G66" i="10"/>
  <c r="F278" i="2" s="1"/>
  <c r="G7" i="10"/>
  <c r="F14" i="2" s="1"/>
  <c r="G23" i="10"/>
  <c r="F88" i="2" s="1"/>
  <c r="G74" i="10"/>
  <c r="F305" i="2" s="1"/>
  <c r="G21" i="10"/>
  <c r="F80" i="2" s="1"/>
  <c r="G86" i="10"/>
  <c r="F350" i="2" s="1"/>
  <c r="G119" i="10"/>
  <c r="F552" i="2" s="1"/>
  <c r="G46" i="10"/>
  <c r="F185" i="2" s="1"/>
  <c r="G19" i="10"/>
  <c r="F75" i="2" s="1"/>
  <c r="G20" i="10"/>
  <c r="F79" i="2" s="1"/>
  <c r="G98" i="10"/>
  <c r="F393" i="2" s="1"/>
  <c r="G139" i="10"/>
  <c r="F651" i="2" s="1"/>
  <c r="G17" i="10"/>
  <c r="F55" i="2" s="1"/>
  <c r="G8" i="10"/>
  <c r="F15" i="2" s="1"/>
  <c r="G72" i="10"/>
  <c r="F298" i="2" s="1"/>
  <c r="G85" i="10"/>
  <c r="F345" i="2" s="1"/>
  <c r="G89" i="10"/>
  <c r="F360" i="2" s="1"/>
  <c r="G118" i="10"/>
  <c r="F530" i="2" s="1"/>
  <c r="G35" i="10"/>
  <c r="F129" i="2" s="1"/>
  <c r="G77" i="10"/>
  <c r="F315" i="2" s="1"/>
  <c r="G50" i="10"/>
  <c r="F193" i="2" s="1"/>
  <c r="G49" i="10"/>
  <c r="F192" i="2" s="1"/>
  <c r="G42" i="10"/>
  <c r="F159" i="2" s="1"/>
  <c r="G95" i="10"/>
  <c r="F378" i="2" s="1"/>
  <c r="G104" i="10"/>
  <c r="F420" i="2" s="1"/>
  <c r="G68" i="10"/>
  <c r="F281" i="2" s="1"/>
  <c r="G58" i="10"/>
  <c r="F217" i="2" s="1"/>
  <c r="G53" i="10"/>
  <c r="F202" i="2" s="1"/>
  <c r="G79" i="10"/>
  <c r="F329" i="2" s="1"/>
  <c r="G88" i="10"/>
  <c r="F359" i="2" s="1"/>
  <c r="G4" i="10"/>
  <c r="F7" i="2" s="1"/>
  <c r="G110" i="10"/>
  <c r="F474" i="2" s="1"/>
  <c r="G128" i="10"/>
  <c r="F606" i="2" s="1"/>
  <c r="G109" i="10"/>
  <c r="F473" i="2" s="1"/>
  <c r="G13" i="10"/>
  <c r="F39" i="2" s="1"/>
  <c r="G70" i="10"/>
  <c r="F287" i="2" s="1"/>
  <c r="G6" i="10"/>
  <c r="F9" i="2" s="1"/>
  <c r="G65" i="10"/>
  <c r="F254" i="2" s="1"/>
  <c r="G133" i="10"/>
  <c r="F627" i="2" s="1"/>
  <c r="G121" i="10"/>
  <c r="F570" i="2" s="1"/>
  <c r="G114" i="10"/>
  <c r="F490" i="2" s="1"/>
  <c r="G12" i="10"/>
  <c r="F37" i="2" s="1"/>
  <c r="G33" i="10"/>
  <c r="F124" i="2" s="1"/>
  <c r="G15" i="10"/>
  <c r="F45" i="2" s="1"/>
  <c r="G71" i="10"/>
  <c r="F295" i="2" s="1"/>
  <c r="G48" i="10"/>
  <c r="F187" i="2" s="1"/>
  <c r="G97" i="10"/>
  <c r="F390" i="2" s="1"/>
  <c r="F46" i="16"/>
  <c r="F49" i="16"/>
  <c r="F91" i="16"/>
  <c r="F55" i="16"/>
  <c r="F32" i="16"/>
  <c r="F14" i="16"/>
  <c r="F87" i="16"/>
  <c r="F21" i="16"/>
  <c r="F18" i="16"/>
  <c r="F80" i="16"/>
  <c r="F31" i="16"/>
  <c r="F34" i="16"/>
  <c r="F36" i="16"/>
  <c r="F13" i="16"/>
  <c r="F27" i="16"/>
  <c r="F52" i="16"/>
  <c r="F89" i="16"/>
  <c r="F24" i="16"/>
  <c r="F76" i="16"/>
  <c r="F19" i="16"/>
  <c r="F57" i="16"/>
  <c r="F68" i="16"/>
  <c r="F72" i="16"/>
  <c r="F56" i="16"/>
  <c r="F39" i="16"/>
  <c r="F58" i="16"/>
  <c r="F23" i="16"/>
  <c r="F28" i="16"/>
  <c r="F73" i="16"/>
  <c r="F6" i="16"/>
  <c r="F29" i="16"/>
  <c r="F50" i="16"/>
  <c r="F78" i="16"/>
  <c r="F3" i="16"/>
  <c r="F86" i="16"/>
  <c r="F11" i="16"/>
  <c r="F74" i="16"/>
  <c r="F77" i="16"/>
  <c r="F40" i="16"/>
  <c r="F30" i="16"/>
  <c r="F15" i="16"/>
  <c r="F33" i="16"/>
  <c r="F70" i="16"/>
  <c r="F5" i="16"/>
  <c r="F48" i="16"/>
  <c r="F59" i="16"/>
  <c r="F75" i="16"/>
  <c r="F66" i="16"/>
  <c r="F85" i="16"/>
  <c r="F44" i="16"/>
  <c r="F25" i="16"/>
  <c r="F60" i="16"/>
  <c r="F81" i="16"/>
  <c r="F20" i="16"/>
  <c r="F9" i="16"/>
  <c r="F82" i="16"/>
  <c r="F51" i="16"/>
  <c r="F17" i="16"/>
  <c r="F65" i="16"/>
  <c r="F67" i="16"/>
  <c r="F12" i="16"/>
  <c r="F71" i="16"/>
  <c r="F83" i="16"/>
  <c r="F38" i="16"/>
  <c r="F63" i="16"/>
  <c r="F41" i="16"/>
  <c r="F62" i="16"/>
  <c r="F16" i="16"/>
  <c r="F42" i="16"/>
  <c r="F43" i="16"/>
  <c r="F47" i="16"/>
  <c r="F26" i="16"/>
  <c r="F8" i="16"/>
  <c r="F22" i="16"/>
  <c r="F7" i="16"/>
  <c r="F79" i="16"/>
  <c r="F37" i="16"/>
  <c r="F84" i="16"/>
  <c r="F69" i="16"/>
  <c r="F4" i="16"/>
  <c r="F90" i="16"/>
  <c r="F61" i="16"/>
  <c r="F53" i="16"/>
  <c r="F35" i="16"/>
  <c r="F54" i="16"/>
  <c r="F10" i="16"/>
  <c r="F64" i="16"/>
  <c r="F88" i="16"/>
  <c r="F45" i="16"/>
  <c r="F2" i="16"/>
  <c r="F42" i="12"/>
  <c r="F29" i="6"/>
  <c r="F14" i="7"/>
  <c r="G24" i="9"/>
  <c r="F456" i="2" s="1"/>
  <c r="G27" i="9"/>
  <c r="F469" i="2" s="1"/>
  <c r="F11" i="6"/>
  <c r="F91" i="15"/>
  <c r="F17" i="11"/>
  <c r="F7" i="13"/>
  <c r="G5" i="9"/>
  <c r="F109" i="2" s="1"/>
  <c r="G9" i="9"/>
  <c r="F184" i="2" s="1"/>
  <c r="F42" i="15"/>
  <c r="F122" i="17"/>
  <c r="F17" i="12"/>
  <c r="F23" i="8"/>
  <c r="F33" i="12"/>
  <c r="F10" i="7"/>
  <c r="F134" i="15"/>
  <c r="F53" i="8"/>
  <c r="F32" i="8"/>
  <c r="F8" i="6"/>
  <c r="F78" i="13"/>
  <c r="F14" i="11"/>
  <c r="F233" i="17"/>
  <c r="F43" i="7"/>
  <c r="F58" i="15"/>
  <c r="F40" i="7"/>
  <c r="F7" i="11"/>
  <c r="F15" i="12"/>
  <c r="G46" i="9"/>
  <c r="F593" i="2" s="1"/>
  <c r="F26" i="6"/>
  <c r="F44" i="11"/>
  <c r="G7" i="9"/>
  <c r="F145" i="2" s="1"/>
  <c r="F23" i="7"/>
  <c r="G17" i="9"/>
  <c r="F354" i="2" s="1"/>
  <c r="G14" i="9"/>
  <c r="F311" i="2" s="1"/>
  <c r="F41" i="13"/>
  <c r="F154" i="15"/>
  <c r="F47" i="7"/>
  <c r="F23" i="6"/>
  <c r="F30" i="6"/>
  <c r="F250" i="17"/>
  <c r="F47" i="13"/>
  <c r="F105" i="17"/>
  <c r="F88" i="13"/>
  <c r="F9" i="13"/>
  <c r="G48" i="9"/>
  <c r="F596" i="2" s="1"/>
  <c r="F79" i="12"/>
  <c r="F112" i="17"/>
  <c r="F58" i="17"/>
  <c r="G68" i="16"/>
  <c r="F568" i="2" s="1"/>
  <c r="F48" i="12"/>
  <c r="F94" i="17"/>
  <c r="G79" i="16"/>
  <c r="F595" i="2" s="1"/>
  <c r="G63" i="16"/>
  <c r="F561" i="2" s="1"/>
  <c r="F202" i="17"/>
  <c r="F160" i="17"/>
  <c r="G6" i="9"/>
  <c r="G12" i="16"/>
  <c r="F271" i="2" s="1"/>
  <c r="F216" i="17"/>
  <c r="F37" i="11"/>
  <c r="G69" i="16"/>
  <c r="F569" i="2" s="1"/>
  <c r="G30" i="9"/>
  <c r="F494" i="2" s="1"/>
  <c r="G40" i="9"/>
  <c r="F535" i="2" s="1"/>
  <c r="G35" i="16"/>
  <c r="F488" i="2" s="1"/>
  <c r="F42" i="11"/>
  <c r="F203" i="17"/>
  <c r="F37" i="6"/>
  <c r="F110" i="17"/>
  <c r="G72" i="16"/>
  <c r="F578" i="2" s="1"/>
  <c r="F42" i="13"/>
  <c r="F87" i="17"/>
  <c r="G19" i="16"/>
  <c r="F363" i="2" s="1"/>
  <c r="H11" i="13"/>
  <c r="H4" i="7"/>
  <c r="F58" i="12"/>
  <c r="F120" i="17"/>
  <c r="G52" i="16"/>
  <c r="F540" i="2" s="1"/>
  <c r="F33" i="6"/>
  <c r="G3" i="16"/>
  <c r="F133" i="2" s="1"/>
  <c r="F67" i="15"/>
  <c r="F14" i="12"/>
  <c r="F12" i="8"/>
  <c r="F43" i="11"/>
  <c r="G3" i="9"/>
  <c r="F86" i="2" s="1"/>
  <c r="G74" i="16"/>
  <c r="F583" i="2" s="1"/>
  <c r="F46" i="12"/>
  <c r="F22" i="13"/>
  <c r="F158" i="17"/>
  <c r="F45" i="7"/>
  <c r="F51" i="6"/>
  <c r="F110" i="15"/>
  <c r="G15" i="9"/>
  <c r="F330" i="2" s="1"/>
  <c r="G45" i="16"/>
  <c r="F522" i="2" s="1"/>
  <c r="E34" i="3" s="1"/>
  <c r="F47" i="15"/>
  <c r="G31" i="16"/>
  <c r="F457" i="2" s="1"/>
  <c r="G40" i="10"/>
  <c r="F154" i="2" s="1"/>
  <c r="G18" i="10"/>
  <c r="F72" i="2" s="1"/>
  <c r="F238" i="17"/>
  <c r="F111" i="17"/>
  <c r="F70" i="15"/>
  <c r="G33" i="9"/>
  <c r="F508" i="2" s="1"/>
  <c r="G49" i="16"/>
  <c r="F532" i="2" s="1"/>
  <c r="F64" i="17"/>
  <c r="F11" i="11"/>
  <c r="F156" i="15"/>
  <c r="F43" i="6"/>
  <c r="F50" i="6"/>
  <c r="F47" i="6"/>
  <c r="F63" i="6"/>
  <c r="F49" i="6"/>
  <c r="F48" i="6"/>
  <c r="F36" i="6"/>
  <c r="F56" i="6"/>
  <c r="F13" i="6"/>
  <c r="F18" i="6"/>
  <c r="F61" i="6"/>
  <c r="F7" i="6"/>
  <c r="F35" i="6"/>
  <c r="F53" i="6"/>
  <c r="F20" i="6"/>
  <c r="F46" i="6"/>
  <c r="F54" i="6"/>
  <c r="F45" i="6"/>
  <c r="F42" i="6"/>
  <c r="F39" i="6"/>
  <c r="F6" i="6"/>
  <c r="F24" i="6"/>
  <c r="F59" i="6"/>
  <c r="F4" i="6"/>
  <c r="F22" i="6"/>
  <c r="F19" i="6"/>
  <c r="F34" i="6"/>
  <c r="F44" i="6"/>
  <c r="F2" i="6"/>
  <c r="F32" i="6"/>
  <c r="F57" i="6"/>
  <c r="F3" i="6"/>
  <c r="F14" i="6"/>
  <c r="F62" i="6"/>
  <c r="F28" i="6"/>
  <c r="F27" i="6"/>
  <c r="F5" i="6"/>
  <c r="F31" i="6"/>
  <c r="F52" i="6"/>
  <c r="F17" i="6"/>
  <c r="F92" i="12"/>
  <c r="F99" i="12"/>
  <c r="G23" i="16"/>
  <c r="F406" i="2" s="1"/>
  <c r="F22" i="11"/>
  <c r="F72" i="17"/>
  <c r="F155" i="17"/>
  <c r="F143" i="17"/>
  <c r="F118" i="17"/>
  <c r="F63" i="12"/>
  <c r="G44" i="16"/>
  <c r="F521" i="2" s="1"/>
  <c r="F54" i="15"/>
  <c r="G64" i="16"/>
  <c r="F563" i="2" s="1"/>
  <c r="G36" i="16"/>
  <c r="F491" i="2" s="1"/>
  <c r="F141" i="15"/>
  <c r="F136" i="17"/>
  <c r="F60" i="15"/>
  <c r="G65" i="16"/>
  <c r="F565" i="2" s="1"/>
  <c r="F49" i="8"/>
  <c r="F82" i="17"/>
  <c r="F40" i="12"/>
  <c r="G8" i="9"/>
  <c r="F148" i="2" s="1"/>
  <c r="E11" i="3" s="1"/>
  <c r="F60" i="17"/>
  <c r="F92" i="15"/>
  <c r="G44" i="9"/>
  <c r="F564" i="2" s="1"/>
  <c r="F199" i="17"/>
  <c r="F31" i="15"/>
  <c r="F28" i="13"/>
  <c r="F22" i="7"/>
  <c r="F69" i="17"/>
  <c r="F107" i="17"/>
  <c r="G54" i="9"/>
  <c r="F649" i="2" s="1"/>
  <c r="F108" i="17"/>
  <c r="G18" i="9"/>
  <c r="F380" i="2" s="1"/>
  <c r="F53" i="12"/>
  <c r="F191" i="17"/>
  <c r="F70" i="17"/>
  <c r="F6" i="17"/>
  <c r="F163" i="17"/>
  <c r="F145" i="17"/>
  <c r="F224" i="17"/>
  <c r="F239" i="17"/>
  <c r="F90" i="17"/>
  <c r="F141" i="17"/>
  <c r="F153" i="17"/>
  <c r="F146" i="17"/>
  <c r="F234" i="17"/>
  <c r="F38" i="17"/>
  <c r="F126" i="17"/>
  <c r="F185" i="17"/>
  <c r="F9" i="17"/>
  <c r="F10" i="17"/>
  <c r="F165" i="17"/>
  <c r="F184" i="17"/>
  <c r="F73" i="17"/>
  <c r="F229" i="17"/>
  <c r="F131" i="17"/>
  <c r="F245" i="17"/>
  <c r="F89" i="17"/>
  <c r="F61" i="17"/>
  <c r="F5" i="17"/>
  <c r="F11" i="17"/>
  <c r="F214" i="17"/>
  <c r="F190" i="17"/>
  <c r="F201" i="17"/>
  <c r="F36" i="17"/>
  <c r="F93" i="17"/>
  <c r="F166" i="17"/>
  <c r="F223" i="17"/>
  <c r="F45" i="17"/>
  <c r="F40" i="17"/>
  <c r="F92" i="17"/>
  <c r="F99" i="17"/>
  <c r="F95" i="17"/>
  <c r="F33" i="17"/>
  <c r="F227" i="17"/>
  <c r="F51" i="17"/>
  <c r="F14" i="17"/>
  <c r="F192" i="17"/>
  <c r="F182" i="17"/>
  <c r="F183" i="17"/>
  <c r="F59" i="17"/>
  <c r="F20" i="17"/>
  <c r="F175" i="17"/>
  <c r="F180" i="17"/>
  <c r="F140" i="17"/>
  <c r="F232" i="17"/>
  <c r="F167" i="17"/>
  <c r="F149" i="17"/>
  <c r="F212" i="17"/>
  <c r="F104" i="17"/>
  <c r="F156" i="17"/>
  <c r="F63" i="17"/>
  <c r="F168" i="17"/>
  <c r="F211" i="17"/>
  <c r="F42" i="17"/>
  <c r="F237" i="17"/>
  <c r="F102" i="17"/>
  <c r="F115" i="17"/>
  <c r="F164" i="17"/>
  <c r="F15" i="17"/>
  <c r="F142" i="17"/>
  <c r="F137" i="17"/>
  <c r="F198" i="17"/>
  <c r="F176" i="17"/>
  <c r="F178" i="17"/>
  <c r="F68" i="17"/>
  <c r="F181" i="17"/>
  <c r="F240" i="17"/>
  <c r="F119" i="17"/>
  <c r="F228" i="17"/>
  <c r="F244" i="17"/>
  <c r="F221" i="17"/>
  <c r="F25" i="17"/>
  <c r="F124" i="17"/>
  <c r="F188" i="17"/>
  <c r="F62" i="17"/>
  <c r="F28" i="17"/>
  <c r="F29" i="17"/>
  <c r="F2" i="17"/>
  <c r="F67" i="17"/>
  <c r="F209" i="17"/>
  <c r="F162" i="17"/>
  <c r="F8" i="17"/>
  <c r="F26" i="17"/>
  <c r="F170" i="17"/>
  <c r="F148" i="17"/>
  <c r="F210" i="17"/>
  <c r="F31" i="17"/>
  <c r="F19" i="17"/>
  <c r="F75" i="17"/>
  <c r="F77" i="17"/>
  <c r="F241" i="17"/>
  <c r="F186" i="17"/>
  <c r="F49" i="17"/>
  <c r="F128" i="17"/>
  <c r="F43" i="17"/>
  <c r="F154" i="17"/>
  <c r="F226" i="17"/>
  <c r="F27" i="17"/>
  <c r="F230" i="17"/>
  <c r="F135" i="17"/>
  <c r="F21" i="17"/>
  <c r="F150" i="17"/>
  <c r="F97" i="17"/>
  <c r="F7" i="17"/>
  <c r="F37" i="17"/>
  <c r="F46" i="17"/>
  <c r="F18" i="17"/>
  <c r="F55" i="17"/>
  <c r="F41" i="17"/>
  <c r="F24" i="17"/>
  <c r="F30" i="17"/>
  <c r="F197" i="17"/>
  <c r="F225" i="17"/>
  <c r="F83" i="17"/>
  <c r="F193" i="17"/>
  <c r="F84" i="17"/>
  <c r="F47" i="17"/>
  <c r="F12" i="17"/>
  <c r="F179" i="17"/>
  <c r="F121" i="17"/>
  <c r="F235" i="17"/>
  <c r="F65" i="17"/>
  <c r="F218" i="17"/>
  <c r="F101" i="17"/>
  <c r="F109" i="17"/>
  <c r="F231" i="17"/>
  <c r="F35" i="17"/>
  <c r="F132" i="17"/>
  <c r="F174" i="17"/>
  <c r="F139" i="17"/>
  <c r="F13" i="17"/>
  <c r="F22" i="17"/>
  <c r="F187" i="17"/>
  <c r="F116" i="17"/>
  <c r="F56" i="17"/>
  <c r="F76" i="17"/>
  <c r="F98" i="17"/>
  <c r="F242" i="17"/>
  <c r="F144" i="17"/>
  <c r="F236" i="17"/>
  <c r="F23" i="17"/>
  <c r="F86" i="17"/>
  <c r="F172" i="17"/>
  <c r="F106" i="17"/>
  <c r="F219" i="17"/>
  <c r="F213" i="17"/>
  <c r="F123" i="17"/>
  <c r="F71" i="17"/>
  <c r="F4" i="17"/>
  <c r="F100" i="17"/>
  <c r="F251" i="17"/>
  <c r="F17" i="17"/>
  <c r="F16" i="17"/>
  <c r="F222" i="17"/>
  <c r="F200" i="17"/>
  <c r="F39" i="17"/>
  <c r="F138" i="17"/>
  <c r="F206" i="17"/>
  <c r="F44" i="17"/>
  <c r="F88" i="17"/>
  <c r="F85" i="17"/>
  <c r="F147" i="17"/>
  <c r="F130" i="17"/>
  <c r="F159" i="17"/>
  <c r="F205" i="17"/>
  <c r="F48" i="17"/>
  <c r="F3" i="17"/>
  <c r="F215" i="17"/>
  <c r="F32" i="17"/>
  <c r="F72" i="13"/>
  <c r="H2" i="12"/>
  <c r="H2" i="8"/>
  <c r="G55" i="8" s="1"/>
  <c r="F648" i="2" s="1"/>
  <c r="G70" i="16"/>
  <c r="F572" i="2" s="1"/>
  <c r="G42" i="9"/>
  <c r="F556" i="2" s="1"/>
  <c r="F133" i="17"/>
  <c r="F86" i="15"/>
  <c r="G38" i="16"/>
  <c r="F500" i="2" s="1"/>
  <c r="F115" i="15"/>
  <c r="F150" i="15"/>
  <c r="F127" i="17"/>
  <c r="G6" i="16"/>
  <c r="F191" i="2" s="1"/>
  <c r="F33" i="7"/>
  <c r="F12" i="6"/>
  <c r="F9" i="7"/>
  <c r="F25" i="6"/>
  <c r="F50" i="12"/>
  <c r="G37" i="9"/>
  <c r="F527" i="2" s="1"/>
  <c r="G43" i="9"/>
  <c r="F557" i="2" s="1"/>
  <c r="F16" i="6"/>
  <c r="G4" i="9"/>
  <c r="F95" i="2" s="1"/>
  <c r="G14" i="16"/>
  <c r="F304" i="2" s="1"/>
  <c r="F16" i="12"/>
  <c r="F114" i="17"/>
  <c r="G9" i="16"/>
  <c r="F227" i="2" s="1"/>
  <c r="F157" i="17"/>
  <c r="F92" i="13"/>
  <c r="F208" i="17"/>
  <c r="F82" i="15"/>
  <c r="G50" i="16"/>
  <c r="F537" i="2" s="1"/>
  <c r="G29" i="16"/>
  <c r="F449" i="2" s="1"/>
  <c r="F46" i="15"/>
  <c r="G18" i="16"/>
  <c r="F356" i="2" s="1"/>
  <c r="G47" i="16"/>
  <c r="F524" i="2" s="1"/>
  <c r="G49" i="9"/>
  <c r="F598" i="2" s="1"/>
  <c r="G37" i="16"/>
  <c r="F499" i="2" s="1"/>
  <c r="G35" i="9"/>
  <c r="F520" i="2" s="1"/>
  <c r="F21" i="6"/>
  <c r="F61" i="12"/>
  <c r="F16" i="13"/>
  <c r="F58" i="6"/>
  <c r="F99" i="15"/>
  <c r="F12" i="11"/>
  <c r="F10" i="6"/>
  <c r="F31" i="12"/>
  <c r="F26" i="8"/>
  <c r="F9" i="6"/>
  <c r="G39" i="9"/>
  <c r="F533" i="2" s="1"/>
  <c r="F105" i="15"/>
  <c r="F41" i="6"/>
  <c r="F129" i="15"/>
  <c r="F130" i="15"/>
  <c r="F15" i="13"/>
  <c r="H2" i="17"/>
  <c r="H3" i="15"/>
  <c r="F50" i="17"/>
  <c r="F59" i="12"/>
  <c r="F15" i="6"/>
  <c r="F104" i="15"/>
  <c r="F207" i="17"/>
  <c r="G25" i="16"/>
  <c r="F414" i="2" s="1"/>
  <c r="F62" i="15"/>
  <c r="F19" i="13"/>
  <c r="F48" i="13"/>
  <c r="G2" i="10"/>
  <c r="G30" i="16"/>
  <c r="F452" i="2" s="1"/>
  <c r="G24" i="16"/>
  <c r="F409" i="2" s="1"/>
  <c r="G4" i="16"/>
  <c r="F165" i="2" s="1"/>
  <c r="G28" i="16"/>
  <c r="F448" i="2" s="1"/>
  <c r="F52" i="8"/>
  <c r="G85" i="16"/>
  <c r="F612" i="2" s="1"/>
  <c r="G17" i="16"/>
  <c r="F346" i="2" s="1"/>
  <c r="F100" i="15"/>
  <c r="F34" i="17"/>
  <c r="G48" i="16"/>
  <c r="F525" i="2" s="1"/>
  <c r="F204" i="17"/>
  <c r="F87" i="13"/>
  <c r="H3" i="12"/>
  <c r="H2" i="6"/>
  <c r="F57" i="17"/>
  <c r="F146" i="15"/>
  <c r="F243" i="17"/>
  <c r="F79" i="17"/>
  <c r="F74" i="17"/>
  <c r="F90" i="15"/>
  <c r="F108" i="15"/>
  <c r="F13" i="13"/>
  <c r="G11" i="9"/>
  <c r="F239" i="2" s="1"/>
  <c r="F48" i="15"/>
  <c r="G45" i="9"/>
  <c r="F579" i="2" s="1"/>
  <c r="F77" i="15"/>
  <c r="F102" i="15"/>
  <c r="F195" i="17"/>
  <c r="G53" i="9"/>
  <c r="F635" i="2" s="1"/>
  <c r="F177" i="17"/>
  <c r="F18" i="12"/>
  <c r="F113" i="17"/>
  <c r="G27" i="16"/>
  <c r="F441" i="2" s="1"/>
  <c r="H8" i="13"/>
  <c r="H6" i="11"/>
  <c r="G44" i="11" s="1"/>
  <c r="F647" i="2" s="1"/>
  <c r="F249" i="17"/>
  <c r="F29" i="11"/>
  <c r="F30" i="11"/>
  <c r="F45" i="11"/>
  <c r="F36" i="11"/>
  <c r="F13" i="11"/>
  <c r="F15" i="11"/>
  <c r="F9" i="11"/>
  <c r="F27" i="11"/>
  <c r="F39" i="11"/>
  <c r="F19" i="11"/>
  <c r="F23" i="11"/>
  <c r="F4" i="11"/>
  <c r="F8" i="11"/>
  <c r="F34" i="11"/>
  <c r="F26" i="11"/>
  <c r="F41" i="11"/>
  <c r="F18" i="11"/>
  <c r="F25" i="11"/>
  <c r="F2" i="11"/>
  <c r="F28" i="11"/>
  <c r="F6" i="11"/>
  <c r="F33" i="11"/>
  <c r="F38" i="11"/>
  <c r="F24" i="11"/>
  <c r="F32" i="11"/>
  <c r="F40" i="11"/>
  <c r="F35" i="11"/>
  <c r="F3" i="11"/>
  <c r="F20" i="11"/>
  <c r="G34" i="9"/>
  <c r="F510" i="2" s="1"/>
  <c r="G78" i="16"/>
  <c r="F591" i="2" s="1"/>
  <c r="F83" i="15"/>
  <c r="F22" i="12"/>
  <c r="F103" i="17"/>
  <c r="F60" i="6"/>
  <c r="G31" i="9"/>
  <c r="F496" i="2" s="1"/>
  <c r="G82" i="16"/>
  <c r="F603" i="2" s="1"/>
  <c r="F57" i="12"/>
  <c r="F196" i="17"/>
  <c r="F217" i="17"/>
  <c r="G57" i="16"/>
  <c r="F536" i="2" s="1"/>
  <c r="H13" i="17"/>
  <c r="H2" i="15"/>
  <c r="H20" i="6"/>
  <c r="G23" i="3"/>
  <c r="G38" i="9"/>
  <c r="F534" i="2" s="1"/>
  <c r="F96" i="12"/>
  <c r="F125" i="17"/>
  <c r="F14" i="8"/>
  <c r="F48" i="8"/>
  <c r="F40" i="6"/>
  <c r="F98" i="12"/>
  <c r="G11" i="16"/>
  <c r="F258" i="2" s="1"/>
  <c r="F134" i="17"/>
  <c r="F171" i="17"/>
  <c r="G51" i="16"/>
  <c r="F538" i="2" s="1"/>
  <c r="F39" i="8"/>
  <c r="G25" i="9"/>
  <c r="F462" i="2" s="1"/>
  <c r="F17" i="8"/>
  <c r="F9" i="8"/>
  <c r="F45" i="8"/>
  <c r="F55" i="8"/>
  <c r="F4" i="8"/>
  <c r="F15" i="8"/>
  <c r="F38" i="8"/>
  <c r="F51" i="8"/>
  <c r="F54" i="8"/>
  <c r="F11" i="8"/>
  <c r="F10" i="8"/>
  <c r="F34" i="8"/>
  <c r="F7" i="8"/>
  <c r="F42" i="8"/>
  <c r="F43" i="8"/>
  <c r="F35" i="8"/>
  <c r="F27" i="8"/>
  <c r="F2" i="8"/>
  <c r="F33" i="8"/>
  <c r="F41" i="8"/>
  <c r="F24" i="8"/>
  <c r="F20" i="8"/>
  <c r="F22" i="8"/>
  <c r="F16" i="8"/>
  <c r="F3" i="8"/>
  <c r="F5" i="8"/>
  <c r="F29" i="8"/>
  <c r="F28" i="8"/>
  <c r="F31" i="8"/>
  <c r="F30" i="8"/>
  <c r="F47" i="8"/>
  <c r="F8" i="8"/>
  <c r="F19" i="8"/>
  <c r="F44" i="8"/>
  <c r="F40" i="8"/>
  <c r="F18" i="8"/>
  <c r="F6" i="8"/>
  <c r="F36" i="8"/>
  <c r="F46" i="8"/>
  <c r="F13" i="8"/>
  <c r="G10" i="9"/>
  <c r="F215" i="2" s="1"/>
  <c r="F111" i="15"/>
  <c r="G88" i="16"/>
  <c r="F620" i="2" s="1"/>
  <c r="F69" i="12"/>
  <c r="F38" i="12"/>
  <c r="F72" i="12"/>
  <c r="F12" i="12"/>
  <c r="F74" i="12"/>
  <c r="F45" i="12"/>
  <c r="F52" i="12"/>
  <c r="F64" i="12"/>
  <c r="F75" i="12"/>
  <c r="F62" i="12"/>
  <c r="F88" i="12"/>
  <c r="F104" i="12"/>
  <c r="F76" i="12"/>
  <c r="F51" i="12"/>
  <c r="F55" i="12"/>
  <c r="F7" i="12"/>
  <c r="F37" i="12"/>
  <c r="F35" i="12"/>
  <c r="F44" i="12"/>
  <c r="F4" i="12"/>
  <c r="F103" i="12"/>
  <c r="F30" i="12"/>
  <c r="F84" i="12"/>
  <c r="F67" i="12"/>
  <c r="F65" i="12"/>
  <c r="F29" i="12"/>
  <c r="F32" i="12"/>
  <c r="F85" i="12"/>
  <c r="F78" i="12"/>
  <c r="F95" i="12"/>
  <c r="F73" i="12"/>
  <c r="F23" i="12"/>
  <c r="F41" i="12"/>
  <c r="F3" i="12"/>
  <c r="F11" i="12"/>
  <c r="F20" i="12"/>
  <c r="F56" i="12"/>
  <c r="F36" i="12"/>
  <c r="F82" i="12"/>
  <c r="F10" i="12"/>
  <c r="F68" i="12"/>
  <c r="F91" i="12"/>
  <c r="F80" i="12"/>
  <c r="F90" i="12"/>
  <c r="F19" i="12"/>
  <c r="F13" i="12"/>
  <c r="F25" i="12"/>
  <c r="F54" i="12"/>
  <c r="F43" i="12"/>
  <c r="F2" i="12"/>
  <c r="F5" i="12"/>
  <c r="F6" i="12"/>
  <c r="F86" i="12"/>
  <c r="F100" i="12"/>
  <c r="F27" i="12"/>
  <c r="F8" i="12"/>
  <c r="F9" i="12"/>
  <c r="F47" i="12"/>
  <c r="F39" i="12"/>
  <c r="F24" i="12"/>
  <c r="F71" i="12"/>
  <c r="F97" i="12"/>
  <c r="F60" i="12"/>
  <c r="F94" i="12"/>
  <c r="F81" i="12"/>
  <c r="F93" i="12"/>
  <c r="F26" i="12"/>
  <c r="G89" i="16"/>
  <c r="F616" i="2" s="1"/>
  <c r="G10" i="16"/>
  <c r="F232" i="2" s="1"/>
  <c r="F43" i="13"/>
  <c r="G7" i="16"/>
  <c r="F197" i="2" s="1"/>
  <c r="G47" i="10"/>
  <c r="F186" i="2" s="1"/>
  <c r="G5" i="16"/>
  <c r="F167" i="2" s="1"/>
  <c r="G22" i="16"/>
  <c r="F353" i="2" s="1"/>
  <c r="F34" i="12"/>
  <c r="G50" i="9"/>
  <c r="F602" i="2" s="1"/>
  <c r="F37" i="8"/>
  <c r="F152" i="17"/>
  <c r="F32" i="13"/>
  <c r="G2" i="16"/>
  <c r="F112" i="2" s="1"/>
  <c r="F169" i="17"/>
  <c r="F117" i="17"/>
  <c r="F246" i="17"/>
  <c r="G76" i="16"/>
  <c r="F586" i="2" s="1"/>
  <c r="G42" i="16"/>
  <c r="F515" i="2" s="1"/>
  <c r="G13" i="9"/>
  <c r="F310" i="2" s="1"/>
  <c r="F194" i="17"/>
  <c r="F31" i="11"/>
  <c r="H68" i="17"/>
  <c r="H56" i="15"/>
  <c r="H54" i="13"/>
  <c r="H32" i="7"/>
  <c r="G53" i="16"/>
  <c r="F542" i="2" s="1"/>
  <c r="F5" i="11"/>
  <c r="F25" i="8"/>
  <c r="G67" i="16"/>
  <c r="F567" i="2" s="1"/>
  <c r="F161" i="17"/>
  <c r="F93" i="13"/>
  <c r="G51" i="9"/>
  <c r="F618" i="2" s="1"/>
  <c r="F83" i="12"/>
  <c r="G16" i="16"/>
  <c r="F322" i="2" s="1"/>
  <c r="G19" i="9"/>
  <c r="F397" i="2" s="1"/>
  <c r="F220" i="17"/>
  <c r="G80" i="16"/>
  <c r="F600" i="2" s="1"/>
  <c r="G26" i="16"/>
  <c r="F440" i="2" s="1"/>
  <c r="F23" i="13"/>
  <c r="G20" i="16"/>
  <c r="F377" i="2" s="1"/>
  <c r="G55" i="16"/>
  <c r="F545" i="2" s="1"/>
  <c r="G21" i="9"/>
  <c r="F403" i="2" s="1"/>
  <c r="G46" i="16"/>
  <c r="F523" i="2" s="1"/>
  <c r="G34" i="16"/>
  <c r="F487" i="2" s="1"/>
  <c r="F247" i="17"/>
  <c r="G22" i="9"/>
  <c r="F445" i="2" s="1"/>
  <c r="G21" i="16"/>
  <c r="F382" i="2" s="1"/>
  <c r="F54" i="17"/>
  <c r="F151" i="17"/>
  <c r="G43" i="16"/>
  <c r="F518" i="2" s="1"/>
  <c r="F87" i="12"/>
  <c r="G99" i="10"/>
  <c r="F396" i="2" s="1"/>
  <c r="F248" i="17"/>
  <c r="G86" i="16"/>
  <c r="F614" i="2" s="1"/>
  <c r="G66" i="16"/>
  <c r="F566" i="2" s="1"/>
  <c r="G40" i="16"/>
  <c r="F512" i="2" s="1"/>
  <c r="F78" i="17"/>
  <c r="F94" i="15"/>
  <c r="F76" i="15"/>
  <c r="F80" i="15"/>
  <c r="F16" i="15"/>
  <c r="F15" i="15"/>
  <c r="F50" i="15"/>
  <c r="F19" i="15"/>
  <c r="F119" i="15"/>
  <c r="F78" i="15"/>
  <c r="F2" i="15"/>
  <c r="F87" i="15"/>
  <c r="F53" i="15"/>
  <c r="F25" i="15"/>
  <c r="F95" i="15"/>
  <c r="F112" i="15"/>
  <c r="F41" i="15"/>
  <c r="F85" i="15"/>
  <c r="F35" i="15"/>
  <c r="F22" i="15"/>
  <c r="F114" i="15"/>
  <c r="F74" i="15"/>
  <c r="F63" i="15"/>
  <c r="F157" i="15"/>
  <c r="F73" i="15"/>
  <c r="F147" i="15"/>
  <c r="F137" i="15"/>
  <c r="F109" i="15"/>
  <c r="F81" i="15"/>
  <c r="F18" i="15"/>
  <c r="F152" i="15"/>
  <c r="F34" i="15"/>
  <c r="F39" i="15"/>
  <c r="F142" i="15"/>
  <c r="F14" i="15"/>
  <c r="F11" i="15"/>
  <c r="F56" i="15"/>
  <c r="F116" i="15"/>
  <c r="F12" i="15"/>
  <c r="F143" i="15"/>
  <c r="F151" i="15"/>
  <c r="F135" i="15"/>
  <c r="F145" i="15"/>
  <c r="F13" i="15"/>
  <c r="F7" i="15"/>
  <c r="F84" i="15"/>
  <c r="F125" i="15"/>
  <c r="F26" i="15"/>
  <c r="F97" i="15"/>
  <c r="F144" i="15"/>
  <c r="F5" i="15"/>
  <c r="F24" i="15"/>
  <c r="F75" i="15"/>
  <c r="F51" i="15"/>
  <c r="F126" i="15"/>
  <c r="F136" i="15"/>
  <c r="F65" i="15"/>
  <c r="F30" i="15"/>
  <c r="F37" i="15"/>
  <c r="F131" i="15"/>
  <c r="F160" i="15"/>
  <c r="F55" i="15"/>
  <c r="F107" i="15"/>
  <c r="F127" i="15"/>
  <c r="F153" i="15"/>
  <c r="F79" i="15"/>
  <c r="F4" i="15"/>
  <c r="F52" i="15"/>
  <c r="F64" i="15"/>
  <c r="F20" i="15"/>
  <c r="F123" i="15"/>
  <c r="F101" i="15"/>
  <c r="F45" i="15"/>
  <c r="F17" i="15"/>
  <c r="F44" i="15"/>
  <c r="F59" i="15"/>
  <c r="F140" i="15"/>
  <c r="F10" i="15"/>
  <c r="F133" i="15"/>
  <c r="F155" i="15"/>
  <c r="F118" i="15"/>
  <c r="F124" i="15"/>
  <c r="F27" i="15"/>
  <c r="F139" i="15"/>
  <c r="F9" i="15"/>
  <c r="F132" i="15"/>
  <c r="F29" i="15"/>
  <c r="F28" i="15"/>
  <c r="F32" i="15"/>
  <c r="F38" i="15"/>
  <c r="F122" i="15"/>
  <c r="F33" i="15"/>
  <c r="F128" i="15"/>
  <c r="F103" i="15"/>
  <c r="F113" i="15"/>
  <c r="F8" i="15"/>
  <c r="F6" i="15"/>
  <c r="F23" i="15"/>
  <c r="F158" i="15"/>
  <c r="F148" i="15"/>
  <c r="F161" i="15"/>
  <c r="F149" i="15"/>
  <c r="F72" i="15"/>
  <c r="F40" i="15"/>
  <c r="F121" i="15"/>
  <c r="F36" i="15"/>
  <c r="F138" i="15"/>
  <c r="F88" i="15"/>
  <c r="F68" i="15"/>
  <c r="F21" i="15"/>
  <c r="F3" i="15"/>
  <c r="F66" i="15"/>
  <c r="F98" i="15"/>
  <c r="F71" i="15"/>
  <c r="F117" i="15"/>
  <c r="F106" i="15"/>
  <c r="F57" i="15"/>
  <c r="F96" i="15"/>
  <c r="F81" i="13"/>
  <c r="G36" i="9"/>
  <c r="F526" i="2" s="1"/>
  <c r="F61" i="15"/>
  <c r="F55" i="6"/>
  <c r="G12" i="9"/>
  <c r="F285" i="2" s="1"/>
  <c r="G77" i="16"/>
  <c r="F589" i="2" s="1"/>
  <c r="G32" i="9"/>
  <c r="F498" i="2" s="1"/>
  <c r="F16" i="11"/>
  <c r="G61" i="16"/>
  <c r="F558" i="2" s="1"/>
  <c r="G23" i="9"/>
  <c r="F451" i="2" s="1"/>
  <c r="F52" i="17"/>
  <c r="F28" i="12"/>
  <c r="F81" i="17"/>
  <c r="F89" i="12"/>
  <c r="G32" i="16"/>
  <c r="F465" i="2" s="1"/>
  <c r="F101" i="12"/>
  <c r="F66" i="13"/>
  <c r="G16" i="9"/>
  <c r="F335" i="2" s="1"/>
  <c r="G54" i="16"/>
  <c r="F544" i="2" s="1"/>
  <c r="F49" i="15"/>
  <c r="F80" i="17"/>
  <c r="F159" i="15"/>
  <c r="F93" i="15"/>
  <c r="F7" i="7"/>
  <c r="F20" i="7"/>
  <c r="F35" i="7"/>
  <c r="F5" i="7"/>
  <c r="F48" i="7"/>
  <c r="F41" i="7"/>
  <c r="F21" i="7"/>
  <c r="F8" i="7"/>
  <c r="F19" i="7"/>
  <c r="F34" i="7"/>
  <c r="F29" i="7"/>
  <c r="F26" i="7"/>
  <c r="F11" i="7"/>
  <c r="F25" i="7"/>
  <c r="F49" i="7"/>
  <c r="F4" i="7"/>
  <c r="F18" i="7"/>
  <c r="F12" i="7"/>
  <c r="F32" i="7"/>
  <c r="F39" i="7"/>
  <c r="F13" i="7"/>
  <c r="F37" i="7"/>
  <c r="F17" i="7"/>
  <c r="F2" i="7"/>
  <c r="F6" i="7"/>
  <c r="F31" i="7"/>
  <c r="F36" i="7"/>
  <c r="F15" i="7"/>
  <c r="F3" i="7"/>
  <c r="F46" i="7"/>
  <c r="F38" i="7"/>
  <c r="F44" i="7"/>
  <c r="F16" i="7"/>
  <c r="F30" i="7"/>
  <c r="F27" i="7"/>
  <c r="F42" i="7"/>
  <c r="F50" i="7"/>
  <c r="F102" i="12"/>
  <c r="F10" i="11"/>
  <c r="F58" i="13"/>
  <c r="F173" i="17"/>
  <c r="F84" i="13"/>
  <c r="F189" i="17"/>
  <c r="G59" i="16"/>
  <c r="F551" i="2" s="1"/>
  <c r="F129" i="17"/>
  <c r="G75" i="16"/>
  <c r="F584" i="2" s="1"/>
  <c r="G52" i="9"/>
  <c r="F630" i="2" s="1"/>
  <c r="F70" i="12"/>
  <c r="G73" i="16"/>
  <c r="F582" i="2" s="1"/>
  <c r="F120" i="15"/>
  <c r="G124" i="10"/>
  <c r="F581" i="2" s="1"/>
  <c r="F50" i="8"/>
  <c r="G20" i="9"/>
  <c r="F400" i="2" s="1"/>
  <c r="G26" i="9"/>
  <c r="F467" i="2" s="1"/>
  <c r="G81" i="16"/>
  <c r="F601" i="2" s="1"/>
  <c r="G87" i="16"/>
  <c r="F619" i="2" s="1"/>
  <c r="G126" i="10"/>
  <c r="F587" i="2" s="1"/>
  <c r="F49" i="12"/>
  <c r="G2" i="9"/>
  <c r="F77" i="2" s="1"/>
  <c r="G56" i="16"/>
  <c r="F546" i="2" s="1"/>
  <c r="G13" i="16"/>
  <c r="F272" i="2" s="1"/>
  <c r="G90" i="16"/>
  <c r="F631" i="2" s="1"/>
  <c r="F24" i="7"/>
  <c r="F28" i="7"/>
  <c r="F89" i="15"/>
  <c r="G84" i="16"/>
  <c r="F605" i="2" s="1"/>
  <c r="G15" i="16"/>
  <c r="F318" i="2" s="1"/>
  <c r="F53" i="17"/>
  <c r="G41" i="9"/>
  <c r="F549" i="2" s="1"/>
  <c r="G62" i="16"/>
  <c r="F560" i="2" s="1"/>
  <c r="F77" i="12"/>
  <c r="G47" i="9"/>
  <c r="F594" i="2" s="1"/>
  <c r="G33" i="16"/>
  <c r="F483" i="2" s="1"/>
  <c r="F69" i="15"/>
  <c r="G29" i="9"/>
  <c r="F475" i="2" s="1"/>
  <c r="F21" i="13"/>
  <c r="F85" i="13"/>
  <c r="F4" i="13"/>
  <c r="F55" i="13"/>
  <c r="F50" i="13"/>
  <c r="F35" i="13"/>
  <c r="F73" i="13"/>
  <c r="F76" i="13"/>
  <c r="F17" i="13"/>
  <c r="F83" i="13"/>
  <c r="F14" i="13"/>
  <c r="F20" i="13"/>
  <c r="F77" i="13"/>
  <c r="F71" i="13"/>
  <c r="F46" i="13"/>
  <c r="F39" i="13"/>
  <c r="F2" i="13"/>
  <c r="F79" i="13"/>
  <c r="F63" i="13"/>
  <c r="F44" i="13"/>
  <c r="F31" i="13"/>
  <c r="F3" i="13"/>
  <c r="F26" i="13"/>
  <c r="F54" i="13"/>
  <c r="F11" i="13"/>
  <c r="F34" i="13"/>
  <c r="F57" i="13"/>
  <c r="F12" i="13"/>
  <c r="F24" i="13"/>
  <c r="F67" i="13"/>
  <c r="F25" i="13"/>
  <c r="F10" i="13"/>
  <c r="F38" i="13"/>
  <c r="F6" i="13"/>
  <c r="F75" i="13"/>
  <c r="F90" i="13"/>
  <c r="F65" i="13"/>
  <c r="F82" i="13"/>
  <c r="F27" i="13"/>
  <c r="F89" i="13"/>
  <c r="F80" i="13"/>
  <c r="F5" i="13"/>
  <c r="F61" i="13"/>
  <c r="F62" i="13"/>
  <c r="F40" i="13"/>
  <c r="F30" i="13"/>
  <c r="F53" i="13"/>
  <c r="F59" i="13"/>
  <c r="F74" i="13"/>
  <c r="F68" i="13"/>
  <c r="F8" i="13"/>
  <c r="F91" i="13"/>
  <c r="F37" i="13"/>
  <c r="F94" i="13"/>
  <c r="F51" i="13"/>
  <c r="F29" i="13"/>
  <c r="F86" i="13"/>
  <c r="F52" i="13"/>
  <c r="F36" i="13"/>
  <c r="F18" i="13"/>
  <c r="F70" i="13"/>
  <c r="F69" i="13"/>
  <c r="F56" i="13"/>
  <c r="F60" i="13"/>
  <c r="F45" i="13"/>
  <c r="F64" i="13"/>
  <c r="F38" i="6"/>
  <c r="G60" i="16"/>
  <c r="F553" i="2" s="1"/>
  <c r="F96" i="17"/>
  <c r="F66" i="12"/>
  <c r="G41" i="16"/>
  <c r="F514" i="2" s="1"/>
  <c r="F43" i="15"/>
  <c r="F66" i="17"/>
  <c r="G71" i="16"/>
  <c r="F576" i="2" s="1"/>
  <c r="G83" i="16"/>
  <c r="F604" i="2" s="1"/>
  <c r="F91" i="17"/>
  <c r="F21" i="8"/>
  <c r="G91" i="16"/>
  <c r="F640" i="2" s="1"/>
  <c r="G58" i="16"/>
  <c r="F548" i="2" s="1"/>
  <c r="F49" i="13"/>
  <c r="G39" i="16"/>
  <c r="F504" i="2" s="1"/>
  <c r="G8" i="16"/>
  <c r="F199" i="2" s="1"/>
  <c r="F21" i="11"/>
  <c r="F33" i="13"/>
  <c r="F21" i="12"/>
  <c r="G24" i="11" l="1"/>
  <c r="F289" i="2" s="1"/>
  <c r="G12" i="11"/>
  <c r="F69" i="2" s="1"/>
  <c r="G25" i="13"/>
  <c r="G37" i="11"/>
  <c r="F472" i="2" s="1"/>
  <c r="G8" i="11"/>
  <c r="F48" i="2" s="1"/>
  <c r="G13" i="11"/>
  <c r="F81" i="2" s="1"/>
  <c r="G38" i="11"/>
  <c r="F482" i="2" s="1"/>
  <c r="G28" i="11"/>
  <c r="F372" i="2" s="1"/>
  <c r="G14" i="11"/>
  <c r="F82" i="2" s="1"/>
  <c r="G85" i="13"/>
  <c r="G45" i="11"/>
  <c r="F650" i="2" s="1"/>
  <c r="I77" i="16"/>
  <c r="I9" i="16"/>
  <c r="I227" i="2" s="1"/>
  <c r="I70" i="16"/>
  <c r="I572" i="2" s="1"/>
  <c r="I10" i="16"/>
  <c r="I232" i="2" s="1"/>
  <c r="I48" i="16"/>
  <c r="I525" i="2" s="1"/>
  <c r="I76" i="16"/>
  <c r="I586" i="2" s="1"/>
  <c r="I87" i="16"/>
  <c r="I63" i="16"/>
  <c r="I32" i="16"/>
  <c r="I78" i="16"/>
  <c r="I591" i="2" s="1"/>
  <c r="I81" i="16"/>
  <c r="I601" i="2" s="1"/>
  <c r="I29" i="16"/>
  <c r="I449" i="2" s="1"/>
  <c r="I52" i="16"/>
  <c r="I540" i="2" s="1"/>
  <c r="I8" i="16"/>
  <c r="I199" i="2" s="1"/>
  <c r="I71" i="16"/>
  <c r="I6" i="16"/>
  <c r="I69" i="16"/>
  <c r="I569" i="2" s="1"/>
  <c r="I31" i="16"/>
  <c r="I457" i="2" s="1"/>
  <c r="I26" i="16"/>
  <c r="I440" i="2" s="1"/>
  <c r="I47" i="16"/>
  <c r="I524" i="2" s="1"/>
  <c r="I80" i="16"/>
  <c r="I600" i="2" s="1"/>
  <c r="I91" i="16"/>
  <c r="I640" i="2" s="1"/>
  <c r="I61" i="16"/>
  <c r="I60" i="16"/>
  <c r="I553" i="2" s="1"/>
  <c r="I25" i="16"/>
  <c r="I414" i="2" s="1"/>
  <c r="I14" i="16"/>
  <c r="I304" i="2" s="1"/>
  <c r="I18" i="16"/>
  <c r="I356" i="2" s="1"/>
  <c r="I30" i="16"/>
  <c r="I452" i="2" s="1"/>
  <c r="I64" i="16"/>
  <c r="I563" i="2" s="1"/>
  <c r="I79" i="16"/>
  <c r="I595" i="2" s="1"/>
  <c r="I86" i="16"/>
  <c r="I59" i="16"/>
  <c r="I83" i="16"/>
  <c r="I90" i="16"/>
  <c r="I631" i="2" s="1"/>
  <c r="I37" i="16"/>
  <c r="I499" i="2" s="1"/>
  <c r="I34" i="16"/>
  <c r="I487" i="2" s="1"/>
  <c r="I58" i="16"/>
  <c r="I548" i="2" s="1"/>
  <c r="I74" i="16"/>
  <c r="I583" i="2" s="1"/>
  <c r="I5" i="16"/>
  <c r="I44" i="16"/>
  <c r="I27" i="16"/>
  <c r="I7" i="16"/>
  <c r="I197" i="2" s="1"/>
  <c r="I51" i="16"/>
  <c r="I538" i="2" s="1"/>
  <c r="I3" i="16"/>
  <c r="I133" i="2" s="1"/>
  <c r="I39" i="16"/>
  <c r="I504" i="2" s="1"/>
  <c r="I42" i="16"/>
  <c r="I515" i="2" s="1"/>
  <c r="I20" i="16"/>
  <c r="I66" i="16"/>
  <c r="I62" i="16"/>
  <c r="I40" i="16"/>
  <c r="I512" i="2" s="1"/>
  <c r="I46" i="16"/>
  <c r="I523" i="2" s="1"/>
  <c r="I43" i="16"/>
  <c r="I518" i="2" s="1"/>
  <c r="I45" i="16"/>
  <c r="I522" i="2" s="1"/>
  <c r="I49" i="16"/>
  <c r="I532" i="2" s="1"/>
  <c r="I24" i="16"/>
  <c r="I53" i="16"/>
  <c r="I22" i="16"/>
  <c r="I353" i="2" s="1"/>
  <c r="I16" i="16"/>
  <c r="I322" i="2" s="1"/>
  <c r="I28" i="16"/>
  <c r="I448" i="2" s="1"/>
  <c r="I84" i="16"/>
  <c r="I605" i="2" s="1"/>
  <c r="I75" i="16"/>
  <c r="I584" i="2" s="1"/>
  <c r="I89" i="16"/>
  <c r="I616" i="2" s="1"/>
  <c r="I55" i="16"/>
  <c r="I4" i="16"/>
  <c r="I41" i="16"/>
  <c r="I23" i="16"/>
  <c r="I406" i="2" s="1"/>
  <c r="I17" i="16"/>
  <c r="I346" i="2" s="1"/>
  <c r="I38" i="16"/>
  <c r="I500" i="2" s="1"/>
  <c r="I19" i="16"/>
  <c r="I363" i="2" s="1"/>
  <c r="I35" i="16"/>
  <c r="I488" i="2" s="1"/>
  <c r="I88" i="16"/>
  <c r="I21" i="16"/>
  <c r="I50" i="16"/>
  <c r="I56" i="16"/>
  <c r="I546" i="2" s="1"/>
  <c r="I54" i="16"/>
  <c r="I544" i="2" s="1"/>
  <c r="I36" i="16"/>
  <c r="I491" i="2" s="1"/>
  <c r="I82" i="16"/>
  <c r="I603" i="2" s="1"/>
  <c r="I85" i="16"/>
  <c r="I612" i="2" s="1"/>
  <c r="I57" i="16"/>
  <c r="I11" i="16"/>
  <c r="I258" i="2" s="1"/>
  <c r="I72" i="16"/>
  <c r="I65" i="16"/>
  <c r="I565" i="2" s="1"/>
  <c r="I13" i="16"/>
  <c r="I272" i="2" s="1"/>
  <c r="I15" i="16"/>
  <c r="I318" i="2" s="1"/>
  <c r="I33" i="16"/>
  <c r="I483" i="2" s="1"/>
  <c r="I73" i="16"/>
  <c r="I582" i="2" s="1"/>
  <c r="I12" i="16"/>
  <c r="I67" i="16"/>
  <c r="I68" i="16"/>
  <c r="I2" i="16"/>
  <c r="I112" i="2" s="1"/>
  <c r="G142" i="17"/>
  <c r="G21" i="11"/>
  <c r="F257" i="2" s="1"/>
  <c r="G132" i="15"/>
  <c r="F433" i="2" s="1"/>
  <c r="G29" i="7"/>
  <c r="F269" i="2" s="1"/>
  <c r="G42" i="13"/>
  <c r="G27" i="11"/>
  <c r="F368" i="2" s="1"/>
  <c r="G73" i="13"/>
  <c r="G94" i="13"/>
  <c r="G71" i="13"/>
  <c r="G23" i="13"/>
  <c r="G16" i="13"/>
  <c r="G36" i="13"/>
  <c r="G49" i="8"/>
  <c r="F625" i="2" s="1"/>
  <c r="G7" i="13"/>
  <c r="G82" i="13"/>
  <c r="G26" i="13"/>
  <c r="G30" i="13"/>
  <c r="G65" i="13"/>
  <c r="G41" i="13"/>
  <c r="G40" i="13"/>
  <c r="G24" i="13"/>
  <c r="G33" i="7"/>
  <c r="F321" i="2" s="1"/>
  <c r="G4" i="13"/>
  <c r="G21" i="13"/>
  <c r="G48" i="13"/>
  <c r="G78" i="13"/>
  <c r="G79" i="13"/>
  <c r="G19" i="13"/>
  <c r="G10" i="7"/>
  <c r="F100" i="2" s="1"/>
  <c r="I17" i="10"/>
  <c r="I55" i="2" s="1"/>
  <c r="G14" i="13"/>
  <c r="G90" i="17"/>
  <c r="G21" i="6"/>
  <c r="F127" i="2" s="1"/>
  <c r="G86" i="12"/>
  <c r="G26" i="7"/>
  <c r="F241" i="2" s="1"/>
  <c r="I65" i="10"/>
  <c r="I254" i="2" s="1"/>
  <c r="G20" i="11"/>
  <c r="F201" i="2" s="1"/>
  <c r="G141" i="15"/>
  <c r="F463" i="2" s="1"/>
  <c r="G54" i="8"/>
  <c r="F645" i="2" s="1"/>
  <c r="G20" i="8"/>
  <c r="F222" i="2" s="1"/>
  <c r="G27" i="13"/>
  <c r="G49" i="7"/>
  <c r="F633" i="2" s="1"/>
  <c r="G5" i="13"/>
  <c r="G52" i="13"/>
  <c r="G15" i="8"/>
  <c r="F175" i="2" s="1"/>
  <c r="I38" i="10"/>
  <c r="I143" i="2" s="1"/>
  <c r="G34" i="7"/>
  <c r="F355" i="2" s="1"/>
  <c r="G47" i="7"/>
  <c r="F607" i="2" s="1"/>
  <c r="G9" i="7"/>
  <c r="F99" i="2" s="1"/>
  <c r="G8" i="7"/>
  <c r="F94" i="2" s="1"/>
  <c r="G14" i="8"/>
  <c r="F155" i="2" s="1"/>
  <c r="G40" i="8"/>
  <c r="F471" i="2" s="1"/>
  <c r="G2" i="7"/>
  <c r="F22" i="2" s="1"/>
  <c r="G22" i="7"/>
  <c r="F207" i="2" s="1"/>
  <c r="G41" i="7"/>
  <c r="F423" i="2" s="1"/>
  <c r="G19" i="17"/>
  <c r="G19" i="7"/>
  <c r="F178" i="2" s="1"/>
  <c r="G26" i="8"/>
  <c r="F292" i="2" s="1"/>
  <c r="G14" i="7"/>
  <c r="F130" i="2" s="1"/>
  <c r="G20" i="7"/>
  <c r="F183" i="2" s="1"/>
  <c r="G44" i="7"/>
  <c r="F555" i="2" s="1"/>
  <c r="G12" i="7"/>
  <c r="F104" i="2" s="1"/>
  <c r="G55" i="13"/>
  <c r="G27" i="8"/>
  <c r="F299" i="2" s="1"/>
  <c r="G16" i="7"/>
  <c r="F140" i="2" s="1"/>
  <c r="G29" i="8"/>
  <c r="F340" i="2" s="1"/>
  <c r="G38" i="7"/>
  <c r="F411" i="2" s="1"/>
  <c r="G28" i="8"/>
  <c r="F339" i="2" s="1"/>
  <c r="G36" i="7"/>
  <c r="F383" i="2" s="1"/>
  <c r="G3" i="8"/>
  <c r="F11" i="2" s="1"/>
  <c r="G44" i="17"/>
  <c r="G140" i="15"/>
  <c r="F458" i="2" s="1"/>
  <c r="G21" i="7"/>
  <c r="F205" i="2" s="1"/>
  <c r="G5" i="7"/>
  <c r="F65" i="2" s="1"/>
  <c r="G46" i="6"/>
  <c r="F425" i="2" s="1"/>
  <c r="G245" i="17"/>
  <c r="G50" i="13"/>
  <c r="G86" i="13"/>
  <c r="G20" i="13"/>
  <c r="G16" i="6"/>
  <c r="F97" i="2" s="1"/>
  <c r="G6" i="7"/>
  <c r="F71" i="2" s="1"/>
  <c r="G81" i="13"/>
  <c r="G60" i="13"/>
  <c r="G17" i="7"/>
  <c r="F141" i="2" s="1"/>
  <c r="G15" i="12"/>
  <c r="G23" i="12"/>
  <c r="G88" i="17"/>
  <c r="G32" i="6"/>
  <c r="F250" i="2" s="1"/>
  <c r="G7" i="12"/>
  <c r="G7" i="17"/>
  <c r="G201" i="17"/>
  <c r="G22" i="6"/>
  <c r="F138" i="2" s="1"/>
  <c r="G10" i="12"/>
  <c r="G75" i="17"/>
  <c r="G20" i="12"/>
  <c r="G4" i="12"/>
  <c r="G10" i="8"/>
  <c r="F117" i="2" s="1"/>
  <c r="G128" i="17"/>
  <c r="G91" i="12"/>
  <c r="I21" i="10"/>
  <c r="I80" i="2" s="1"/>
  <c r="G100" i="12"/>
  <c r="G34" i="8"/>
  <c r="F413" i="2" s="1"/>
  <c r="G49" i="13"/>
  <c r="G31" i="7"/>
  <c r="F284" i="2" s="1"/>
  <c r="G44" i="6"/>
  <c r="F389" i="2" s="1"/>
  <c r="G34" i="12"/>
  <c r="G70" i="12"/>
  <c r="G114" i="17"/>
  <c r="G5" i="12"/>
  <c r="G53" i="12"/>
  <c r="G89" i="17"/>
  <c r="G36" i="8"/>
  <c r="F430" i="2" s="1"/>
  <c r="G125" i="17"/>
  <c r="G38" i="12"/>
  <c r="G225" i="17"/>
  <c r="G143" i="15"/>
  <c r="F468" i="2" s="1"/>
  <c r="G9" i="8"/>
  <c r="F113" i="2" s="1"/>
  <c r="G51" i="6"/>
  <c r="F485" i="2" s="1"/>
  <c r="G41" i="12"/>
  <c r="G17" i="8"/>
  <c r="F181" i="2" s="1"/>
  <c r="G35" i="6"/>
  <c r="F266" i="2" s="1"/>
  <c r="G39" i="12"/>
  <c r="G60" i="6"/>
  <c r="F577" i="2" s="1"/>
  <c r="G45" i="8"/>
  <c r="F590" i="2" s="1"/>
  <c r="G26" i="12"/>
  <c r="G58" i="12"/>
  <c r="G51" i="8"/>
  <c r="F628" i="2" s="1"/>
  <c r="G12" i="13"/>
  <c r="G42" i="6"/>
  <c r="F357" i="2" s="1"/>
  <c r="G55" i="15"/>
  <c r="F206" i="2" s="1"/>
  <c r="G83" i="12"/>
  <c r="G12" i="8"/>
  <c r="F139" i="2" s="1"/>
  <c r="G63" i="12"/>
  <c r="G53" i="8"/>
  <c r="F643" i="2" s="1"/>
  <c r="G108" i="15"/>
  <c r="F347" i="2" s="1"/>
  <c r="G32" i="12"/>
  <c r="G153" i="15"/>
  <c r="F531" i="2" s="1"/>
  <c r="G8" i="8"/>
  <c r="F105" i="2" s="1"/>
  <c r="G38" i="13"/>
  <c r="G37" i="12"/>
  <c r="G76" i="13"/>
  <c r="G30" i="12"/>
  <c r="G29" i="12"/>
  <c r="G55" i="6"/>
  <c r="F507" i="2" s="1"/>
  <c r="G139" i="15"/>
  <c r="F455" i="2" s="1"/>
  <c r="G61" i="12"/>
  <c r="G24" i="12"/>
  <c r="G32" i="8"/>
  <c r="F384" i="2" s="1"/>
  <c r="G7" i="8"/>
  <c r="F31" i="2" s="1"/>
  <c r="G151" i="17"/>
  <c r="G38" i="6"/>
  <c r="F316" i="2" s="1"/>
  <c r="G97" i="12"/>
  <c r="G16" i="12"/>
  <c r="G207" i="17"/>
  <c r="G46" i="12"/>
  <c r="G19" i="8"/>
  <c r="F194" i="2" s="1"/>
  <c r="G220" i="17"/>
  <c r="G24" i="8"/>
  <c r="F259" i="2" s="1"/>
  <c r="G18" i="7"/>
  <c r="F163" i="2" s="1"/>
  <c r="G4" i="17"/>
  <c r="G48" i="12"/>
  <c r="G17" i="11"/>
  <c r="F162" i="2" s="1"/>
  <c r="G39" i="8"/>
  <c r="F466" i="2" s="1"/>
  <c r="G239" i="17"/>
  <c r="G19" i="12"/>
  <c r="G53" i="6"/>
  <c r="F501" i="2" s="1"/>
  <c r="G52" i="12"/>
  <c r="G101" i="12"/>
  <c r="G88" i="12"/>
  <c r="G119" i="17"/>
  <c r="G54" i="12"/>
  <c r="G52" i="8"/>
  <c r="F629" i="2" s="1"/>
  <c r="G23" i="8"/>
  <c r="F245" i="2" s="1"/>
  <c r="G76" i="15"/>
  <c r="F263" i="2" s="1"/>
  <c r="G141" i="17"/>
  <c r="I69" i="10"/>
  <c r="I286" i="2" s="1"/>
  <c r="I43" i="10"/>
  <c r="I169" i="2" s="1"/>
  <c r="G95" i="12"/>
  <c r="G208" i="17"/>
  <c r="G18" i="17"/>
  <c r="G103" i="17"/>
  <c r="G5" i="8"/>
  <c r="F20" i="2" s="1"/>
  <c r="G101" i="15"/>
  <c r="F328" i="2" s="1"/>
  <c r="G44" i="8"/>
  <c r="F575" i="2" s="1"/>
  <c r="G46" i="8"/>
  <c r="F608" i="2" s="1"/>
  <c r="G30" i="6"/>
  <c r="F247" i="2" s="1"/>
  <c r="G6" i="12"/>
  <c r="G18" i="12"/>
  <c r="G41" i="8"/>
  <c r="F478" i="2" s="1"/>
  <c r="G40" i="7"/>
  <c r="F418" i="2" s="1"/>
  <c r="G16" i="8"/>
  <c r="F180" i="2" s="1"/>
  <c r="G104" i="12"/>
  <c r="G216" i="17"/>
  <c r="G94" i="17"/>
  <c r="G35" i="12"/>
  <c r="G107" i="17"/>
  <c r="G62" i="15"/>
  <c r="F221" i="2" s="1"/>
  <c r="G102" i="12"/>
  <c r="G31" i="8"/>
  <c r="F375" i="2" s="1"/>
  <c r="G56" i="12"/>
  <c r="G28" i="12"/>
  <c r="G64" i="12"/>
  <c r="G110" i="17"/>
  <c r="G37" i="6"/>
  <c r="F296" i="2" s="1"/>
  <c r="G4" i="8"/>
  <c r="F17" i="2" s="1"/>
  <c r="G92" i="13"/>
  <c r="G34" i="11"/>
  <c r="F434" i="2" s="1"/>
  <c r="G42" i="12"/>
  <c r="G86" i="17"/>
  <c r="G81" i="12"/>
  <c r="G199" i="17"/>
  <c r="G26" i="11"/>
  <c r="F306" i="2" s="1"/>
  <c r="G78" i="12"/>
  <c r="G69" i="12"/>
  <c r="G65" i="12"/>
  <c r="G12" i="12"/>
  <c r="G60" i="17"/>
  <c r="G27" i="12"/>
  <c r="G40" i="12"/>
  <c r="G19" i="6"/>
  <c r="F121" i="2" s="1"/>
  <c r="G25" i="6"/>
  <c r="F190" i="2" s="1"/>
  <c r="G24" i="6"/>
  <c r="F173" i="2" s="1"/>
  <c r="G13" i="6"/>
  <c r="F76" i="2" s="1"/>
  <c r="G194" i="17"/>
  <c r="G33" i="17"/>
  <c r="G247" i="17"/>
  <c r="I19" i="10"/>
  <c r="I75" i="2" s="1"/>
  <c r="G49" i="12"/>
  <c r="G52" i="6"/>
  <c r="F486" i="2" s="1"/>
  <c r="G22" i="12"/>
  <c r="G195" i="17"/>
  <c r="G50" i="8"/>
  <c r="F626" i="2" s="1"/>
  <c r="G13" i="8"/>
  <c r="F151" i="2" s="1"/>
  <c r="G77" i="12"/>
  <c r="G18" i="8"/>
  <c r="F188" i="2" s="1"/>
  <c r="G108" i="17"/>
  <c r="G43" i="7"/>
  <c r="F495" i="2" s="1"/>
  <c r="G33" i="8"/>
  <c r="F386" i="2" s="1"/>
  <c r="G38" i="17"/>
  <c r="G37" i="7"/>
  <c r="F399" i="2" s="1"/>
  <c r="G22" i="8"/>
  <c r="F231" i="2" s="1"/>
  <c r="G76" i="12"/>
  <c r="G44" i="12"/>
  <c r="G84" i="12"/>
  <c r="G31" i="12"/>
  <c r="G134" i="17"/>
  <c r="G72" i="12"/>
  <c r="G145" i="15"/>
  <c r="F484" i="2" s="1"/>
  <c r="G38" i="8"/>
  <c r="F443" i="2" s="1"/>
  <c r="G74" i="12"/>
  <c r="G43" i="8"/>
  <c r="F529" i="2" s="1"/>
  <c r="G79" i="17"/>
  <c r="G11" i="7"/>
  <c r="F101" i="2" s="1"/>
  <c r="G51" i="12"/>
  <c r="G62" i="6"/>
  <c r="F623" i="2" s="1"/>
  <c r="G16" i="11"/>
  <c r="F149" i="2" s="1"/>
  <c r="G47" i="8"/>
  <c r="F615" i="2" s="1"/>
  <c r="G71" i="12"/>
  <c r="G21" i="8"/>
  <c r="F226" i="2" s="1"/>
  <c r="G82" i="12"/>
  <c r="G29" i="6"/>
  <c r="F236" i="2" s="1"/>
  <c r="G47" i="12"/>
  <c r="G37" i="8"/>
  <c r="F431" i="2" s="1"/>
  <c r="G42" i="8"/>
  <c r="F479" i="2" s="1"/>
  <c r="G68" i="12"/>
  <c r="G27" i="15"/>
  <c r="F91" i="2" s="1"/>
  <c r="G146" i="15"/>
  <c r="F493" i="2" s="1"/>
  <c r="G58" i="17"/>
  <c r="G246" i="17"/>
  <c r="G16" i="17"/>
  <c r="G29" i="17"/>
  <c r="G96" i="15"/>
  <c r="F320" i="2" s="1"/>
  <c r="G203" i="17"/>
  <c r="G122" i="17"/>
  <c r="I619" i="2"/>
  <c r="G148" i="15"/>
  <c r="F505" i="2" s="1"/>
  <c r="G136" i="17"/>
  <c r="G123" i="17"/>
  <c r="G213" i="17"/>
  <c r="G158" i="15"/>
  <c r="F588" i="2" s="1"/>
  <c r="G172" i="17"/>
  <c r="G76" i="17"/>
  <c r="I614" i="2"/>
  <c r="G40" i="17"/>
  <c r="G53" i="15"/>
  <c r="F182" i="2" s="1"/>
  <c r="I130" i="10"/>
  <c r="I611" i="2" s="1"/>
  <c r="G54" i="13"/>
  <c r="G41" i="15"/>
  <c r="F150" i="2" s="1"/>
  <c r="G157" i="15"/>
  <c r="F550" i="2" s="1"/>
  <c r="G181" i="17"/>
  <c r="I70" i="10"/>
  <c r="I287" i="2" s="1"/>
  <c r="G9" i="15"/>
  <c r="F41" i="2" s="1"/>
  <c r="G88" i="15"/>
  <c r="F294" i="2" s="1"/>
  <c r="G22" i="15"/>
  <c r="F70" i="2" s="1"/>
  <c r="G39" i="13"/>
  <c r="G73" i="17"/>
  <c r="G120" i="17"/>
  <c r="I13" i="10"/>
  <c r="I39" i="2" s="1"/>
  <c r="G37" i="15"/>
  <c r="F142" i="2" s="1"/>
  <c r="G116" i="17"/>
  <c r="G65" i="15"/>
  <c r="F233" i="2" s="1"/>
  <c r="I87" i="10"/>
  <c r="I358" i="2" s="1"/>
  <c r="G58" i="15"/>
  <c r="F213" i="2" s="1"/>
  <c r="G3" i="12"/>
  <c r="G170" i="17"/>
  <c r="G14" i="12"/>
  <c r="G89" i="13"/>
  <c r="G8" i="17"/>
  <c r="G79" i="12"/>
  <c r="I45" i="10"/>
  <c r="I171" i="2" s="1"/>
  <c r="G37" i="17"/>
  <c r="G227" i="17"/>
  <c r="G96" i="12"/>
  <c r="G18" i="15"/>
  <c r="F62" i="2" s="1"/>
  <c r="G18" i="11"/>
  <c r="F164" i="2" s="1"/>
  <c r="G175" i="17"/>
  <c r="G28" i="15"/>
  <c r="F98" i="2" s="1"/>
  <c r="I109" i="10"/>
  <c r="I473" i="2" s="1"/>
  <c r="G7" i="15"/>
  <c r="F36" i="2" s="1"/>
  <c r="G69" i="13"/>
  <c r="I107" i="10"/>
  <c r="I437" i="2" s="1"/>
  <c r="G105" i="17"/>
  <c r="I94" i="10"/>
  <c r="I374" i="2" s="1"/>
  <c r="G87" i="13"/>
  <c r="G27" i="6"/>
  <c r="F210" i="2" s="1"/>
  <c r="G196" i="17"/>
  <c r="G156" i="15"/>
  <c r="F547" i="2" s="1"/>
  <c r="G31" i="15"/>
  <c r="F118" i="2" s="1"/>
  <c r="I12" i="10"/>
  <c r="I37" i="2" s="1"/>
  <c r="I521" i="2"/>
  <c r="G7" i="11"/>
  <c r="F35" i="2" s="1"/>
  <c r="G11" i="6"/>
  <c r="F64" i="2" s="1"/>
  <c r="G9" i="12"/>
  <c r="G135" i="15"/>
  <c r="F442" i="2" s="1"/>
  <c r="G78" i="15"/>
  <c r="F267" i="2" s="1"/>
  <c r="G241" i="17"/>
  <c r="G11" i="13"/>
  <c r="G35" i="8"/>
  <c r="F429" i="2" s="1"/>
  <c r="G80" i="12"/>
  <c r="I58" i="10"/>
  <c r="I217" i="2" s="1"/>
  <c r="G15" i="7"/>
  <c r="F135" i="2" s="1"/>
  <c r="G69" i="17"/>
  <c r="G148" i="17"/>
  <c r="G23" i="15"/>
  <c r="F73" i="2" s="1"/>
  <c r="G244" i="17"/>
  <c r="G48" i="15"/>
  <c r="F172" i="2" s="1"/>
  <c r="G133" i="17"/>
  <c r="G48" i="17"/>
  <c r="G130" i="17"/>
  <c r="G33" i="11"/>
  <c r="F412" i="2" s="1"/>
  <c r="G54" i="6"/>
  <c r="F502" i="2" s="1"/>
  <c r="G2" i="13"/>
  <c r="G40" i="15"/>
  <c r="F147" i="2" s="1"/>
  <c r="G180" i="17"/>
  <c r="G37" i="13"/>
  <c r="G85" i="17"/>
  <c r="G25" i="11"/>
  <c r="F293" i="2" s="1"/>
  <c r="G22" i="13"/>
  <c r="G84" i="17"/>
  <c r="G55" i="17"/>
  <c r="I10" i="10"/>
  <c r="I33" i="2" s="1"/>
  <c r="G33" i="12"/>
  <c r="G140" i="17"/>
  <c r="G101" i="17"/>
  <c r="G166" i="17"/>
  <c r="G155" i="15"/>
  <c r="F541" i="2" s="1"/>
  <c r="I568" i="2"/>
  <c r="G47" i="15"/>
  <c r="F168" i="2" s="1"/>
  <c r="G104" i="15"/>
  <c r="F338" i="2" s="1"/>
  <c r="G4" i="15"/>
  <c r="F24" i="2" s="1"/>
  <c r="G183" i="17"/>
  <c r="G31" i="17"/>
  <c r="G49" i="17"/>
  <c r="I48" i="10"/>
  <c r="I187" i="2" s="1"/>
  <c r="G119" i="15"/>
  <c r="F394" i="2" s="1"/>
  <c r="G243" i="17"/>
  <c r="G250" i="17"/>
  <c r="G12" i="15"/>
  <c r="F44" i="2" s="1"/>
  <c r="G214" i="17"/>
  <c r="G42" i="17"/>
  <c r="G231" i="17"/>
  <c r="G210" i="17"/>
  <c r="G56" i="15"/>
  <c r="F209" i="2" s="1"/>
  <c r="I22" i="10"/>
  <c r="I84" i="2" s="1"/>
  <c r="I33" i="10"/>
  <c r="I124" i="2" s="1"/>
  <c r="G92" i="17"/>
  <c r="I8" i="10"/>
  <c r="I15" i="2" s="1"/>
  <c r="G24" i="15"/>
  <c r="F78" i="2" s="1"/>
  <c r="G130" i="15"/>
  <c r="F428" i="2" s="1"/>
  <c r="I56" i="10"/>
  <c r="I208" i="2" s="1"/>
  <c r="G144" i="15"/>
  <c r="F481" i="2" s="1"/>
  <c r="G138" i="15"/>
  <c r="F453" i="2" s="1"/>
  <c r="G46" i="15"/>
  <c r="F166" i="2" s="1"/>
  <c r="G238" i="17"/>
  <c r="I139" i="10"/>
  <c r="I651" i="2" s="1"/>
  <c r="I81" i="10"/>
  <c r="I334" i="2" s="1"/>
  <c r="G149" i="15"/>
  <c r="F509" i="2" s="1"/>
  <c r="G202" i="17"/>
  <c r="G139" i="17"/>
  <c r="I558" i="2"/>
  <c r="G19" i="15"/>
  <c r="F63" i="2" s="1"/>
  <c r="G61" i="17"/>
  <c r="G21" i="17"/>
  <c r="I9" i="10"/>
  <c r="I21" i="2" s="1"/>
  <c r="G120" i="15"/>
  <c r="F395" i="2" s="1"/>
  <c r="G5" i="15"/>
  <c r="F28" i="2" s="1"/>
  <c r="G27" i="17"/>
  <c r="G158" i="17"/>
  <c r="I64" i="10"/>
  <c r="I243" i="2" s="1"/>
  <c r="G25" i="15"/>
  <c r="F83" i="2" s="1"/>
  <c r="G67" i="15"/>
  <c r="F240" i="2" s="1"/>
  <c r="G93" i="17"/>
  <c r="G93" i="13"/>
  <c r="G68" i="13"/>
  <c r="G135" i="17"/>
  <c r="G10" i="15"/>
  <c r="F42" i="2" s="1"/>
  <c r="G6" i="11"/>
  <c r="F32" i="2" s="1"/>
  <c r="E14" i="3" s="1"/>
  <c r="G67" i="13"/>
  <c r="G13" i="13"/>
  <c r="G40" i="11"/>
  <c r="F543" i="2" s="1"/>
  <c r="F3" i="2"/>
  <c r="E17" i="3" s="1"/>
  <c r="I5" i="10"/>
  <c r="I8" i="2" s="1"/>
  <c r="I73" i="10"/>
  <c r="I300" i="2" s="1"/>
  <c r="I26" i="10"/>
  <c r="I96" i="2" s="1"/>
  <c r="I91" i="10"/>
  <c r="I364" i="2" s="1"/>
  <c r="I111" i="10"/>
  <c r="I477" i="2" s="1"/>
  <c r="I104" i="10"/>
  <c r="I420" i="2" s="1"/>
  <c r="I50" i="10"/>
  <c r="I193" i="2" s="1"/>
  <c r="I77" i="10"/>
  <c r="I315" i="2" s="1"/>
  <c r="I117" i="10"/>
  <c r="I516" i="2" s="1"/>
  <c r="I113" i="10"/>
  <c r="I489" i="2" s="1"/>
  <c r="I14" i="10"/>
  <c r="I40" i="2" s="1"/>
  <c r="I103" i="10"/>
  <c r="I410" i="2" s="1"/>
  <c r="I39" i="10"/>
  <c r="I153" i="2" s="1"/>
  <c r="I138" i="10"/>
  <c r="I639" i="2" s="1"/>
  <c r="I90" i="10"/>
  <c r="I361" i="2" s="1"/>
  <c r="I23" i="10"/>
  <c r="I88" i="2" s="1"/>
  <c r="I42" i="10"/>
  <c r="I159" i="2" s="1"/>
  <c r="I101" i="10"/>
  <c r="I404" i="2" s="1"/>
  <c r="I34" i="10"/>
  <c r="I128" i="2" s="1"/>
  <c r="I25" i="10"/>
  <c r="I92" i="2" s="1"/>
  <c r="I115" i="10"/>
  <c r="I503" i="2" s="1"/>
  <c r="I61" i="10"/>
  <c r="I234" i="2" s="1"/>
  <c r="I136" i="10"/>
  <c r="I637" i="2" s="1"/>
  <c r="I86" i="10"/>
  <c r="I350" i="2" s="1"/>
  <c r="I76" i="10"/>
  <c r="I313" i="2" s="1"/>
  <c r="I74" i="10"/>
  <c r="I305" i="2" s="1"/>
  <c r="I37" i="10"/>
  <c r="I132" i="2" s="1"/>
  <c r="I82" i="10"/>
  <c r="I336" i="2" s="1"/>
  <c r="I108" i="10"/>
  <c r="I444" i="2" s="1"/>
  <c r="I132" i="10"/>
  <c r="I624" i="2" s="1"/>
  <c r="I49" i="10"/>
  <c r="I192" i="2" s="1"/>
  <c r="I106" i="10"/>
  <c r="I436" i="2" s="1"/>
  <c r="I127" i="10"/>
  <c r="I592" i="2" s="1"/>
  <c r="I93" i="10"/>
  <c r="I371" i="2" s="1"/>
  <c r="I30" i="10"/>
  <c r="I116" i="2" s="1"/>
  <c r="I135" i="10"/>
  <c r="I636" i="2" s="1"/>
  <c r="I59" i="10"/>
  <c r="I220" i="2" s="1"/>
  <c r="I118" i="10"/>
  <c r="I530" i="2" s="1"/>
  <c r="I125" i="10"/>
  <c r="I585" i="2" s="1"/>
  <c r="I128" i="10"/>
  <c r="I606" i="2" s="1"/>
  <c r="I55" i="10"/>
  <c r="I204" i="2" s="1"/>
  <c r="I116" i="10"/>
  <c r="I506" i="2" s="1"/>
  <c r="I83" i="10"/>
  <c r="I337" i="2" s="1"/>
  <c r="I62" i="10"/>
  <c r="I235" i="2" s="1"/>
  <c r="I68" i="10"/>
  <c r="I281" i="2" s="1"/>
  <c r="I80" i="10"/>
  <c r="I332" i="2" s="1"/>
  <c r="G32" i="11"/>
  <c r="F402" i="2" s="1"/>
  <c r="G6" i="17"/>
  <c r="I72" i="10"/>
  <c r="I298" i="2" s="1"/>
  <c r="G71" i="17"/>
  <c r="G162" i="17"/>
  <c r="G63" i="15"/>
  <c r="F224" i="2" s="1"/>
  <c r="G173" i="17"/>
  <c r="I63" i="10"/>
  <c r="I237" i="2" s="1"/>
  <c r="G73" i="12"/>
  <c r="G167" i="17"/>
  <c r="G75" i="13"/>
  <c r="I92" i="10"/>
  <c r="I366" i="2" s="1"/>
  <c r="I105" i="10"/>
  <c r="I424" i="2" s="1"/>
  <c r="G206" i="17"/>
  <c r="G51" i="17"/>
  <c r="G36" i="15"/>
  <c r="F137" i="2" s="1"/>
  <c r="G17" i="12"/>
  <c r="G13" i="12"/>
  <c r="G187" i="17"/>
  <c r="G53" i="17"/>
  <c r="G121" i="17"/>
  <c r="G25" i="8"/>
  <c r="F270" i="2" s="1"/>
  <c r="G45" i="13"/>
  <c r="I35" i="10"/>
  <c r="I129" i="2" s="1"/>
  <c r="G26" i="6"/>
  <c r="F195" i="2" s="1"/>
  <c r="G10" i="11"/>
  <c r="F61" i="2" s="1"/>
  <c r="I88" i="10"/>
  <c r="I359" i="2" s="1"/>
  <c r="I60" i="10"/>
  <c r="I225" i="2" s="1"/>
  <c r="I578" i="2"/>
  <c r="G83" i="13"/>
  <c r="G97" i="15"/>
  <c r="F323" i="2" s="1"/>
  <c r="I3" i="10"/>
  <c r="I4" i="2" s="1"/>
  <c r="I271" i="2"/>
  <c r="G58" i="13"/>
  <c r="G39" i="17"/>
  <c r="G62" i="17"/>
  <c r="G6" i="15"/>
  <c r="F29" i="2" s="1"/>
  <c r="G63" i="17"/>
  <c r="G81" i="17"/>
  <c r="G35" i="15"/>
  <c r="F136" i="2" s="1"/>
  <c r="G157" i="17"/>
  <c r="G14" i="15"/>
  <c r="F50" i="2" s="1"/>
  <c r="G115" i="17"/>
  <c r="G87" i="15"/>
  <c r="F291" i="2" s="1"/>
  <c r="G112" i="15"/>
  <c r="F362" i="2" s="1"/>
  <c r="G185" i="17"/>
  <c r="G233" i="17"/>
  <c r="G160" i="17"/>
  <c r="G102" i="17"/>
  <c r="G111" i="17"/>
  <c r="I566" i="2"/>
  <c r="G50" i="17"/>
  <c r="G117" i="17"/>
  <c r="I545" i="2"/>
  <c r="G198" i="17"/>
  <c r="G125" i="15"/>
  <c r="F419" i="2" s="1"/>
  <c r="G126" i="17"/>
  <c r="G143" i="17"/>
  <c r="G160" i="15"/>
  <c r="F610" i="2" s="1"/>
  <c r="G150" i="15"/>
  <c r="F513" i="2" s="1"/>
  <c r="G74" i="15"/>
  <c r="F260" i="2" s="1"/>
  <c r="G8" i="13"/>
  <c r="G35" i="17"/>
  <c r="G178" i="17"/>
  <c r="G33" i="13"/>
  <c r="I2" i="10"/>
  <c r="I3" i="2" s="1"/>
  <c r="G81" i="15"/>
  <c r="F274" i="2" s="1"/>
  <c r="I119" i="10"/>
  <c r="I552" i="2" s="1"/>
  <c r="G57" i="17"/>
  <c r="I52" i="10"/>
  <c r="I200" i="2" s="1"/>
  <c r="G9" i="13"/>
  <c r="G11" i="12"/>
  <c r="G12" i="17"/>
  <c r="G39" i="11"/>
  <c r="F492" i="2" s="1"/>
  <c r="G74" i="17"/>
  <c r="G50" i="7"/>
  <c r="F644" i="2" s="1"/>
  <c r="G66" i="17"/>
  <c r="G22" i="11"/>
  <c r="F265" i="2" s="1"/>
  <c r="G116" i="15"/>
  <c r="F381" i="2" s="1"/>
  <c r="G64" i="15"/>
  <c r="F228" i="2" s="1"/>
  <c r="G142" i="15"/>
  <c r="F464" i="2" s="1"/>
  <c r="G41" i="6"/>
  <c r="F351" i="2" s="1"/>
  <c r="G64" i="13"/>
  <c r="G91" i="17"/>
  <c r="G79" i="15"/>
  <c r="F268" i="2" s="1"/>
  <c r="G39" i="6"/>
  <c r="F317" i="2" s="1"/>
  <c r="G98" i="12"/>
  <c r="G36" i="11"/>
  <c r="F461" i="2" s="1"/>
  <c r="G85" i="12"/>
  <c r="G11" i="8"/>
  <c r="F134" i="2" s="1"/>
  <c r="G30" i="11"/>
  <c r="F387" i="2" s="1"/>
  <c r="F111" i="2"/>
  <c r="I2" i="9"/>
  <c r="I77" i="2" s="1"/>
  <c r="I26" i="9"/>
  <c r="I467" i="2" s="1"/>
  <c r="I20" i="9"/>
  <c r="I400" i="2" s="1"/>
  <c r="I15" i="9"/>
  <c r="I330" i="2" s="1"/>
  <c r="I52" i="9"/>
  <c r="I630" i="2" s="1"/>
  <c r="I3" i="9"/>
  <c r="I86" i="2" s="1"/>
  <c r="I16" i="9"/>
  <c r="I335" i="2" s="1"/>
  <c r="I23" i="9"/>
  <c r="I451" i="2" s="1"/>
  <c r="I12" i="9"/>
  <c r="I285" i="2" s="1"/>
  <c r="I30" i="9"/>
  <c r="I494" i="2" s="1"/>
  <c r="I22" i="9"/>
  <c r="I445" i="2" s="1"/>
  <c r="I21" i="9"/>
  <c r="I403" i="2" s="1"/>
  <c r="I19" i="9"/>
  <c r="I397" i="2" s="1"/>
  <c r="I13" i="9"/>
  <c r="I310" i="2" s="1"/>
  <c r="I7" i="9"/>
  <c r="I145" i="2" s="1"/>
  <c r="I10" i="9"/>
  <c r="I215" i="2" s="1"/>
  <c r="I38" i="9"/>
  <c r="I534" i="2" s="1"/>
  <c r="I32" i="9"/>
  <c r="I498" i="2" s="1"/>
  <c r="I50" i="9"/>
  <c r="I602" i="2" s="1"/>
  <c r="I34" i="9"/>
  <c r="I510" i="2" s="1"/>
  <c r="I51" i="9"/>
  <c r="I618" i="2" s="1"/>
  <c r="I48" i="9"/>
  <c r="I596" i="2" s="1"/>
  <c r="I54" i="9"/>
  <c r="I649" i="2" s="1"/>
  <c r="I17" i="9"/>
  <c r="I354" i="2" s="1"/>
  <c r="I6" i="9"/>
  <c r="I111" i="2" s="1"/>
  <c r="I27" i="9"/>
  <c r="I469" i="2" s="1"/>
  <c r="I25" i="9"/>
  <c r="I462" i="2" s="1"/>
  <c r="I49" i="9"/>
  <c r="I598" i="2" s="1"/>
  <c r="I9" i="9"/>
  <c r="I184" i="2" s="1"/>
  <c r="I24" i="9"/>
  <c r="I456" i="2" s="1"/>
  <c r="I4" i="9"/>
  <c r="I95" i="2" s="1"/>
  <c r="I31" i="9"/>
  <c r="I496" i="2" s="1"/>
  <c r="I37" i="9"/>
  <c r="I527" i="2" s="1"/>
  <c r="I42" i="9"/>
  <c r="I556" i="2" s="1"/>
  <c r="I53" i="9"/>
  <c r="I635" i="2" s="1"/>
  <c r="I45" i="9"/>
  <c r="I579" i="2" s="1"/>
  <c r="I11" i="9"/>
  <c r="I239" i="2" s="1"/>
  <c r="I18" i="9"/>
  <c r="I380" i="2" s="1"/>
  <c r="I44" i="9"/>
  <c r="I564" i="2" s="1"/>
  <c r="I46" i="9"/>
  <c r="I593" i="2" s="1"/>
  <c r="I39" i="9"/>
  <c r="I533" i="2" s="1"/>
  <c r="I35" i="9"/>
  <c r="I520" i="2" s="1"/>
  <c r="I40" i="9"/>
  <c r="I535" i="2" s="1"/>
  <c r="I43" i="9"/>
  <c r="I557" i="2" s="1"/>
  <c r="I33" i="9"/>
  <c r="I508" i="2" s="1"/>
  <c r="I28" i="9"/>
  <c r="I470" i="2" s="1"/>
  <c r="I29" i="9"/>
  <c r="I475" i="2" s="1"/>
  <c r="I5" i="9"/>
  <c r="I109" i="2" s="1"/>
  <c r="I47" i="9"/>
  <c r="I594" i="2" s="1"/>
  <c r="I41" i="9"/>
  <c r="I549" i="2" s="1"/>
  <c r="I36" i="9"/>
  <c r="I526" i="2" s="1"/>
  <c r="I14" i="9"/>
  <c r="I311" i="2" s="1"/>
  <c r="G55" i="12"/>
  <c r="I129" i="10"/>
  <c r="I609" i="2" s="1"/>
  <c r="I41" i="10"/>
  <c r="I158" i="2" s="1"/>
  <c r="I20" i="10"/>
  <c r="I79" i="2" s="1"/>
  <c r="G72" i="17"/>
  <c r="I536" i="2"/>
  <c r="G84" i="15"/>
  <c r="F283" i="2" s="1"/>
  <c r="G113" i="15"/>
  <c r="F367" i="2" s="1"/>
  <c r="G10" i="17"/>
  <c r="G205" i="17"/>
  <c r="G182" i="17"/>
  <c r="G159" i="17"/>
  <c r="G99" i="17"/>
  <c r="G191" i="17"/>
  <c r="I4" i="10"/>
  <c r="I7" i="2" s="1"/>
  <c r="I66" i="10"/>
  <c r="I278" i="2" s="1"/>
  <c r="I79" i="10"/>
  <c r="I329" i="2" s="1"/>
  <c r="G138" i="17"/>
  <c r="G49" i="15"/>
  <c r="F174" i="2" s="1"/>
  <c r="G25" i="17"/>
  <c r="G23" i="17"/>
  <c r="G147" i="15"/>
  <c r="F497" i="2" s="1"/>
  <c r="G171" i="17"/>
  <c r="G95" i="17"/>
  <c r="I28" i="10"/>
  <c r="I108" i="2" s="1"/>
  <c r="G100" i="17"/>
  <c r="G151" i="15"/>
  <c r="F517" i="2" s="1"/>
  <c r="G52" i="15"/>
  <c r="F179" i="2" s="1"/>
  <c r="G24" i="17"/>
  <c r="G20" i="6"/>
  <c r="F12" i="2" s="1"/>
  <c r="G75" i="15"/>
  <c r="F262" i="2" s="1"/>
  <c r="G15" i="6"/>
  <c r="F93" i="2" s="1"/>
  <c r="G23" i="6"/>
  <c r="F161" i="2" s="1"/>
  <c r="I122" i="10"/>
  <c r="I571" i="2" s="1"/>
  <c r="G145" i="17"/>
  <c r="G46" i="7"/>
  <c r="F599" i="2" s="1"/>
  <c r="G66" i="13"/>
  <c r="G106" i="15"/>
  <c r="F342" i="2" s="1"/>
  <c r="I32" i="10"/>
  <c r="I123" i="2" s="1"/>
  <c r="G35" i="11"/>
  <c r="F459" i="2" s="1"/>
  <c r="G50" i="15"/>
  <c r="F176" i="2" s="1"/>
  <c r="G28" i="6"/>
  <c r="F223" i="2" s="1"/>
  <c r="G109" i="15"/>
  <c r="F348" i="2" s="1"/>
  <c r="G15" i="15"/>
  <c r="F51" i="2" s="1"/>
  <c r="G31" i="11"/>
  <c r="F392" i="2" s="1"/>
  <c r="G121" i="15"/>
  <c r="F401" i="2" s="1"/>
  <c r="G8" i="12"/>
  <c r="G177" i="17"/>
  <c r="G128" i="15"/>
  <c r="F426" i="2" s="1"/>
  <c r="G63" i="13"/>
  <c r="G70" i="17"/>
  <c r="G96" i="17"/>
  <c r="G57" i="12"/>
  <c r="G89" i="12"/>
  <c r="G3" i="7"/>
  <c r="G42" i="11"/>
  <c r="F613" i="2" s="1"/>
  <c r="G209" i="17"/>
  <c r="G124" i="15"/>
  <c r="F415" i="2" s="1"/>
  <c r="I27" i="10"/>
  <c r="I106" i="2" s="1"/>
  <c r="G28" i="13"/>
  <c r="G164" i="17"/>
  <c r="G60" i="15"/>
  <c r="F216" i="2" s="1"/>
  <c r="G123" i="15"/>
  <c r="F408" i="2" s="1"/>
  <c r="G3" i="13"/>
  <c r="G190" i="17"/>
  <c r="G94" i="15"/>
  <c r="F308" i="2" s="1"/>
  <c r="G34" i="15"/>
  <c r="F126" i="2" s="1"/>
  <c r="G122" i="15"/>
  <c r="F405" i="2" s="1"/>
  <c r="I112" i="10"/>
  <c r="I480" i="2" s="1"/>
  <c r="G68" i="17"/>
  <c r="G5" i="17"/>
  <c r="G152" i="15"/>
  <c r="F519" i="2" s="1"/>
  <c r="G43" i="17"/>
  <c r="G83" i="17"/>
  <c r="G230" i="17"/>
  <c r="G106" i="17"/>
  <c r="I560" i="2"/>
  <c r="I99" i="10"/>
  <c r="I396" i="2" s="1"/>
  <c r="G127" i="15"/>
  <c r="F422" i="2" s="1"/>
  <c r="G9" i="17"/>
  <c r="G93" i="15"/>
  <c r="F307" i="2" s="1"/>
  <c r="G45" i="15"/>
  <c r="F160" i="2" s="1"/>
  <c r="G39" i="15"/>
  <c r="F146" i="2" s="1"/>
  <c r="G26" i="17"/>
  <c r="G73" i="15"/>
  <c r="F256" i="2" s="1"/>
  <c r="I29" i="10"/>
  <c r="I110" i="2" s="1"/>
  <c r="G221" i="17"/>
  <c r="G103" i="15"/>
  <c r="F333" i="2" s="1"/>
  <c r="I567" i="2"/>
  <c r="G137" i="15"/>
  <c r="F450" i="2" s="1"/>
  <c r="G215" i="17"/>
  <c r="G136" i="15"/>
  <c r="F447" i="2" s="1"/>
  <c r="G90" i="15"/>
  <c r="F301" i="2" s="1"/>
  <c r="G99" i="15"/>
  <c r="F326" i="2" s="1"/>
  <c r="G32" i="17"/>
  <c r="G46" i="17"/>
  <c r="I620" i="2"/>
  <c r="G45" i="17"/>
  <c r="G2" i="15"/>
  <c r="F49" i="2" s="1"/>
  <c r="G31" i="6"/>
  <c r="F249" i="2" s="1"/>
  <c r="G27" i="7"/>
  <c r="F253" i="2" s="1"/>
  <c r="G131" i="15"/>
  <c r="F432" i="2" s="1"/>
  <c r="G62" i="13"/>
  <c r="I134" i="10"/>
  <c r="I634" i="2" s="1"/>
  <c r="G154" i="15"/>
  <c r="F539" i="2" s="1"/>
  <c r="G11" i="11"/>
  <c r="F66" i="2" s="1"/>
  <c r="G127" i="17"/>
  <c r="I165" i="2"/>
  <c r="G4" i="6"/>
  <c r="F13" i="2" s="1"/>
  <c r="G161" i="15"/>
  <c r="F642" i="2" s="1"/>
  <c r="G14" i="17"/>
  <c r="I7" i="10"/>
  <c r="I14" i="2" s="1"/>
  <c r="G3" i="17"/>
  <c r="G32" i="15"/>
  <c r="F120" i="2" s="1"/>
  <c r="I31" i="10"/>
  <c r="I122" i="2" s="1"/>
  <c r="G80" i="13"/>
  <c r="G129" i="17"/>
  <c r="G8" i="6"/>
  <c r="F54" i="2" s="1"/>
  <c r="G91" i="13"/>
  <c r="G100" i="15"/>
  <c r="F327" i="2" s="1"/>
  <c r="G90" i="12"/>
  <c r="G29" i="13"/>
  <c r="G42" i="15"/>
  <c r="F152" i="2" s="1"/>
  <c r="I53" i="10"/>
  <c r="I202" i="2" s="1"/>
  <c r="G77" i="17"/>
  <c r="G45" i="12"/>
  <c r="G30" i="17"/>
  <c r="I97" i="10"/>
  <c r="I390" i="2" s="1"/>
  <c r="G12" i="6"/>
  <c r="F74" i="2" s="1"/>
  <c r="G88" i="13"/>
  <c r="G152" i="17"/>
  <c r="G189" i="17"/>
  <c r="G7" i="6"/>
  <c r="F47" i="2" s="1"/>
  <c r="G91" i="15"/>
  <c r="F302" i="2" s="1"/>
  <c r="G228" i="17"/>
  <c r="G51" i="15"/>
  <c r="F177" i="2" s="1"/>
  <c r="G184" i="17"/>
  <c r="G45" i="7"/>
  <c r="F562" i="2" s="1"/>
  <c r="G40" i="6"/>
  <c r="F319" i="2" s="1"/>
  <c r="I95" i="10"/>
  <c r="I378" i="2" s="1"/>
  <c r="G18" i="13"/>
  <c r="G242" i="17"/>
  <c r="G93" i="12"/>
  <c r="G95" i="15"/>
  <c r="F314" i="2" s="1"/>
  <c r="G43" i="11"/>
  <c r="F646" i="2" s="1"/>
  <c r="I114" i="10"/>
  <c r="I490" i="2" s="1"/>
  <c r="I121" i="10"/>
  <c r="I570" i="2" s="1"/>
  <c r="I120" i="10"/>
  <c r="I559" i="2" s="1"/>
  <c r="G29" i="15"/>
  <c r="F103" i="2" s="1"/>
  <c r="G176" i="17"/>
  <c r="I604" i="2"/>
  <c r="G132" i="17"/>
  <c r="G85" i="15"/>
  <c r="F288" i="2" s="1"/>
  <c r="G217" i="17"/>
  <c r="G236" i="17"/>
  <c r="G56" i="17"/>
  <c r="I98" i="10"/>
  <c r="I393" i="2" s="1"/>
  <c r="G224" i="17"/>
  <c r="I96" i="10"/>
  <c r="I388" i="2" s="1"/>
  <c r="G64" i="17"/>
  <c r="G193" i="17"/>
  <c r="G54" i="17"/>
  <c r="G226" i="17"/>
  <c r="I47" i="10"/>
  <c r="I186" i="2" s="1"/>
  <c r="G61" i="15"/>
  <c r="F218" i="2" s="1"/>
  <c r="G248" i="17"/>
  <c r="I67" i="10"/>
  <c r="I280" i="2" s="1"/>
  <c r="I377" i="2"/>
  <c r="G115" i="15"/>
  <c r="F370" i="2" s="1"/>
  <c r="G17" i="17"/>
  <c r="I542" i="2"/>
  <c r="G26" i="15"/>
  <c r="F87" i="2" s="1"/>
  <c r="G46" i="13"/>
  <c r="G11" i="17"/>
  <c r="G13" i="7"/>
  <c r="F115" i="2" s="1"/>
  <c r="G163" i="17"/>
  <c r="G16" i="15"/>
  <c r="F58" i="2" s="1"/>
  <c r="G34" i="13"/>
  <c r="G74" i="13"/>
  <c r="G137" i="17"/>
  <c r="G13" i="17"/>
  <c r="G15" i="13"/>
  <c r="G7" i="7"/>
  <c r="F90" i="2" s="1"/>
  <c r="G3" i="11"/>
  <c r="F23" i="2" s="1"/>
  <c r="G251" i="17"/>
  <c r="G69" i="15"/>
  <c r="F244" i="2" s="1"/>
  <c r="G107" i="15"/>
  <c r="F343" i="2" s="1"/>
  <c r="I441" i="2"/>
  <c r="G98" i="17"/>
  <c r="I123" i="10"/>
  <c r="I580" i="2" s="1"/>
  <c r="G21" i="15"/>
  <c r="F68" i="2" s="1"/>
  <c r="G197" i="17"/>
  <c r="G22" i="17"/>
  <c r="G72" i="13"/>
  <c r="G10" i="13"/>
  <c r="I71" i="10"/>
  <c r="I295" i="2" s="1"/>
  <c r="G28" i="17"/>
  <c r="G18" i="6"/>
  <c r="F119" i="2" s="1"/>
  <c r="I36" i="10"/>
  <c r="I131" i="2" s="1"/>
  <c r="I46" i="10"/>
  <c r="I185" i="2" s="1"/>
  <c r="I131" i="10"/>
  <c r="I621" i="2" s="1"/>
  <c r="G97" i="17"/>
  <c r="I537" i="2"/>
  <c r="G48" i="7"/>
  <c r="F632" i="2" s="1"/>
  <c r="G59" i="12"/>
  <c r="G5" i="6"/>
  <c r="F18" i="2" s="1"/>
  <c r="G89" i="15"/>
  <c r="F297" i="2" s="1"/>
  <c r="I191" i="2"/>
  <c r="G30" i="15"/>
  <c r="F114" i="2" s="1"/>
  <c r="G33" i="15"/>
  <c r="F125" i="2" s="1"/>
  <c r="G2" i="8"/>
  <c r="G144" i="17"/>
  <c r="G19" i="11"/>
  <c r="F198" i="2" s="1"/>
  <c r="G31" i="13"/>
  <c r="G124" i="17"/>
  <c r="G223" i="17"/>
  <c r="G61" i="13"/>
  <c r="G62" i="12"/>
  <c r="G70" i="13"/>
  <c r="G30" i="8"/>
  <c r="F373" i="2" s="1"/>
  <c r="G6" i="13"/>
  <c r="G156" i="17"/>
  <c r="G86" i="15"/>
  <c r="F290" i="2" s="1"/>
  <c r="G25" i="7"/>
  <c r="F230" i="2" s="1"/>
  <c r="G6" i="6"/>
  <c r="F19" i="2" s="1"/>
  <c r="G5" i="11"/>
  <c r="F30" i="2" s="1"/>
  <c r="G15" i="17"/>
  <c r="G15" i="11"/>
  <c r="F102" i="2" s="1"/>
  <c r="G41" i="11"/>
  <c r="F573" i="2" s="1"/>
  <c r="G168" i="17"/>
  <c r="G218" i="17"/>
  <c r="G11" i="15"/>
  <c r="F43" i="2" s="1"/>
  <c r="G102" i="15"/>
  <c r="F331" i="2" s="1"/>
  <c r="G71" i="15"/>
  <c r="F248" i="2" s="1"/>
  <c r="I24" i="10"/>
  <c r="I89" i="2" s="1"/>
  <c r="I551" i="2"/>
  <c r="G83" i="15"/>
  <c r="F277" i="2" s="1"/>
  <c r="G154" i="17"/>
  <c r="G212" i="17"/>
  <c r="G118" i="15"/>
  <c r="F391" i="2" s="1"/>
  <c r="I16" i="10"/>
  <c r="I53" i="2" s="1"/>
  <c r="G118" i="17"/>
  <c r="I126" i="10"/>
  <c r="I587" i="2" s="1"/>
  <c r="G72" i="15"/>
  <c r="F251" i="2" s="1"/>
  <c r="G200" i="17"/>
  <c r="G65" i="17"/>
  <c r="G82" i="15"/>
  <c r="F275" i="2" s="1"/>
  <c r="I75" i="10"/>
  <c r="I312" i="2" s="1"/>
  <c r="I589" i="2"/>
  <c r="G92" i="15"/>
  <c r="F303" i="2" s="1"/>
  <c r="G87" i="17"/>
  <c r="G8" i="15"/>
  <c r="F38" i="2" s="1"/>
  <c r="G112" i="17"/>
  <c r="I382" i="2"/>
  <c r="I85" i="10"/>
  <c r="I345" i="2" s="1"/>
  <c r="G54" i="15"/>
  <c r="F189" i="2" s="1"/>
  <c r="G3" i="6"/>
  <c r="F6" i="2" s="1"/>
  <c r="G82" i="17"/>
  <c r="G77" i="13"/>
  <c r="I167" i="2"/>
  <c r="G10" i="6"/>
  <c r="F59" i="2" s="1"/>
  <c r="G4" i="11"/>
  <c r="F25" i="2" s="1"/>
  <c r="G47" i="17"/>
  <c r="G42" i="7"/>
  <c r="F460" i="2" s="1"/>
  <c r="G90" i="13"/>
  <c r="I133" i="10"/>
  <c r="I627" i="2" s="1"/>
  <c r="I44" i="10"/>
  <c r="I170" i="2" s="1"/>
  <c r="G192" i="17"/>
  <c r="G14" i="6"/>
  <c r="F85" i="2" s="1"/>
  <c r="G36" i="12"/>
  <c r="I409" i="2"/>
  <c r="G105" i="15"/>
  <c r="F341" i="2" s="1"/>
  <c r="G126" i="15"/>
  <c r="F421" i="2" s="1"/>
  <c r="G52" i="17"/>
  <c r="G3" i="15"/>
  <c r="G103" i="12"/>
  <c r="I137" i="10"/>
  <c r="I638" i="2" s="1"/>
  <c r="G98" i="15"/>
  <c r="F325" i="2" s="1"/>
  <c r="G150" i="17"/>
  <c r="G29" i="11"/>
  <c r="F376" i="2" s="1"/>
  <c r="G66" i="15"/>
  <c r="F238" i="2" s="1"/>
  <c r="G9" i="11"/>
  <c r="F57" i="2" s="1"/>
  <c r="G149" i="17"/>
  <c r="G53" i="13"/>
  <c r="G9" i="6"/>
  <c r="F56" i="2" s="1"/>
  <c r="G35" i="13"/>
  <c r="G2" i="12"/>
  <c r="G99" i="12"/>
  <c r="G48" i="8"/>
  <c r="F622" i="2" s="1"/>
  <c r="G104" i="17"/>
  <c r="G110" i="15"/>
  <c r="F349" i="2" s="1"/>
  <c r="I8" i="9"/>
  <c r="I148" i="2" s="1"/>
  <c r="G6" i="8"/>
  <c r="F26" i="2" s="1"/>
  <c r="G131" i="17"/>
  <c r="I54" i="10"/>
  <c r="I203" i="2" s="1"/>
  <c r="G44" i="13"/>
  <c r="G113" i="17"/>
  <c r="G66" i="12"/>
  <c r="G43" i="15"/>
  <c r="F156" i="2" s="1"/>
  <c r="G2" i="11"/>
  <c r="I110" i="10"/>
  <c r="I474" i="2" s="1"/>
  <c r="G68" i="15"/>
  <c r="F242" i="2" s="1"/>
  <c r="G155" i="17"/>
  <c r="G59" i="13"/>
  <c r="G23" i="11"/>
  <c r="F276" i="2" s="1"/>
  <c r="G174" i="17"/>
  <c r="G47" i="13"/>
  <c r="G75" i="12"/>
  <c r="I514" i="2"/>
  <c r="G129" i="15"/>
  <c r="F427" i="2" s="1"/>
  <c r="I576" i="2"/>
  <c r="G234" i="17"/>
  <c r="I40" i="10"/>
  <c r="I154" i="2" s="1"/>
  <c r="I89" i="10"/>
  <c r="I360" i="2" s="1"/>
  <c r="G38" i="15"/>
  <c r="F144" i="2" s="1"/>
  <c r="G78" i="17"/>
  <c r="G232" i="17"/>
  <c r="G13" i="15"/>
  <c r="F46" i="2" s="1"/>
  <c r="G44" i="15"/>
  <c r="F157" i="2" s="1"/>
  <c r="G161" i="17"/>
  <c r="I57" i="10"/>
  <c r="I212" i="2" s="1"/>
  <c r="G211" i="17"/>
  <c r="I102" i="10"/>
  <c r="I407" i="2" s="1"/>
  <c r="I78" i="10"/>
  <c r="I324" i="2" s="1"/>
  <c r="G20" i="17"/>
  <c r="G153" i="17"/>
  <c r="G237" i="17"/>
  <c r="G186" i="17"/>
  <c r="G169" i="17"/>
  <c r="G204" i="17"/>
  <c r="G67" i="17"/>
  <c r="I465" i="2"/>
  <c r="G165" i="17"/>
  <c r="I100" i="10"/>
  <c r="I398" i="2" s="1"/>
  <c r="G249" i="17"/>
  <c r="G229" i="17"/>
  <c r="I124" i="10"/>
  <c r="I581" i="2" s="1"/>
  <c r="G33" i="6"/>
  <c r="F252" i="2" s="1"/>
  <c r="G32" i="13"/>
  <c r="G34" i="6"/>
  <c r="F255" i="2" s="1"/>
  <c r="G109" i="17"/>
  <c r="G32" i="7"/>
  <c r="F309" i="2" s="1"/>
  <c r="G117" i="15"/>
  <c r="F385" i="2" s="1"/>
  <c r="G39" i="7"/>
  <c r="F417" i="2" s="1"/>
  <c r="G80" i="17"/>
  <c r="G134" i="15"/>
  <c r="F439" i="2" s="1"/>
  <c r="G84" i="13"/>
  <c r="G235" i="17"/>
  <c r="G114" i="15"/>
  <c r="F369" i="2" s="1"/>
  <c r="I84" i="10"/>
  <c r="I344" i="2" s="1"/>
  <c r="G70" i="15"/>
  <c r="F246" i="2" s="1"/>
  <c r="G20" i="15"/>
  <c r="F67" i="2" s="1"/>
  <c r="I51" i="10"/>
  <c r="I196" i="2" s="1"/>
  <c r="G92" i="12"/>
  <c r="G59" i="17"/>
  <c r="G147" i="17"/>
  <c r="G146" i="17"/>
  <c r="I6" i="10"/>
  <c r="I9" i="2" s="1"/>
  <c r="G30" i="7"/>
  <c r="F279" i="2" s="1"/>
  <c r="I11" i="10"/>
  <c r="I34" i="2" s="1"/>
  <c r="G94" i="12"/>
  <c r="G2" i="6"/>
  <c r="G48" i="6"/>
  <c r="F446" i="2" s="1"/>
  <c r="G47" i="6"/>
  <c r="F438" i="2" s="1"/>
  <c r="G56" i="6"/>
  <c r="F511" i="2" s="1"/>
  <c r="G49" i="6"/>
  <c r="F454" i="2" s="1"/>
  <c r="G36" i="6"/>
  <c r="F282" i="2" s="1"/>
  <c r="G43" i="6"/>
  <c r="F365" i="2" s="1"/>
  <c r="G57" i="6"/>
  <c r="F528" i="2" s="1"/>
  <c r="G50" i="6"/>
  <c r="F476" i="2" s="1"/>
  <c r="G45" i="6"/>
  <c r="F416" i="2" s="1"/>
  <c r="G61" i="6"/>
  <c r="F617" i="2" s="1"/>
  <c r="G17" i="6"/>
  <c r="F107" i="2" s="1"/>
  <c r="G63" i="6"/>
  <c r="F641" i="2" s="1"/>
  <c r="G17" i="15"/>
  <c r="F60" i="2" s="1"/>
  <c r="G50" i="12"/>
  <c r="G240" i="17"/>
  <c r="G59" i="15"/>
  <c r="F214" i="2" s="1"/>
  <c r="G17" i="13"/>
  <c r="G2" i="17"/>
  <c r="G36" i="17"/>
  <c r="G179" i="17"/>
  <c r="G57" i="13"/>
  <c r="G43" i="13"/>
  <c r="G133" i="15"/>
  <c r="F435" i="2" s="1"/>
  <c r="G67" i="12"/>
  <c r="G43" i="12"/>
  <c r="G21" i="12"/>
  <c r="G59" i="6"/>
  <c r="F574" i="2" s="1"/>
  <c r="G111" i="15"/>
  <c r="F352" i="2" s="1"/>
  <c r="G34" i="17"/>
  <c r="G188" i="17"/>
  <c r="G222" i="17"/>
  <c r="G57" i="15"/>
  <c r="F211" i="2" s="1"/>
  <c r="G24" i="7"/>
  <c r="F229" i="2" s="1"/>
  <c r="G80" i="15"/>
  <c r="F273" i="2" s="1"/>
  <c r="G25" i="12"/>
  <c r="G56" i="13"/>
  <c r="G35" i="7"/>
  <c r="F379" i="2" s="1"/>
  <c r="I15" i="10"/>
  <c r="I45" i="2" s="1"/>
  <c r="I18" i="10"/>
  <c r="I72" i="2" s="1"/>
  <c r="G51" i="13"/>
  <c r="G41" i="17"/>
  <c r="G58" i="6"/>
  <c r="F554" i="2" s="1"/>
  <c r="G159" i="15"/>
  <c r="F597" i="2" s="1"/>
  <c r="G23" i="7"/>
  <c r="F219" i="2" s="1"/>
  <c r="G4" i="7"/>
  <c r="F52" i="2" s="1"/>
  <c r="E5" i="3" s="1"/>
  <c r="G28" i="7"/>
  <c r="F261" i="2" s="1"/>
  <c r="G87" i="12"/>
  <c r="I561" i="2"/>
  <c r="G77" i="15"/>
  <c r="F264" i="2" s="1"/>
  <c r="G60" i="12"/>
  <c r="G219" i="17"/>
  <c r="I56" i="15" l="1"/>
  <c r="I209" i="2" s="1"/>
  <c r="I49" i="7"/>
  <c r="I633" i="2" s="1"/>
  <c r="I3" i="12"/>
  <c r="I2" i="6"/>
  <c r="I5" i="2" s="1"/>
  <c r="H2" i="3" s="1"/>
  <c r="I2" i="17"/>
  <c r="I20" i="6"/>
  <c r="I12" i="2" s="1"/>
  <c r="I6" i="11"/>
  <c r="I32" i="2" s="1"/>
  <c r="H14" i="3" s="1"/>
  <c r="I2" i="12"/>
  <c r="I8" i="7"/>
  <c r="I94" i="2" s="1"/>
  <c r="I59" i="13"/>
  <c r="I44" i="13"/>
  <c r="I69" i="13"/>
  <c r="I53" i="13"/>
  <c r="I39" i="13"/>
  <c r="I36" i="13"/>
  <c r="I4" i="13"/>
  <c r="I23" i="13"/>
  <c r="I78" i="13"/>
  <c r="I60" i="13"/>
  <c r="I48" i="13"/>
  <c r="I94" i="13"/>
  <c r="I51" i="13"/>
  <c r="I6" i="13"/>
  <c r="I70" i="13"/>
  <c r="I61" i="13"/>
  <c r="I31" i="13"/>
  <c r="I43" i="13"/>
  <c r="I10" i="13"/>
  <c r="I15" i="13"/>
  <c r="I74" i="13"/>
  <c r="I34" i="13"/>
  <c r="I46" i="13"/>
  <c r="I21" i="13"/>
  <c r="I85" i="13"/>
  <c r="I41" i="13"/>
  <c r="I47" i="13"/>
  <c r="I18" i="13"/>
  <c r="I35" i="13"/>
  <c r="I29" i="13"/>
  <c r="I62" i="13"/>
  <c r="I90" i="13"/>
  <c r="I77" i="13"/>
  <c r="I7" i="13"/>
  <c r="I65" i="13"/>
  <c r="I82" i="13"/>
  <c r="I50" i="13"/>
  <c r="I3" i="13"/>
  <c r="I28" i="13"/>
  <c r="I63" i="13"/>
  <c r="I72" i="13"/>
  <c r="I24" i="13"/>
  <c r="I40" i="13"/>
  <c r="I71" i="13"/>
  <c r="I88" i="13"/>
  <c r="I9" i="13"/>
  <c r="I91" i="13"/>
  <c r="I80" i="13"/>
  <c r="I92" i="13"/>
  <c r="I27" i="13"/>
  <c r="I14" i="13"/>
  <c r="I19" i="13"/>
  <c r="I16" i="13"/>
  <c r="I25" i="13"/>
  <c r="I68" i="13"/>
  <c r="I89" i="13"/>
  <c r="I58" i="13"/>
  <c r="I83" i="13"/>
  <c r="I45" i="13"/>
  <c r="I66" i="13"/>
  <c r="I13" i="13"/>
  <c r="I67" i="13"/>
  <c r="I93" i="13"/>
  <c r="I64" i="13"/>
  <c r="I49" i="13"/>
  <c r="I33" i="13"/>
  <c r="I52" i="13"/>
  <c r="I55" i="13"/>
  <c r="I5" i="13"/>
  <c r="I26" i="13"/>
  <c r="I79" i="13"/>
  <c r="I42" i="13"/>
  <c r="I30" i="13"/>
  <c r="I38" i="13"/>
  <c r="I81" i="13"/>
  <c r="I22" i="13"/>
  <c r="I37" i="13"/>
  <c r="I2" i="13"/>
  <c r="I75" i="13"/>
  <c r="I86" i="13"/>
  <c r="I87" i="13"/>
  <c r="I56" i="13"/>
  <c r="I20" i="13"/>
  <c r="I12" i="13"/>
  <c r="I76" i="13"/>
  <c r="I57" i="13"/>
  <c r="I17" i="13"/>
  <c r="I84" i="13"/>
  <c r="I32" i="13"/>
  <c r="I73" i="13"/>
  <c r="I42" i="7"/>
  <c r="I460" i="2" s="1"/>
  <c r="I16" i="7"/>
  <c r="I140" i="2" s="1"/>
  <c r="I10" i="7"/>
  <c r="I100" i="2" s="1"/>
  <c r="I25" i="7"/>
  <c r="I230" i="2" s="1"/>
  <c r="I50" i="7"/>
  <c r="I644" i="2" s="1"/>
  <c r="I11" i="13"/>
  <c r="I23" i="7"/>
  <c r="I219" i="2" s="1"/>
  <c r="F27" i="2"/>
  <c r="I29" i="7"/>
  <c r="I269" i="2" s="1"/>
  <c r="I14" i="7"/>
  <c r="I130" i="2" s="1"/>
  <c r="I20" i="7"/>
  <c r="I183" i="2" s="1"/>
  <c r="I34" i="7"/>
  <c r="I355" i="2" s="1"/>
  <c r="I19" i="7"/>
  <c r="I178" i="2" s="1"/>
  <c r="I41" i="7"/>
  <c r="I423" i="2" s="1"/>
  <c r="I6" i="7"/>
  <c r="I71" i="2" s="1"/>
  <c r="I9" i="7"/>
  <c r="I99" i="2" s="1"/>
  <c r="I33" i="7"/>
  <c r="I321" i="2" s="1"/>
  <c r="I2" i="7"/>
  <c r="I22" i="2" s="1"/>
  <c r="I26" i="7"/>
  <c r="I241" i="2" s="1"/>
  <c r="I36" i="7"/>
  <c r="I383" i="2" s="1"/>
  <c r="I13" i="7"/>
  <c r="I115" i="2" s="1"/>
  <c r="I47" i="7"/>
  <c r="I607" i="2" s="1"/>
  <c r="H17" i="3"/>
  <c r="I30" i="7"/>
  <c r="I279" i="2" s="1"/>
  <c r="I174" i="17"/>
  <c r="I241" i="17"/>
  <c r="I113" i="17"/>
  <c r="I131" i="17"/>
  <c r="I196" i="17"/>
  <c r="I104" i="17"/>
  <c r="I149" i="17"/>
  <c r="I150" i="17"/>
  <c r="I37" i="17"/>
  <c r="I52" i="17"/>
  <c r="I8" i="17"/>
  <c r="I47" i="17"/>
  <c r="I181" i="17"/>
  <c r="I40" i="17"/>
  <c r="I76" i="17"/>
  <c r="I87" i="17"/>
  <c r="I122" i="17"/>
  <c r="I161" i="17"/>
  <c r="I200" i="17"/>
  <c r="I232" i="17"/>
  <c r="I16" i="17"/>
  <c r="I176" i="17"/>
  <c r="I99" i="17"/>
  <c r="I217" i="17"/>
  <c r="I58" i="17"/>
  <c r="I194" i="17"/>
  <c r="I230" i="17"/>
  <c r="I120" i="17"/>
  <c r="I213" i="17"/>
  <c r="I136" i="17"/>
  <c r="I219" i="17"/>
  <c r="I218" i="17"/>
  <c r="I168" i="17"/>
  <c r="I41" i="17"/>
  <c r="I156" i="17"/>
  <c r="I223" i="17"/>
  <c r="I34" i="17"/>
  <c r="I97" i="17"/>
  <c r="I197" i="17"/>
  <c r="I147" i="17"/>
  <c r="I137" i="17"/>
  <c r="I11" i="17"/>
  <c r="I80" i="17"/>
  <c r="I17" i="17"/>
  <c r="I248" i="17"/>
  <c r="I226" i="17"/>
  <c r="I54" i="17"/>
  <c r="I64" i="17"/>
  <c r="I165" i="17"/>
  <c r="I224" i="17"/>
  <c r="I67" i="17"/>
  <c r="I204" i="17"/>
  <c r="I56" i="17"/>
  <c r="I236" i="17"/>
  <c r="I132" i="17"/>
  <c r="I154" i="17"/>
  <c r="I234" i="17"/>
  <c r="I157" i="17"/>
  <c r="I242" i="17"/>
  <c r="I86" i="17"/>
  <c r="I155" i="17"/>
  <c r="I184" i="17"/>
  <c r="I189" i="17"/>
  <c r="I152" i="17"/>
  <c r="I30" i="17"/>
  <c r="I77" i="17"/>
  <c r="I220" i="17"/>
  <c r="I127" i="17"/>
  <c r="I192" i="17"/>
  <c r="I46" i="17"/>
  <c r="I82" i="17"/>
  <c r="I215" i="17"/>
  <c r="I221" i="17"/>
  <c r="I112" i="17"/>
  <c r="I9" i="17"/>
  <c r="I78" i="17"/>
  <c r="I65" i="17"/>
  <c r="I106" i="17"/>
  <c r="I159" i="17"/>
  <c r="I141" i="17"/>
  <c r="I90" i="17"/>
  <c r="I88" i="17"/>
  <c r="I119" i="17"/>
  <c r="I81" i="17"/>
  <c r="I172" i="17"/>
  <c r="I246" i="17"/>
  <c r="I164" i="17"/>
  <c r="I15" i="17"/>
  <c r="I209" i="17"/>
  <c r="I96" i="17"/>
  <c r="I70" i="17"/>
  <c r="I124" i="17"/>
  <c r="I177" i="17"/>
  <c r="I144" i="17"/>
  <c r="I28" i="17"/>
  <c r="I19" i="17"/>
  <c r="I22" i="17"/>
  <c r="I145" i="17"/>
  <c r="I98" i="17"/>
  <c r="I251" i="17"/>
  <c r="I163" i="17"/>
  <c r="I95" i="17"/>
  <c r="I171" i="17"/>
  <c r="I23" i="17"/>
  <c r="I193" i="17"/>
  <c r="I138" i="17"/>
  <c r="I134" i="17"/>
  <c r="I135" i="17"/>
  <c r="I75" i="17"/>
  <c r="I116" i="17"/>
  <c r="I73" i="17"/>
  <c r="I29" i="17"/>
  <c r="I91" i="17"/>
  <c r="I228" i="17"/>
  <c r="I66" i="17"/>
  <c r="I74" i="17"/>
  <c r="I12" i="17"/>
  <c r="I57" i="17"/>
  <c r="I129" i="17"/>
  <c r="I3" i="17"/>
  <c r="I14" i="17"/>
  <c r="I178" i="17"/>
  <c r="I35" i="17"/>
  <c r="I45" i="17"/>
  <c r="I126" i="17"/>
  <c r="I32" i="17"/>
  <c r="I198" i="17"/>
  <c r="I26" i="17"/>
  <c r="I160" i="17"/>
  <c r="I118" i="17"/>
  <c r="I239" i="17"/>
  <c r="I142" i="17"/>
  <c r="I170" i="17"/>
  <c r="I123" i="17"/>
  <c r="I62" i="17"/>
  <c r="I39" i="17"/>
  <c r="I190" i="17"/>
  <c r="I53" i="17"/>
  <c r="I187" i="17"/>
  <c r="I206" i="17"/>
  <c r="I167" i="17"/>
  <c r="I162" i="17"/>
  <c r="I71" i="17"/>
  <c r="I6" i="17"/>
  <c r="I93" i="17"/>
  <c r="I24" i="17"/>
  <c r="I100" i="17"/>
  <c r="I158" i="17"/>
  <c r="I27" i="17"/>
  <c r="I21" i="17"/>
  <c r="I25" i="17"/>
  <c r="I61" i="17"/>
  <c r="I139" i="17"/>
  <c r="I238" i="17"/>
  <c r="I212" i="17"/>
  <c r="I148" i="17"/>
  <c r="I38" i="17"/>
  <c r="I4" i="17"/>
  <c r="I108" i="17"/>
  <c r="I216" i="17"/>
  <c r="I208" i="17"/>
  <c r="I151" i="17"/>
  <c r="I202" i="17"/>
  <c r="I94" i="17"/>
  <c r="I203" i="17"/>
  <c r="I210" i="17"/>
  <c r="I42" i="17"/>
  <c r="I214" i="17"/>
  <c r="I243" i="17"/>
  <c r="I49" i="17"/>
  <c r="I31" i="17"/>
  <c r="I183" i="17"/>
  <c r="I182" i="17"/>
  <c r="I205" i="17"/>
  <c r="I10" i="17"/>
  <c r="I83" i="17"/>
  <c r="I43" i="17"/>
  <c r="I72" i="17"/>
  <c r="I143" i="17"/>
  <c r="I110" i="17"/>
  <c r="I5" i="17"/>
  <c r="I92" i="17"/>
  <c r="I79" i="17"/>
  <c r="I247" i="17"/>
  <c r="I7" i="17"/>
  <c r="I117" i="17"/>
  <c r="I50" i="17"/>
  <c r="I33" i="17"/>
  <c r="I111" i="17"/>
  <c r="I102" i="17"/>
  <c r="I233" i="17"/>
  <c r="I185" i="17"/>
  <c r="I44" i="17"/>
  <c r="I115" i="17"/>
  <c r="I107" i="17"/>
  <c r="I114" i="17"/>
  <c r="I60" i="17"/>
  <c r="I245" i="17"/>
  <c r="I195" i="17"/>
  <c r="I201" i="17"/>
  <c r="I166" i="17"/>
  <c r="I101" i="17"/>
  <c r="I140" i="17"/>
  <c r="I85" i="17"/>
  <c r="I180" i="17"/>
  <c r="I121" i="17"/>
  <c r="I130" i="17"/>
  <c r="I48" i="17"/>
  <c r="I133" i="17"/>
  <c r="I51" i="17"/>
  <c r="I173" i="17"/>
  <c r="I69" i="17"/>
  <c r="I231" i="17"/>
  <c r="I250" i="17"/>
  <c r="I105" i="17"/>
  <c r="I175" i="17"/>
  <c r="I227" i="17"/>
  <c r="I55" i="17"/>
  <c r="I84" i="17"/>
  <c r="I222" i="17"/>
  <c r="I244" i="17"/>
  <c r="I188" i="17"/>
  <c r="I179" i="17"/>
  <c r="I36" i="17"/>
  <c r="I240" i="17"/>
  <c r="I128" i="17"/>
  <c r="I146" i="17"/>
  <c r="I103" i="17"/>
  <c r="I59" i="17"/>
  <c r="I18" i="17"/>
  <c r="I235" i="17"/>
  <c r="I207" i="17"/>
  <c r="I109" i="17"/>
  <c r="I229" i="17"/>
  <c r="I249" i="17"/>
  <c r="I225" i="17"/>
  <c r="I125" i="17"/>
  <c r="I89" i="17"/>
  <c r="I169" i="17"/>
  <c r="I186" i="17"/>
  <c r="I237" i="17"/>
  <c r="I153" i="17"/>
  <c r="I20" i="17"/>
  <c r="I211" i="17"/>
  <c r="I191" i="17"/>
  <c r="I199" i="17"/>
  <c r="I63" i="17"/>
  <c r="I35" i="7"/>
  <c r="I379" i="2" s="1"/>
  <c r="I13" i="17"/>
  <c r="I5" i="7"/>
  <c r="I65" i="2" s="1"/>
  <c r="I68" i="17"/>
  <c r="I12" i="7"/>
  <c r="I104" i="2" s="1"/>
  <c r="I46" i="7"/>
  <c r="I599" i="2" s="1"/>
  <c r="I40" i="7"/>
  <c r="I418" i="2" s="1"/>
  <c r="I15" i="7"/>
  <c r="I135" i="2" s="1"/>
  <c r="I31" i="7"/>
  <c r="I284" i="2" s="1"/>
  <c r="F2" i="2"/>
  <c r="E8" i="3" s="1"/>
  <c r="I6" i="8"/>
  <c r="I26" i="2" s="1"/>
  <c r="I13" i="8"/>
  <c r="I151" i="2" s="1"/>
  <c r="I47" i="8"/>
  <c r="I615" i="2" s="1"/>
  <c r="I29" i="8"/>
  <c r="I340" i="2" s="1"/>
  <c r="I23" i="8"/>
  <c r="I245" i="2" s="1"/>
  <c r="I32" i="8"/>
  <c r="I384" i="2" s="1"/>
  <c r="I27" i="8"/>
  <c r="I299" i="2" s="1"/>
  <c r="I40" i="8"/>
  <c r="I471" i="2" s="1"/>
  <c r="I14" i="8"/>
  <c r="I155" i="2" s="1"/>
  <c r="I30" i="8"/>
  <c r="I373" i="2" s="1"/>
  <c r="I39" i="8"/>
  <c r="I466" i="2" s="1"/>
  <c r="I51" i="8"/>
  <c r="I628" i="2" s="1"/>
  <c r="I5" i="8"/>
  <c r="I20" i="2" s="1"/>
  <c r="I38" i="8"/>
  <c r="I443" i="2" s="1"/>
  <c r="I49" i="8"/>
  <c r="I625" i="2" s="1"/>
  <c r="I55" i="8"/>
  <c r="I648" i="2" s="1"/>
  <c r="I48" i="8"/>
  <c r="I622" i="2" s="1"/>
  <c r="I46" i="8"/>
  <c r="I608" i="2" s="1"/>
  <c r="I50" i="8"/>
  <c r="I626" i="2" s="1"/>
  <c r="I19" i="8"/>
  <c r="I194" i="2" s="1"/>
  <c r="I24" i="8"/>
  <c r="I259" i="2" s="1"/>
  <c r="I9" i="8"/>
  <c r="I113" i="2" s="1"/>
  <c r="I7" i="8"/>
  <c r="I31" i="2" s="1"/>
  <c r="I8" i="8"/>
  <c r="I105" i="2" s="1"/>
  <c r="I12" i="8"/>
  <c r="I139" i="2" s="1"/>
  <c r="I41" i="8"/>
  <c r="I478" i="2" s="1"/>
  <c r="I54" i="8"/>
  <c r="I645" i="2" s="1"/>
  <c r="I28" i="8"/>
  <c r="I339" i="2" s="1"/>
  <c r="I15" i="8"/>
  <c r="I175" i="2" s="1"/>
  <c r="I37" i="8"/>
  <c r="I431" i="2" s="1"/>
  <c r="I45" i="8"/>
  <c r="I590" i="2" s="1"/>
  <c r="I17" i="8"/>
  <c r="I181" i="2" s="1"/>
  <c r="I43" i="8"/>
  <c r="I529" i="2" s="1"/>
  <c r="I36" i="8"/>
  <c r="I430" i="2" s="1"/>
  <c r="I26" i="8"/>
  <c r="I292" i="2" s="1"/>
  <c r="I18" i="8"/>
  <c r="I188" i="2" s="1"/>
  <c r="I20" i="8"/>
  <c r="I222" i="2" s="1"/>
  <c r="I53" i="8"/>
  <c r="I643" i="2" s="1"/>
  <c r="I11" i="8"/>
  <c r="I134" i="2" s="1"/>
  <c r="I34" i="8"/>
  <c r="I413" i="2" s="1"/>
  <c r="I42" i="8"/>
  <c r="I479" i="2" s="1"/>
  <c r="I44" i="8"/>
  <c r="I575" i="2" s="1"/>
  <c r="I33" i="8"/>
  <c r="I386" i="2" s="1"/>
  <c r="I21" i="8"/>
  <c r="I226" i="2" s="1"/>
  <c r="I31" i="8"/>
  <c r="I375" i="2" s="1"/>
  <c r="I3" i="8"/>
  <c r="I11" i="2" s="1"/>
  <c r="I25" i="8"/>
  <c r="I270" i="2" s="1"/>
  <c r="I16" i="8"/>
  <c r="I180" i="2" s="1"/>
  <c r="I35" i="8"/>
  <c r="I429" i="2" s="1"/>
  <c r="I22" i="8"/>
  <c r="I231" i="2" s="1"/>
  <c r="I10" i="8"/>
  <c r="I117" i="2" s="1"/>
  <c r="I4" i="8"/>
  <c r="I17" i="2" s="1"/>
  <c r="I52" i="8"/>
  <c r="I629" i="2" s="1"/>
  <c r="I32" i="7"/>
  <c r="I309" i="2" s="1"/>
  <c r="I21" i="7"/>
  <c r="I205" i="2" s="1"/>
  <c r="I45" i="7"/>
  <c r="I562" i="2" s="1"/>
  <c r="I22" i="7"/>
  <c r="I207" i="2" s="1"/>
  <c r="H11" i="3"/>
  <c r="F16" i="2"/>
  <c r="E26" i="3" s="1"/>
  <c r="I43" i="15"/>
  <c r="I156" i="2" s="1"/>
  <c r="I135" i="15"/>
  <c r="I442" i="2" s="1"/>
  <c r="I7" i="15"/>
  <c r="I36" i="2" s="1"/>
  <c r="I66" i="15"/>
  <c r="I238" i="2" s="1"/>
  <c r="I98" i="15"/>
  <c r="I325" i="2" s="1"/>
  <c r="I126" i="15"/>
  <c r="I421" i="2" s="1"/>
  <c r="I105" i="15"/>
  <c r="I341" i="2" s="1"/>
  <c r="I58" i="15"/>
  <c r="I213" i="2" s="1"/>
  <c r="I65" i="15"/>
  <c r="I233" i="2" s="1"/>
  <c r="I88" i="15"/>
  <c r="I294" i="2" s="1"/>
  <c r="I54" i="15"/>
  <c r="I189" i="2" s="1"/>
  <c r="I41" i="15"/>
  <c r="I150" i="2" s="1"/>
  <c r="I92" i="15"/>
  <c r="I303" i="2" s="1"/>
  <c r="I148" i="15"/>
  <c r="I505" i="2" s="1"/>
  <c r="I82" i="15"/>
  <c r="I275" i="2" s="1"/>
  <c r="I72" i="15"/>
  <c r="I251" i="2" s="1"/>
  <c r="I85" i="15"/>
  <c r="I288" i="2" s="1"/>
  <c r="I144" i="15"/>
  <c r="I481" i="2" s="1"/>
  <c r="I102" i="15"/>
  <c r="I331" i="2" s="1"/>
  <c r="I141" i="15"/>
  <c r="I463" i="2" s="1"/>
  <c r="I132" i="15"/>
  <c r="I433" i="2" s="1"/>
  <c r="I130" i="15"/>
  <c r="I428" i="2" s="1"/>
  <c r="I122" i="15"/>
  <c r="I405" i="2" s="1"/>
  <c r="I101" i="15"/>
  <c r="I328" i="2" s="1"/>
  <c r="I86" i="15"/>
  <c r="I290" i="2" s="1"/>
  <c r="I33" i="15"/>
  <c r="I125" i="2" s="1"/>
  <c r="I89" i="15"/>
  <c r="I297" i="2" s="1"/>
  <c r="I21" i="15"/>
  <c r="I68" i="2" s="1"/>
  <c r="I107" i="15"/>
  <c r="I343" i="2" s="1"/>
  <c r="I69" i="15"/>
  <c r="I244" i="2" s="1"/>
  <c r="I16" i="15"/>
  <c r="I58" i="2" s="1"/>
  <c r="I26" i="15"/>
  <c r="I87" i="2" s="1"/>
  <c r="I134" i="15"/>
  <c r="I439" i="2" s="1"/>
  <c r="I115" i="15"/>
  <c r="I370" i="2" s="1"/>
  <c r="I61" i="15"/>
  <c r="I218" i="2" s="1"/>
  <c r="I9" i="15"/>
  <c r="I41" i="2" s="1"/>
  <c r="I95" i="15"/>
  <c r="I314" i="2" s="1"/>
  <c r="I51" i="15"/>
  <c r="I177" i="2" s="1"/>
  <c r="I68" i="15"/>
  <c r="I242" i="2" s="1"/>
  <c r="I110" i="15"/>
  <c r="I349" i="2" s="1"/>
  <c r="I161" i="15"/>
  <c r="I642" i="2" s="1"/>
  <c r="I154" i="15"/>
  <c r="I539" i="2" s="1"/>
  <c r="I90" i="15"/>
  <c r="I301" i="2" s="1"/>
  <c r="I136" i="15"/>
  <c r="I447" i="2" s="1"/>
  <c r="I103" i="15"/>
  <c r="I333" i="2" s="1"/>
  <c r="I73" i="15"/>
  <c r="I256" i="2" s="1"/>
  <c r="I8" i="15"/>
  <c r="I38" i="2" s="1"/>
  <c r="I93" i="15"/>
  <c r="I307" i="2" s="1"/>
  <c r="I127" i="15"/>
  <c r="I422" i="2" s="1"/>
  <c r="I29" i="15"/>
  <c r="I103" i="2" s="1"/>
  <c r="I38" i="15"/>
  <c r="I144" i="2" s="1"/>
  <c r="I44" i="15"/>
  <c r="I157" i="2" s="1"/>
  <c r="I13" i="15"/>
  <c r="I46" i="2" s="1"/>
  <c r="I118" i="15"/>
  <c r="I391" i="2" s="1"/>
  <c r="I143" i="15"/>
  <c r="I468" i="2" s="1"/>
  <c r="I145" i="15"/>
  <c r="I484" i="2" s="1"/>
  <c r="I22" i="15"/>
  <c r="I70" i="2" s="1"/>
  <c r="I60" i="15"/>
  <c r="I216" i="2" s="1"/>
  <c r="I124" i="15"/>
  <c r="I415" i="2" s="1"/>
  <c r="I128" i="15"/>
  <c r="I426" i="2" s="1"/>
  <c r="I121" i="15"/>
  <c r="I401" i="2" s="1"/>
  <c r="I30" i="15"/>
  <c r="I114" i="2" s="1"/>
  <c r="I153" i="15"/>
  <c r="I531" i="2" s="1"/>
  <c r="I109" i="15"/>
  <c r="I348" i="2" s="1"/>
  <c r="I50" i="15"/>
  <c r="I176" i="2" s="1"/>
  <c r="I75" i="15"/>
  <c r="I262" i="2" s="1"/>
  <c r="I52" i="15"/>
  <c r="I179" i="2" s="1"/>
  <c r="I27" i="15"/>
  <c r="I91" i="2" s="1"/>
  <c r="I5" i="15"/>
  <c r="I28" i="2" s="1"/>
  <c r="I104" i="15"/>
  <c r="I338" i="2" s="1"/>
  <c r="I37" i="15"/>
  <c r="I142" i="2" s="1"/>
  <c r="I157" i="15"/>
  <c r="I550" i="2" s="1"/>
  <c r="I79" i="15"/>
  <c r="I268" i="2" s="1"/>
  <c r="I91" i="15"/>
  <c r="I302" i="2" s="1"/>
  <c r="I142" i="15"/>
  <c r="I464" i="2" s="1"/>
  <c r="I116" i="15"/>
  <c r="I381" i="2" s="1"/>
  <c r="I42" i="15"/>
  <c r="I152" i="2" s="1"/>
  <c r="I100" i="15"/>
  <c r="I327" i="2" s="1"/>
  <c r="I81" i="15"/>
  <c r="I274" i="2" s="1"/>
  <c r="I32" i="15"/>
  <c r="I120" i="2" s="1"/>
  <c r="I131" i="15"/>
  <c r="I432" i="2" s="1"/>
  <c r="I74" i="15"/>
  <c r="I260" i="2" s="1"/>
  <c r="I150" i="15"/>
  <c r="I513" i="2" s="1"/>
  <c r="I160" i="15"/>
  <c r="I610" i="2" s="1"/>
  <c r="I99" i="15"/>
  <c r="I326" i="2" s="1"/>
  <c r="I137" i="15"/>
  <c r="I450" i="2" s="1"/>
  <c r="I39" i="15"/>
  <c r="I146" i="2" s="1"/>
  <c r="I45" i="15"/>
  <c r="I160" i="2" s="1"/>
  <c r="I112" i="15"/>
  <c r="I362" i="2" s="1"/>
  <c r="I87" i="15"/>
  <c r="I291" i="2" s="1"/>
  <c r="I83" i="15"/>
  <c r="I277" i="2" s="1"/>
  <c r="I71" i="15"/>
  <c r="I248" i="2" s="1"/>
  <c r="I11" i="15"/>
  <c r="I43" i="2" s="1"/>
  <c r="I18" i="15"/>
  <c r="I62" i="2" s="1"/>
  <c r="I24" i="15"/>
  <c r="I78" i="2" s="1"/>
  <c r="I158" i="15"/>
  <c r="I588" i="2" s="1"/>
  <c r="I94" i="15"/>
  <c r="I308" i="2" s="1"/>
  <c r="I97" i="15"/>
  <c r="I323" i="2" s="1"/>
  <c r="I123" i="15"/>
  <c r="I408" i="2" s="1"/>
  <c r="I36" i="15"/>
  <c r="I137" i="2" s="1"/>
  <c r="I15" i="15"/>
  <c r="I51" i="2" s="1"/>
  <c r="I106" i="15"/>
  <c r="I342" i="2" s="1"/>
  <c r="I10" i="15"/>
  <c r="I42" i="2" s="1"/>
  <c r="I67" i="15"/>
  <c r="I240" i="2" s="1"/>
  <c r="I25" i="15"/>
  <c r="I83" i="2" s="1"/>
  <c r="I151" i="15"/>
  <c r="I517" i="2" s="1"/>
  <c r="I147" i="15"/>
  <c r="I497" i="2" s="1"/>
  <c r="I49" i="15"/>
  <c r="I174" i="2" s="1"/>
  <c r="I19" i="15"/>
  <c r="I63" i="2" s="1"/>
  <c r="I149" i="15"/>
  <c r="I509" i="2" s="1"/>
  <c r="I46" i="15"/>
  <c r="I166" i="2" s="1"/>
  <c r="I138" i="15"/>
  <c r="I453" i="2" s="1"/>
  <c r="I34" i="15"/>
  <c r="I126" i="2" s="1"/>
  <c r="I120" i="15"/>
  <c r="I395" i="2" s="1"/>
  <c r="I53" i="15"/>
  <c r="I182" i="2" s="1"/>
  <c r="I12" i="15"/>
  <c r="I44" i="2" s="1"/>
  <c r="I64" i="15"/>
  <c r="I228" i="2" s="1"/>
  <c r="I4" i="15"/>
  <c r="I24" i="2" s="1"/>
  <c r="I113" i="15"/>
  <c r="I367" i="2" s="1"/>
  <c r="I35" i="15"/>
  <c r="I136" i="2" s="1"/>
  <c r="I84" i="15"/>
  <c r="I283" i="2" s="1"/>
  <c r="I152" i="15"/>
  <c r="I519" i="2" s="1"/>
  <c r="I125" i="15"/>
  <c r="I419" i="2" s="1"/>
  <c r="I129" i="15"/>
  <c r="I427" i="2" s="1"/>
  <c r="I14" i="15"/>
  <c r="I50" i="2" s="1"/>
  <c r="I63" i="15"/>
  <c r="I224" i="2" s="1"/>
  <c r="I146" i="15"/>
  <c r="I493" i="2" s="1"/>
  <c r="I108" i="15"/>
  <c r="I347" i="2" s="1"/>
  <c r="I55" i="15"/>
  <c r="I206" i="2" s="1"/>
  <c r="I62" i="15"/>
  <c r="I221" i="2" s="1"/>
  <c r="I47" i="15"/>
  <c r="I168" i="2" s="1"/>
  <c r="I155" i="15"/>
  <c r="I541" i="2" s="1"/>
  <c r="I40" i="15"/>
  <c r="I147" i="2" s="1"/>
  <c r="I23" i="15"/>
  <c r="I73" i="2" s="1"/>
  <c r="I78" i="15"/>
  <c r="I267" i="2" s="1"/>
  <c r="I119" i="15"/>
  <c r="I394" i="2" s="1"/>
  <c r="I31" i="15"/>
  <c r="I118" i="2" s="1"/>
  <c r="I156" i="15"/>
  <c r="I547" i="2" s="1"/>
  <c r="I140" i="15"/>
  <c r="I458" i="2" s="1"/>
  <c r="I28" i="15"/>
  <c r="I98" i="2" s="1"/>
  <c r="I96" i="15"/>
  <c r="I320" i="2" s="1"/>
  <c r="I77" i="15"/>
  <c r="I264" i="2" s="1"/>
  <c r="I159" i="15"/>
  <c r="I597" i="2" s="1"/>
  <c r="I48" i="15"/>
  <c r="I172" i="2" s="1"/>
  <c r="I80" i="15"/>
  <c r="I273" i="2" s="1"/>
  <c r="I57" i="15"/>
  <c r="I211" i="2" s="1"/>
  <c r="I111" i="15"/>
  <c r="I352" i="2" s="1"/>
  <c r="I6" i="15"/>
  <c r="I29" i="2" s="1"/>
  <c r="I133" i="15"/>
  <c r="I435" i="2" s="1"/>
  <c r="I59" i="15"/>
  <c r="I214" i="2" s="1"/>
  <c r="I17" i="15"/>
  <c r="I60" i="2" s="1"/>
  <c r="I20" i="15"/>
  <c r="I67" i="2" s="1"/>
  <c r="I70" i="15"/>
  <c r="I246" i="2" s="1"/>
  <c r="I114" i="15"/>
  <c r="I369" i="2" s="1"/>
  <c r="I117" i="15"/>
  <c r="I385" i="2" s="1"/>
  <c r="I76" i="15"/>
  <c r="I263" i="2" s="1"/>
  <c r="I139" i="15"/>
  <c r="I455" i="2" s="1"/>
  <c r="I38" i="7"/>
  <c r="I411" i="2" s="1"/>
  <c r="I43" i="7"/>
  <c r="I495" i="2" s="1"/>
  <c r="I28" i="7"/>
  <c r="I261" i="2" s="1"/>
  <c r="I37" i="7"/>
  <c r="I399" i="2" s="1"/>
  <c r="I75" i="12"/>
  <c r="I80" i="12"/>
  <c r="I9" i="12"/>
  <c r="I66" i="12"/>
  <c r="I99" i="12"/>
  <c r="I36" i="12"/>
  <c r="I23" i="12"/>
  <c r="I46" i="12"/>
  <c r="I97" i="12"/>
  <c r="I84" i="12"/>
  <c r="I44" i="12"/>
  <c r="I74" i="12"/>
  <c r="I83" i="12"/>
  <c r="I35" i="12"/>
  <c r="I76" i="12"/>
  <c r="I64" i="12"/>
  <c r="I88" i="12"/>
  <c r="I59" i="12"/>
  <c r="I67" i="12"/>
  <c r="I50" i="12"/>
  <c r="I38" i="12"/>
  <c r="I70" i="12"/>
  <c r="I45" i="12"/>
  <c r="I103" i="12"/>
  <c r="I47" i="12"/>
  <c r="I4" i="12"/>
  <c r="I69" i="12"/>
  <c r="I104" i="12"/>
  <c r="I62" i="12"/>
  <c r="I82" i="12"/>
  <c r="I91" i="12"/>
  <c r="I77" i="12"/>
  <c r="I41" i="12"/>
  <c r="I72" i="12"/>
  <c r="I93" i="12"/>
  <c r="I98" i="12"/>
  <c r="I68" i="12"/>
  <c r="I90" i="12"/>
  <c r="I100" i="12"/>
  <c r="I32" i="12"/>
  <c r="I22" i="12"/>
  <c r="I49" i="12"/>
  <c r="I28" i="12"/>
  <c r="I7" i="12"/>
  <c r="I101" i="12"/>
  <c r="I15" i="12"/>
  <c r="I54" i="12"/>
  <c r="I89" i="12"/>
  <c r="I57" i="12"/>
  <c r="I13" i="12"/>
  <c r="I17" i="12"/>
  <c r="I8" i="12"/>
  <c r="I71" i="12"/>
  <c r="I20" i="12"/>
  <c r="I95" i="12"/>
  <c r="I56" i="12"/>
  <c r="I53" i="12"/>
  <c r="I12" i="12"/>
  <c r="I79" i="12"/>
  <c r="I78" i="12"/>
  <c r="I55" i="12"/>
  <c r="I85" i="12"/>
  <c r="I86" i="12"/>
  <c r="I11" i="12"/>
  <c r="I18" i="12"/>
  <c r="I6" i="12"/>
  <c r="I48" i="12"/>
  <c r="I58" i="12"/>
  <c r="I26" i="12"/>
  <c r="I51" i="12"/>
  <c r="I29" i="12"/>
  <c r="I63" i="12"/>
  <c r="I31" i="12"/>
  <c r="I65" i="12"/>
  <c r="I52" i="12"/>
  <c r="I42" i="12"/>
  <c r="I14" i="12"/>
  <c r="I33" i="12"/>
  <c r="I73" i="12"/>
  <c r="I37" i="12"/>
  <c r="I39" i="12"/>
  <c r="I81" i="12"/>
  <c r="I102" i="12"/>
  <c r="I60" i="12"/>
  <c r="I87" i="12"/>
  <c r="I25" i="12"/>
  <c r="I21" i="12"/>
  <c r="I43" i="12"/>
  <c r="I94" i="12"/>
  <c r="I92" i="12"/>
  <c r="I10" i="12"/>
  <c r="I34" i="12"/>
  <c r="I16" i="12"/>
  <c r="I30" i="12"/>
  <c r="I24" i="12"/>
  <c r="I61" i="12"/>
  <c r="I27" i="12"/>
  <c r="I40" i="12"/>
  <c r="I19" i="12"/>
  <c r="I5" i="12"/>
  <c r="I96" i="12"/>
  <c r="I39" i="7"/>
  <c r="I417" i="2" s="1"/>
  <c r="I17" i="7"/>
  <c r="I141" i="2" s="1"/>
  <c r="F5" i="2"/>
  <c r="E2" i="3" s="1"/>
  <c r="I56" i="6"/>
  <c r="I511" i="2" s="1"/>
  <c r="I47" i="6"/>
  <c r="I438" i="2" s="1"/>
  <c r="I36" i="6"/>
  <c r="I282" i="2" s="1"/>
  <c r="I49" i="6"/>
  <c r="I454" i="2" s="1"/>
  <c r="I57" i="6"/>
  <c r="I528" i="2" s="1"/>
  <c r="I43" i="6"/>
  <c r="I365" i="2" s="1"/>
  <c r="I50" i="6"/>
  <c r="I476" i="2" s="1"/>
  <c r="I61" i="6"/>
  <c r="I617" i="2" s="1"/>
  <c r="I45" i="6"/>
  <c r="I416" i="2" s="1"/>
  <c r="I48" i="6"/>
  <c r="I446" i="2" s="1"/>
  <c r="I17" i="6"/>
  <c r="I107" i="2" s="1"/>
  <c r="I63" i="6"/>
  <c r="I641" i="2" s="1"/>
  <c r="I16" i="6"/>
  <c r="I97" i="2" s="1"/>
  <c r="I9" i="6"/>
  <c r="I56" i="2" s="1"/>
  <c r="I14" i="6"/>
  <c r="I85" i="2" s="1"/>
  <c r="I3" i="6"/>
  <c r="I6" i="2" s="1"/>
  <c r="I13" i="6"/>
  <c r="I76" i="2" s="1"/>
  <c r="I25" i="6"/>
  <c r="I190" i="2" s="1"/>
  <c r="I6" i="6"/>
  <c r="I19" i="2" s="1"/>
  <c r="I33" i="6"/>
  <c r="I252" i="2" s="1"/>
  <c r="I40" i="6"/>
  <c r="I319" i="2" s="1"/>
  <c r="I12" i="6"/>
  <c r="I74" i="2" s="1"/>
  <c r="I8" i="6"/>
  <c r="I54" i="2" s="1"/>
  <c r="I31" i="6"/>
  <c r="I249" i="2" s="1"/>
  <c r="I10" i="6"/>
  <c r="I59" i="2" s="1"/>
  <c r="I22" i="6"/>
  <c r="I138" i="2" s="1"/>
  <c r="I53" i="6"/>
  <c r="I501" i="2" s="1"/>
  <c r="I19" i="6"/>
  <c r="I121" i="2" s="1"/>
  <c r="I38" i="6"/>
  <c r="I316" i="2" s="1"/>
  <c r="I55" i="6"/>
  <c r="I507" i="2" s="1"/>
  <c r="I5" i="6"/>
  <c r="I18" i="2" s="1"/>
  <c r="I18" i="6"/>
  <c r="I119" i="2" s="1"/>
  <c r="I23" i="6"/>
  <c r="I161" i="2" s="1"/>
  <c r="I15" i="6"/>
  <c r="I93" i="2" s="1"/>
  <c r="I62" i="6"/>
  <c r="I623" i="2" s="1"/>
  <c r="I39" i="6"/>
  <c r="I317" i="2" s="1"/>
  <c r="I7" i="6"/>
  <c r="I47" i="2" s="1"/>
  <c r="I4" i="6"/>
  <c r="I13" i="2" s="1"/>
  <c r="I60" i="6"/>
  <c r="I577" i="2" s="1"/>
  <c r="I51" i="6"/>
  <c r="I485" i="2" s="1"/>
  <c r="I32" i="6"/>
  <c r="I250" i="2" s="1"/>
  <c r="I29" i="6"/>
  <c r="I236" i="2" s="1"/>
  <c r="I35" i="6"/>
  <c r="I266" i="2" s="1"/>
  <c r="I26" i="6"/>
  <c r="I195" i="2" s="1"/>
  <c r="I28" i="6"/>
  <c r="I223" i="2" s="1"/>
  <c r="I37" i="6"/>
  <c r="I296" i="2" s="1"/>
  <c r="I52" i="6"/>
  <c r="I486" i="2" s="1"/>
  <c r="I46" i="6"/>
  <c r="I425" i="2" s="1"/>
  <c r="I24" i="6"/>
  <c r="I173" i="2" s="1"/>
  <c r="I41" i="6"/>
  <c r="I351" i="2" s="1"/>
  <c r="I30" i="6"/>
  <c r="I247" i="2" s="1"/>
  <c r="I21" i="6"/>
  <c r="I127" i="2" s="1"/>
  <c r="I54" i="6"/>
  <c r="I502" i="2" s="1"/>
  <c r="I42" i="6"/>
  <c r="I357" i="2" s="1"/>
  <c r="I11" i="6"/>
  <c r="I64" i="2" s="1"/>
  <c r="I27" i="6"/>
  <c r="I210" i="2" s="1"/>
  <c r="I58" i="6"/>
  <c r="I554" i="2" s="1"/>
  <c r="I59" i="6"/>
  <c r="I574" i="2" s="1"/>
  <c r="I34" i="6"/>
  <c r="I255" i="2" s="1"/>
  <c r="I44" i="6"/>
  <c r="I389" i="2" s="1"/>
  <c r="I2" i="8"/>
  <c r="I2" i="2" s="1"/>
  <c r="I3" i="7"/>
  <c r="I27" i="2" s="1"/>
  <c r="I44" i="7"/>
  <c r="I555" i="2" s="1"/>
  <c r="F10" i="2"/>
  <c r="I23" i="11"/>
  <c r="I276" i="2" s="1"/>
  <c r="I2" i="11"/>
  <c r="I10" i="2" s="1"/>
  <c r="I7" i="11"/>
  <c r="I35" i="2" s="1"/>
  <c r="I9" i="11"/>
  <c r="I57" i="2" s="1"/>
  <c r="I18" i="11"/>
  <c r="I164" i="2" s="1"/>
  <c r="I4" i="11"/>
  <c r="I25" i="2" s="1"/>
  <c r="I38" i="11"/>
  <c r="I482" i="2" s="1"/>
  <c r="I24" i="11"/>
  <c r="I289" i="2" s="1"/>
  <c r="I41" i="11"/>
  <c r="I573" i="2" s="1"/>
  <c r="I19" i="11"/>
  <c r="I198" i="2" s="1"/>
  <c r="I28" i="11"/>
  <c r="I372" i="2" s="1"/>
  <c r="I29" i="11"/>
  <c r="I376" i="2" s="1"/>
  <c r="I11" i="11"/>
  <c r="I66" i="2" s="1"/>
  <c r="I16" i="11"/>
  <c r="I149" i="2" s="1"/>
  <c r="I14" i="11"/>
  <c r="I82" i="2" s="1"/>
  <c r="I13" i="11"/>
  <c r="I81" i="2" s="1"/>
  <c r="I12" i="11"/>
  <c r="I69" i="2" s="1"/>
  <c r="I37" i="11"/>
  <c r="I472" i="2" s="1"/>
  <c r="I15" i="11"/>
  <c r="I102" i="2" s="1"/>
  <c r="I5" i="11"/>
  <c r="I30" i="2" s="1"/>
  <c r="I31" i="11"/>
  <c r="I392" i="2" s="1"/>
  <c r="I35" i="11"/>
  <c r="I459" i="2" s="1"/>
  <c r="I3" i="11"/>
  <c r="I23" i="2" s="1"/>
  <c r="I43" i="11"/>
  <c r="I646" i="2" s="1"/>
  <c r="I30" i="11"/>
  <c r="I387" i="2" s="1"/>
  <c r="I22" i="11"/>
  <c r="I265" i="2" s="1"/>
  <c r="I39" i="11"/>
  <c r="I492" i="2" s="1"/>
  <c r="I27" i="11"/>
  <c r="I368" i="2" s="1"/>
  <c r="I8" i="11"/>
  <c r="I48" i="2" s="1"/>
  <c r="I10" i="11"/>
  <c r="I61" i="2" s="1"/>
  <c r="I42" i="11"/>
  <c r="I613" i="2" s="1"/>
  <c r="I40" i="11"/>
  <c r="I543" i="2" s="1"/>
  <c r="I44" i="11"/>
  <c r="I647" i="2" s="1"/>
  <c r="I36" i="11"/>
  <c r="I461" i="2" s="1"/>
  <c r="I17" i="11"/>
  <c r="I162" i="2" s="1"/>
  <c r="I34" i="11"/>
  <c r="I434" i="2" s="1"/>
  <c r="I20" i="11"/>
  <c r="I201" i="2" s="1"/>
  <c r="I32" i="11"/>
  <c r="I402" i="2" s="1"/>
  <c r="I25" i="11"/>
  <c r="I293" i="2" s="1"/>
  <c r="I33" i="11"/>
  <c r="I412" i="2" s="1"/>
  <c r="I26" i="11"/>
  <c r="I306" i="2" s="1"/>
  <c r="I21" i="11"/>
  <c r="I257" i="2" s="1"/>
  <c r="I45" i="11"/>
  <c r="I650" i="2" s="1"/>
  <c r="I3" i="15"/>
  <c r="I16" i="2" s="1"/>
  <c r="H34" i="3"/>
  <c r="I18" i="7"/>
  <c r="I163" i="2" s="1"/>
  <c r="I4" i="7"/>
  <c r="I52" i="2" s="1"/>
  <c r="I24" i="7"/>
  <c r="I229" i="2" s="1"/>
  <c r="I48" i="7"/>
  <c r="I632" i="2" s="1"/>
  <c r="I7" i="7"/>
  <c r="I90" i="2" s="1"/>
  <c r="I27" i="7"/>
  <c r="I253" i="2" s="1"/>
  <c r="I2" i="15"/>
  <c r="I49" i="2" s="1"/>
  <c r="I11" i="7"/>
  <c r="I101" i="2" s="1"/>
  <c r="I8" i="13"/>
  <c r="I54" i="13"/>
  <c r="A487" i="2" l="1"/>
  <c r="K487" i="2" s="1"/>
  <c r="A589" i="2"/>
  <c r="K589" i="2" s="1"/>
  <c r="A475" i="2"/>
  <c r="K475" i="2" s="1"/>
  <c r="A506" i="2"/>
  <c r="K506" i="2" s="1"/>
  <c r="A614" i="2"/>
  <c r="K614" i="2" s="1"/>
  <c r="A264" i="2"/>
  <c r="K264" i="2" s="1"/>
  <c r="A30" i="2"/>
  <c r="K30" i="2" s="1"/>
  <c r="A541" i="2"/>
  <c r="K541" i="2" s="1"/>
  <c r="A428" i="2"/>
  <c r="K428" i="2" s="1"/>
  <c r="A540" i="2"/>
  <c r="K540" i="2" s="1"/>
  <c r="A452" i="2"/>
  <c r="K452" i="2" s="1"/>
  <c r="A255" i="2"/>
  <c r="K255" i="2" s="1"/>
  <c r="A261" i="2"/>
  <c r="K261" i="2" s="1"/>
  <c r="A441" i="2"/>
  <c r="K441" i="2" s="1"/>
  <c r="A433" i="2"/>
  <c r="K433" i="2" s="1"/>
  <c r="A80" i="2"/>
  <c r="K80" i="2" s="1"/>
  <c r="A436" i="2"/>
  <c r="K436" i="2" s="1"/>
  <c r="A286" i="2"/>
  <c r="K286" i="2" s="1"/>
  <c r="A253" i="2"/>
  <c r="K253" i="2" s="1"/>
  <c r="A312" i="2"/>
  <c r="K312" i="2" s="1"/>
  <c r="A359" i="2"/>
  <c r="K359" i="2" s="1"/>
  <c r="A163" i="2"/>
  <c r="K163" i="2" s="1"/>
  <c r="A620" i="2"/>
  <c r="K620" i="2" s="1"/>
  <c r="A371" i="2"/>
  <c r="K371" i="2" s="1"/>
  <c r="A306" i="2"/>
  <c r="K306" i="2" s="1"/>
  <c r="A613" i="2"/>
  <c r="K613" i="2" s="1"/>
  <c r="A392" i="2"/>
  <c r="K392" i="2" s="1"/>
  <c r="A372" i="2"/>
  <c r="K372" i="2" s="1"/>
  <c r="A276" i="2"/>
  <c r="K276" i="2" s="1"/>
  <c r="H8" i="3"/>
  <c r="A2" i="2"/>
  <c r="K2" i="2" s="1"/>
  <c r="A75" i="2"/>
  <c r="K75" i="2" s="1"/>
  <c r="A523" i="2"/>
  <c r="K523" i="2" s="1"/>
  <c r="A169" i="2"/>
  <c r="K169" i="2" s="1"/>
  <c r="A247" i="2"/>
  <c r="K247" i="2" s="1"/>
  <c r="A250" i="2"/>
  <c r="K250" i="2" s="1"/>
  <c r="A18" i="2"/>
  <c r="K18" i="2" s="1"/>
  <c r="A319" i="2"/>
  <c r="K319" i="2" s="1"/>
  <c r="A107" i="2"/>
  <c r="K107" i="2" s="1"/>
  <c r="A511" i="2"/>
  <c r="K511" i="2" s="1"/>
  <c r="A399" i="2"/>
  <c r="K399" i="2" s="1"/>
  <c r="A451" i="2"/>
  <c r="K451" i="2" s="1"/>
  <c r="A490" i="2"/>
  <c r="K490" i="2" s="1"/>
  <c r="A246" i="2"/>
  <c r="K246" i="2" s="1"/>
  <c r="A597" i="2"/>
  <c r="K597" i="2" s="1"/>
  <c r="A147" i="2"/>
  <c r="K147" i="2" s="1"/>
  <c r="A419" i="2"/>
  <c r="K419" i="2" s="1"/>
  <c r="A126" i="2"/>
  <c r="K126" i="2" s="1"/>
  <c r="A42" i="2"/>
  <c r="K42" i="2" s="1"/>
  <c r="A43" i="2"/>
  <c r="K43" i="2" s="1"/>
  <c r="A513" i="2"/>
  <c r="K513" i="2" s="1"/>
  <c r="A268" i="2"/>
  <c r="K268" i="2" s="1"/>
  <c r="A531" i="2"/>
  <c r="K531" i="2" s="1"/>
  <c r="A46" i="2"/>
  <c r="K46" i="2" s="1"/>
  <c r="A301" i="2"/>
  <c r="K301" i="2" s="1"/>
  <c r="A439" i="2"/>
  <c r="K439" i="2" s="1"/>
  <c r="A405" i="2"/>
  <c r="K405" i="2" s="1"/>
  <c r="A303" i="2"/>
  <c r="K303" i="2" s="1"/>
  <c r="A36" i="2"/>
  <c r="K36" i="2" s="1"/>
  <c r="A591" i="2"/>
  <c r="K591" i="2" s="1"/>
  <c r="A207" i="2"/>
  <c r="K207" i="2" s="1"/>
  <c r="A184" i="2"/>
  <c r="K184" i="2" s="1"/>
  <c r="A483" i="2"/>
  <c r="K483" i="2" s="1"/>
  <c r="A612" i="2"/>
  <c r="K612" i="2" s="1"/>
  <c r="A270" i="2"/>
  <c r="K270" i="2" s="1"/>
  <c r="A222" i="2"/>
  <c r="K222" i="2" s="1"/>
  <c r="A645" i="2"/>
  <c r="K645" i="2" s="1"/>
  <c r="A622" i="2"/>
  <c r="K622" i="2" s="1"/>
  <c r="A299" i="2"/>
  <c r="K299" i="2" s="1"/>
  <c r="A353" i="2"/>
  <c r="K353" i="2" s="1"/>
  <c r="A159" i="2"/>
  <c r="K159" i="2" s="1"/>
  <c r="A7" i="2"/>
  <c r="K7" i="2" s="1"/>
  <c r="A131" i="2"/>
  <c r="K131" i="2" s="1"/>
  <c r="A400" i="2"/>
  <c r="K400" i="2" s="1"/>
  <c r="A518" i="2"/>
  <c r="K518" i="2" s="1"/>
  <c r="A4" i="2"/>
  <c r="K4" i="2" s="1"/>
  <c r="A278" i="2"/>
  <c r="K278" i="2" s="1"/>
  <c r="A115" i="2"/>
  <c r="K115" i="2" s="1"/>
  <c r="A423" i="2"/>
  <c r="K423" i="2" s="1"/>
  <c r="A568" i="2"/>
  <c r="K568" i="2" s="1"/>
  <c r="A473" i="2"/>
  <c r="K473" i="2" s="1"/>
  <c r="A535" i="2"/>
  <c r="K535" i="2" s="1"/>
  <c r="A40" i="2"/>
  <c r="K40" i="2" s="1"/>
  <c r="A644" i="2"/>
  <c r="K644" i="2" s="1"/>
  <c r="A561" i="2"/>
  <c r="K561" i="2" s="1"/>
  <c r="A11" i="2"/>
  <c r="K11" i="2" s="1"/>
  <c r="A188" i="2"/>
  <c r="K188" i="2" s="1"/>
  <c r="A478" i="2"/>
  <c r="K478" i="2" s="1"/>
  <c r="A648" i="2"/>
  <c r="K648" i="2" s="1"/>
  <c r="A384" i="2"/>
  <c r="K384" i="2" s="1"/>
  <c r="A39" i="2"/>
  <c r="K39" i="2" s="1"/>
  <c r="A132" i="2"/>
  <c r="K132" i="2" s="1"/>
  <c r="A104" i="2"/>
  <c r="K104" i="2" s="1"/>
  <c r="A89" i="2"/>
  <c r="K89" i="2" s="1"/>
  <c r="A603" i="2"/>
  <c r="K603" i="2" s="1"/>
  <c r="A279" i="2"/>
  <c r="K279" i="2" s="1"/>
  <c r="A538" i="2"/>
  <c r="K538" i="2" s="1"/>
  <c r="A607" i="2"/>
  <c r="K607" i="2" s="1"/>
  <c r="A576" i="2"/>
  <c r="K576" i="2" s="1"/>
  <c r="A178" i="2"/>
  <c r="K178" i="2" s="1"/>
  <c r="A516" i="2"/>
  <c r="K516" i="2" s="1"/>
  <c r="A219" i="2"/>
  <c r="K219" i="2" s="1"/>
  <c r="A5" i="2"/>
  <c r="K5" i="2" s="1"/>
  <c r="A503" i="2"/>
  <c r="K503" i="2" s="1"/>
  <c r="A457" i="2"/>
  <c r="K457" i="2" s="1"/>
  <c r="A122" i="2"/>
  <c r="K122" i="2" s="1"/>
  <c r="A277" i="2"/>
  <c r="K277" i="2" s="1"/>
  <c r="A594" i="2"/>
  <c r="K594" i="2" s="1"/>
  <c r="A245" i="2"/>
  <c r="K245" i="2" s="1"/>
  <c r="A284" i="2"/>
  <c r="K284" i="2" s="1"/>
  <c r="A220" i="2"/>
  <c r="K220" i="2" s="1"/>
  <c r="A382" i="2"/>
  <c r="K382" i="2" s="1"/>
  <c r="A318" i="2"/>
  <c r="K318" i="2" s="1"/>
  <c r="A569" i="2"/>
  <c r="K569" i="2" s="1"/>
  <c r="A3" i="2"/>
  <c r="K3" i="2" s="1"/>
  <c r="A584" i="2"/>
  <c r="K584" i="2" s="1"/>
  <c r="A596" i="2"/>
  <c r="K596" i="2" s="1"/>
  <c r="A355" i="2"/>
  <c r="K355" i="2" s="1"/>
  <c r="A128" i="2"/>
  <c r="K128" i="2" s="1"/>
  <c r="A499" i="2"/>
  <c r="K499" i="2" s="1"/>
  <c r="A192" i="2"/>
  <c r="K192" i="2" s="1"/>
  <c r="A230" i="2"/>
  <c r="K230" i="2" s="1"/>
  <c r="A559" i="2"/>
  <c r="K559" i="2" s="1"/>
  <c r="A390" i="2"/>
  <c r="K390" i="2" s="1"/>
  <c r="A507" i="2"/>
  <c r="K507" i="2" s="1"/>
  <c r="A519" i="2"/>
  <c r="K519" i="2" s="1"/>
  <c r="A442" i="2"/>
  <c r="K442" i="2" s="1"/>
  <c r="A437" i="2"/>
  <c r="K437" i="2" s="1"/>
  <c r="A237" i="2"/>
  <c r="K237" i="2" s="1"/>
  <c r="A577" i="2"/>
  <c r="K577" i="2" s="1"/>
  <c r="A166" i="2"/>
  <c r="K166" i="2" s="1"/>
  <c r="A142" i="2"/>
  <c r="K142" i="2" s="1"/>
  <c r="A58" i="2"/>
  <c r="K58" i="2" s="1"/>
  <c r="A139" i="2"/>
  <c r="K139" i="2" s="1"/>
  <c r="A532" i="2"/>
  <c r="K532" i="2" s="1"/>
  <c r="A555" i="2"/>
  <c r="K555" i="2" s="1"/>
  <c r="A121" i="2"/>
  <c r="K121" i="2" s="1"/>
  <c r="A190" i="2"/>
  <c r="K190" i="2" s="1"/>
  <c r="A617" i="2"/>
  <c r="K617" i="2" s="1"/>
  <c r="A552" i="2"/>
  <c r="K552" i="2" s="1"/>
  <c r="A595" i="2"/>
  <c r="K595" i="2" s="1"/>
  <c r="A380" i="2"/>
  <c r="K380" i="2" s="1"/>
  <c r="A587" i="2"/>
  <c r="K587" i="2" s="1"/>
  <c r="A214" i="2"/>
  <c r="K214" i="2" s="1"/>
  <c r="A98" i="2"/>
  <c r="K98" i="2" s="1"/>
  <c r="A221" i="2"/>
  <c r="K221" i="2" s="1"/>
  <c r="A136" i="2"/>
  <c r="K136" i="2" s="1"/>
  <c r="A509" i="2"/>
  <c r="K509" i="2" s="1"/>
  <c r="A137" i="2"/>
  <c r="K137" i="2" s="1"/>
  <c r="A291" i="2"/>
  <c r="K291" i="2" s="1"/>
  <c r="A120" i="2"/>
  <c r="K120" i="2" s="1"/>
  <c r="A338" i="2"/>
  <c r="K338" i="2" s="1"/>
  <c r="A426" i="2"/>
  <c r="K426" i="2" s="1"/>
  <c r="A103" i="2"/>
  <c r="K103" i="2" s="1"/>
  <c r="A349" i="2"/>
  <c r="K349" i="2" s="1"/>
  <c r="A244" i="2"/>
  <c r="K244" i="2" s="1"/>
  <c r="A463" i="2"/>
  <c r="K463" i="2" s="1"/>
  <c r="A294" i="2"/>
  <c r="K294" i="2" s="1"/>
  <c r="A403" i="2"/>
  <c r="K403" i="2" s="1"/>
  <c r="A420" i="2"/>
  <c r="K420" i="2" s="1"/>
  <c r="A586" i="2"/>
  <c r="K586" i="2" s="1"/>
  <c r="A232" i="2"/>
  <c r="K232" i="2" s="1"/>
  <c r="A123" i="2"/>
  <c r="K123" i="2" s="1"/>
  <c r="A226" i="2"/>
  <c r="K226" i="2" s="1"/>
  <c r="A430" i="2"/>
  <c r="K430" i="2" s="1"/>
  <c r="A105" i="2"/>
  <c r="K105" i="2" s="1"/>
  <c r="A443" i="2"/>
  <c r="K443" i="2" s="1"/>
  <c r="A340" i="2"/>
  <c r="K340" i="2" s="1"/>
  <c r="A583" i="2"/>
  <c r="K583" i="2" s="1"/>
  <c r="A599" i="2"/>
  <c r="K599" i="2" s="1"/>
  <c r="A396" i="2"/>
  <c r="K396" i="2" s="1"/>
  <c r="A638" i="2"/>
  <c r="K638" i="2" s="1"/>
  <c r="A187" i="2"/>
  <c r="K187" i="2" s="1"/>
  <c r="A634" i="2"/>
  <c r="K634" i="2" s="1"/>
  <c r="A329" i="2"/>
  <c r="K329" i="2" s="1"/>
  <c r="A183" i="2"/>
  <c r="K183" i="2" s="1"/>
  <c r="A444" i="2"/>
  <c r="K444" i="2" s="1"/>
  <c r="A489" i="2"/>
  <c r="K489" i="2" s="1"/>
  <c r="A611" i="2"/>
  <c r="K611" i="2" s="1"/>
  <c r="A204" i="2"/>
  <c r="K204" i="2" s="1"/>
  <c r="A100" i="2"/>
  <c r="K100" i="2" s="1"/>
  <c r="A633" i="2"/>
  <c r="K633" i="2" s="1"/>
  <c r="A254" i="2"/>
  <c r="K254" i="2" s="1"/>
  <c r="A198" i="2"/>
  <c r="K198" i="2" s="1"/>
  <c r="A248" i="2"/>
  <c r="K248" i="2" s="1"/>
  <c r="A157" i="2"/>
  <c r="K157" i="2" s="1"/>
  <c r="A356" i="2"/>
  <c r="K356" i="2" s="1"/>
  <c r="A573" i="2"/>
  <c r="K573" i="2" s="1"/>
  <c r="A19" i="2"/>
  <c r="K19" i="2" s="1"/>
  <c r="A598" i="2"/>
  <c r="K598" i="2" s="1"/>
  <c r="A51" i="2"/>
  <c r="K51" i="2" s="1"/>
  <c r="A144" i="2"/>
  <c r="K144" i="2" s="1"/>
  <c r="A189" i="2"/>
  <c r="K189" i="2" s="1"/>
  <c r="A271" i="2"/>
  <c r="K271" i="2" s="1"/>
  <c r="A191" i="2"/>
  <c r="K191" i="2" s="1"/>
  <c r="A448" i="2"/>
  <c r="K448" i="2" s="1"/>
  <c r="A472" i="2"/>
  <c r="K472" i="2" s="1"/>
  <c r="A201" i="2"/>
  <c r="K201" i="2" s="1"/>
  <c r="A501" i="2"/>
  <c r="K501" i="2" s="1"/>
  <c r="A477" i="2"/>
  <c r="K477" i="2" s="1"/>
  <c r="A109" i="2"/>
  <c r="K109" i="2" s="1"/>
  <c r="A167" i="2"/>
  <c r="K167" i="2" s="1"/>
  <c r="A435" i="2"/>
  <c r="K435" i="2" s="1"/>
  <c r="A458" i="2"/>
  <c r="K458" i="2" s="1"/>
  <c r="A206" i="2"/>
  <c r="K206" i="2" s="1"/>
  <c r="A367" i="2"/>
  <c r="K367" i="2" s="1"/>
  <c r="A63" i="2"/>
  <c r="K63" i="2" s="1"/>
  <c r="A408" i="2"/>
  <c r="K408" i="2" s="1"/>
  <c r="A362" i="2"/>
  <c r="K362" i="2" s="1"/>
  <c r="A274" i="2"/>
  <c r="K274" i="2" s="1"/>
  <c r="A28" i="2"/>
  <c r="K28" i="2" s="1"/>
  <c r="A415" i="2"/>
  <c r="K415" i="2" s="1"/>
  <c r="A422" i="2"/>
  <c r="K422" i="2" s="1"/>
  <c r="A242" i="2"/>
  <c r="K242" i="2" s="1"/>
  <c r="A343" i="2"/>
  <c r="K343" i="2" s="1"/>
  <c r="A331" i="2"/>
  <c r="K331" i="2" s="1"/>
  <c r="A233" i="2"/>
  <c r="K233" i="2" s="1"/>
  <c r="A148" i="2"/>
  <c r="K148" i="2" s="1"/>
  <c r="A520" i="2"/>
  <c r="K520" i="2" s="1"/>
  <c r="A88" i="2"/>
  <c r="K88" i="2" s="1"/>
  <c r="A346" i="2"/>
  <c r="K346" i="2" s="1"/>
  <c r="A631" i="2"/>
  <c r="K631" i="2" s="1"/>
  <c r="A629" i="2"/>
  <c r="K629" i="2" s="1"/>
  <c r="A386" i="2"/>
  <c r="K386" i="2" s="1"/>
  <c r="A529" i="2"/>
  <c r="K529" i="2" s="1"/>
  <c r="A31" i="2"/>
  <c r="K31" i="2" s="1"/>
  <c r="A20" i="2"/>
  <c r="K20" i="2" s="1"/>
  <c r="A615" i="2"/>
  <c r="K615" i="2" s="1"/>
  <c r="A135" i="2"/>
  <c r="K135" i="2" s="1"/>
  <c r="A494" i="2"/>
  <c r="K494" i="2" s="1"/>
  <c r="A65" i="2"/>
  <c r="K65" i="2" s="1"/>
  <c r="A379" i="2"/>
  <c r="K379" i="2" s="1"/>
  <c r="A143" i="2"/>
  <c r="K143" i="2" s="1"/>
  <c r="A77" i="2"/>
  <c r="K77" i="2" s="1"/>
  <c r="A572" i="2"/>
  <c r="K572" i="2" s="1"/>
  <c r="A383" i="2"/>
  <c r="K383" i="2" s="1"/>
  <c r="A130" i="2"/>
  <c r="K130" i="2" s="1"/>
  <c r="A585" i="2"/>
  <c r="K585" i="2" s="1"/>
  <c r="A92" i="2"/>
  <c r="K92" i="2" s="1"/>
  <c r="A171" i="2"/>
  <c r="K171" i="2" s="1"/>
  <c r="A524" i="2"/>
  <c r="K524" i="2" s="1"/>
  <c r="A377" i="2"/>
  <c r="K377" i="2" s="1"/>
  <c r="A12" i="2"/>
  <c r="K12" i="2" s="1"/>
  <c r="A412" i="2"/>
  <c r="K412" i="2" s="1"/>
  <c r="A446" i="2"/>
  <c r="K446" i="2" s="1"/>
  <c r="A374" i="2"/>
  <c r="K374" i="2" s="1"/>
  <c r="A542" i="2"/>
  <c r="K542" i="2" s="1"/>
  <c r="A260" i="2"/>
  <c r="K260" i="2" s="1"/>
  <c r="A150" i="2"/>
  <c r="K150" i="2" s="1"/>
  <c r="A293" i="2"/>
  <c r="K293" i="2" s="1"/>
  <c r="A316" i="2"/>
  <c r="K316" i="2" s="1"/>
  <c r="A60" i="2"/>
  <c r="K60" i="2" s="1"/>
  <c r="A642" i="2"/>
  <c r="K642" i="2" s="1"/>
  <c r="A625" i="2"/>
  <c r="K625" i="2" s="1"/>
  <c r="A500" i="2"/>
  <c r="K500" i="2" s="1"/>
  <c r="A225" i="2"/>
  <c r="K225" i="2" s="1"/>
  <c r="A106" i="2"/>
  <c r="K106" i="2" s="1"/>
  <c r="A425" i="2"/>
  <c r="K425" i="2" s="1"/>
  <c r="A33" i="2"/>
  <c r="K33" i="2" s="1"/>
  <c r="A215" i="2"/>
  <c r="K215" i="2" s="1"/>
  <c r="A482" i="2"/>
  <c r="K482" i="2" s="1"/>
  <c r="A280" i="2"/>
  <c r="K280" i="2" s="1"/>
  <c r="A49" i="2"/>
  <c r="K49" i="2" s="1"/>
  <c r="A360" i="2"/>
  <c r="K360" i="2" s="1"/>
  <c r="A96" i="2"/>
  <c r="K96" i="2" s="1"/>
  <c r="A469" i="2"/>
  <c r="K469" i="2" s="1"/>
  <c r="A563" i="2"/>
  <c r="K563" i="2" s="1"/>
  <c r="A15" i="2"/>
  <c r="K15" i="2" s="1"/>
  <c r="A200" i="2"/>
  <c r="K200" i="2" s="1"/>
  <c r="A295" i="2"/>
  <c r="K295" i="2" s="1"/>
  <c r="A434" i="2"/>
  <c r="K434" i="2" s="1"/>
  <c r="A265" i="2"/>
  <c r="K265" i="2" s="1"/>
  <c r="A81" i="2"/>
  <c r="K81" i="2" s="1"/>
  <c r="A25" i="2"/>
  <c r="K25" i="2" s="1"/>
  <c r="A9" i="2"/>
  <c r="K9" i="2" s="1"/>
  <c r="A210" i="2"/>
  <c r="K210" i="2" s="1"/>
  <c r="A296" i="2"/>
  <c r="K296" i="2" s="1"/>
  <c r="A317" i="2"/>
  <c r="K317" i="2" s="1"/>
  <c r="A138" i="2"/>
  <c r="K138" i="2" s="1"/>
  <c r="A6" i="2"/>
  <c r="K6" i="2" s="1"/>
  <c r="A365" i="2"/>
  <c r="K365" i="2" s="1"/>
  <c r="A515" i="2"/>
  <c r="K515" i="2" s="1"/>
  <c r="A361" i="2"/>
  <c r="K361" i="2" s="1"/>
  <c r="A79" i="2"/>
  <c r="K79" i="2" s="1"/>
  <c r="A170" i="2"/>
  <c r="K170" i="2" s="1"/>
  <c r="A29" i="2"/>
  <c r="K29" i="2" s="1"/>
  <c r="A547" i="2"/>
  <c r="K547" i="2" s="1"/>
  <c r="A347" i="2"/>
  <c r="K347" i="2" s="1"/>
  <c r="A24" i="2"/>
  <c r="K24" i="2" s="1"/>
  <c r="A174" i="2"/>
  <c r="K174" i="2" s="1"/>
  <c r="A323" i="2"/>
  <c r="K323" i="2" s="1"/>
  <c r="A160" i="2"/>
  <c r="K160" i="2" s="1"/>
  <c r="A327" i="2"/>
  <c r="K327" i="2" s="1"/>
  <c r="A91" i="2"/>
  <c r="K91" i="2" s="1"/>
  <c r="A216" i="2"/>
  <c r="K216" i="2" s="1"/>
  <c r="A307" i="2"/>
  <c r="K307" i="2" s="1"/>
  <c r="A177" i="2"/>
  <c r="K177" i="2" s="1"/>
  <c r="A68" i="2"/>
  <c r="K68" i="2" s="1"/>
  <c r="A481" i="2"/>
  <c r="K481" i="2" s="1"/>
  <c r="A213" i="2"/>
  <c r="K213" i="2" s="1"/>
  <c r="A581" i="2"/>
  <c r="K581" i="2" s="1"/>
  <c r="A305" i="2"/>
  <c r="K305" i="2" s="1"/>
  <c r="A562" i="2"/>
  <c r="K562" i="2" s="1"/>
  <c r="A504" i="2"/>
  <c r="K504" i="2" s="1"/>
  <c r="A17" i="2"/>
  <c r="K17" i="2" s="1"/>
  <c r="A575" i="2"/>
  <c r="K575" i="2" s="1"/>
  <c r="A181" i="2"/>
  <c r="K181" i="2" s="1"/>
  <c r="A113" i="2"/>
  <c r="K113" i="2" s="1"/>
  <c r="A628" i="2"/>
  <c r="K628" i="2" s="1"/>
  <c r="A151" i="2"/>
  <c r="K151" i="2" s="1"/>
  <c r="A418" i="2"/>
  <c r="K418" i="2" s="1"/>
  <c r="A510" i="2"/>
  <c r="K510" i="2" s="1"/>
  <c r="A406" i="2"/>
  <c r="K406" i="2" s="1"/>
  <c r="A34" i="2"/>
  <c r="K34" i="2" s="1"/>
  <c r="A315" i="2"/>
  <c r="K315" i="2" s="1"/>
  <c r="A445" i="2"/>
  <c r="K445" i="2" s="1"/>
  <c r="A199" i="2"/>
  <c r="K199" i="2" s="1"/>
  <c r="A241" i="2"/>
  <c r="K241" i="2" s="1"/>
  <c r="A269" i="2"/>
  <c r="K269" i="2" s="1"/>
  <c r="A298" i="2"/>
  <c r="K298" i="2" s="1"/>
  <c r="A624" i="2"/>
  <c r="K624" i="2" s="1"/>
  <c r="A37" i="2"/>
  <c r="K37" i="2" s="1"/>
  <c r="A330" i="2"/>
  <c r="K330" i="2" s="1"/>
  <c r="A537" i="2"/>
  <c r="K537" i="2" s="1"/>
  <c r="A32" i="2"/>
  <c r="K32" i="2" s="1"/>
  <c r="A112" i="2"/>
  <c r="K112" i="2" s="1"/>
  <c r="A154" i="2"/>
  <c r="K154" i="2" s="1"/>
  <c r="A389" i="2"/>
  <c r="K389" i="2" s="1"/>
  <c r="A342" i="2"/>
  <c r="K342" i="2" s="1"/>
  <c r="A114" i="2"/>
  <c r="K114" i="2" s="1"/>
  <c r="A358" i="2"/>
  <c r="K358" i="2" s="1"/>
  <c r="A512" i="2"/>
  <c r="K512" i="2" s="1"/>
  <c r="A173" i="2"/>
  <c r="K173" i="2" s="1"/>
  <c r="A320" i="2"/>
  <c r="K320" i="2" s="1"/>
  <c r="A401" i="2"/>
  <c r="K401" i="2" s="1"/>
  <c r="A156" i="2"/>
  <c r="K156" i="2" s="1"/>
  <c r="A649" i="2"/>
  <c r="K649" i="2" s="1"/>
  <c r="A402" i="2"/>
  <c r="K402" i="2" s="1"/>
  <c r="A13" i="2"/>
  <c r="K13" i="2" s="1"/>
  <c r="A334" i="2"/>
  <c r="K334" i="2" s="1"/>
  <c r="A272" i="2"/>
  <c r="K272" i="2" s="1"/>
  <c r="A476" i="2"/>
  <c r="K476" i="2" s="1"/>
  <c r="A651" i="2"/>
  <c r="K651" i="2" s="1"/>
  <c r="A145" i="2"/>
  <c r="K145" i="2" s="1"/>
  <c r="A165" i="2"/>
  <c r="K165" i="2" s="1"/>
  <c r="A212" i="2"/>
  <c r="K212" i="2" s="1"/>
  <c r="A153" i="2"/>
  <c r="K153" i="2" s="1"/>
  <c r="A579" i="2"/>
  <c r="K579" i="2" s="1"/>
  <c r="A525" i="2"/>
  <c r="K525" i="2" s="1"/>
  <c r="A197" i="2"/>
  <c r="K197" i="2" s="1"/>
  <c r="A335" i="2"/>
  <c r="K335" i="2" s="1"/>
  <c r="A627" i="2"/>
  <c r="K627" i="2" s="1"/>
  <c r="A162" i="2"/>
  <c r="K162" i="2" s="1"/>
  <c r="A387" i="2"/>
  <c r="K387" i="2" s="1"/>
  <c r="A82" i="2"/>
  <c r="K82" i="2" s="1"/>
  <c r="A164" i="2"/>
  <c r="K164" i="2" s="1"/>
  <c r="A488" i="2"/>
  <c r="K488" i="2" s="1"/>
  <c r="A64" i="2"/>
  <c r="K64" i="2" s="1"/>
  <c r="A223" i="2"/>
  <c r="K223" i="2" s="1"/>
  <c r="A623" i="2"/>
  <c r="K623" i="2" s="1"/>
  <c r="A59" i="2"/>
  <c r="K59" i="2" s="1"/>
  <c r="A85" i="2"/>
  <c r="K85" i="2" s="1"/>
  <c r="A528" i="2"/>
  <c r="K528" i="2" s="1"/>
  <c r="A414" i="2"/>
  <c r="K414" i="2" s="1"/>
  <c r="A313" i="2"/>
  <c r="K313" i="2" s="1"/>
  <c r="A495" i="2"/>
  <c r="K495" i="2" s="1"/>
  <c r="A455" i="2"/>
  <c r="K455" i="2" s="1"/>
  <c r="A352" i="2"/>
  <c r="K352" i="2" s="1"/>
  <c r="A118" i="2"/>
  <c r="K118" i="2" s="1"/>
  <c r="A493" i="2"/>
  <c r="K493" i="2" s="1"/>
  <c r="A228" i="2"/>
  <c r="K228" i="2" s="1"/>
  <c r="A497" i="2"/>
  <c r="K497" i="2" s="1"/>
  <c r="A308" i="2"/>
  <c r="K308" i="2" s="1"/>
  <c r="A146" i="2"/>
  <c r="K146" i="2" s="1"/>
  <c r="A152" i="2"/>
  <c r="K152" i="2" s="1"/>
  <c r="A179" i="2"/>
  <c r="K179" i="2" s="1"/>
  <c r="A70" i="2"/>
  <c r="K70" i="2" s="1"/>
  <c r="A38" i="2"/>
  <c r="K38" i="2" s="1"/>
  <c r="A314" i="2"/>
  <c r="K314" i="2" s="1"/>
  <c r="A297" i="2"/>
  <c r="K297" i="2" s="1"/>
  <c r="A288" i="2"/>
  <c r="K288" i="2" s="1"/>
  <c r="A341" i="2"/>
  <c r="K341" i="2" s="1"/>
  <c r="A474" i="2"/>
  <c r="K474" i="2" s="1"/>
  <c r="A527" i="2"/>
  <c r="K527" i="2" s="1"/>
  <c r="A636" i="2"/>
  <c r="K636" i="2" s="1"/>
  <c r="A560" i="2"/>
  <c r="K560" i="2" s="1"/>
  <c r="A324" i="2"/>
  <c r="K324" i="2" s="1"/>
  <c r="A117" i="2"/>
  <c r="K117" i="2" s="1"/>
  <c r="A479" i="2"/>
  <c r="K479" i="2" s="1"/>
  <c r="A590" i="2"/>
  <c r="K590" i="2" s="1"/>
  <c r="A259" i="2"/>
  <c r="K259" i="2" s="1"/>
  <c r="A466" i="2"/>
  <c r="K466" i="2" s="1"/>
  <c r="A26" i="2"/>
  <c r="K26" i="2" s="1"/>
  <c r="A208" i="2"/>
  <c r="K208" i="2" s="1"/>
  <c r="A456" i="2"/>
  <c r="K456" i="2" s="1"/>
  <c r="A570" i="2"/>
  <c r="K570" i="2" s="1"/>
  <c r="A196" i="2"/>
  <c r="K196" i="2" s="1"/>
  <c r="A404" i="2"/>
  <c r="K404" i="2" s="1"/>
  <c r="A618" i="2"/>
  <c r="K618" i="2" s="1"/>
  <c r="A393" i="2"/>
  <c r="K393" i="2" s="1"/>
  <c r="A22" i="2"/>
  <c r="K22" i="2" s="1"/>
  <c r="A424" i="2"/>
  <c r="K424" i="2" s="1"/>
  <c r="A606" i="2"/>
  <c r="K606" i="2" s="1"/>
  <c r="A310" i="2"/>
  <c r="K310" i="2" s="1"/>
  <c r="A140" i="2"/>
  <c r="K140" i="2" s="1"/>
  <c r="A235" i="2"/>
  <c r="K235" i="2" s="1"/>
  <c r="A485" i="2"/>
  <c r="K485" i="2" s="1"/>
  <c r="A67" i="2"/>
  <c r="K67" i="2" s="1"/>
  <c r="A539" i="2"/>
  <c r="K539" i="2" s="1"/>
  <c r="A564" i="2"/>
  <c r="K564" i="2" s="1"/>
  <c r="A48" i="2"/>
  <c r="K48" i="2" s="1"/>
  <c r="A141" i="2"/>
  <c r="K141" i="2" s="1"/>
  <c r="A432" i="2"/>
  <c r="K432" i="2" s="1"/>
  <c r="A217" i="2"/>
  <c r="K217" i="2" s="1"/>
  <c r="A632" i="2"/>
  <c r="K632" i="2" s="1"/>
  <c r="A368" i="2"/>
  <c r="K368" i="2" s="1"/>
  <c r="A101" i="2"/>
  <c r="K101" i="2" s="1"/>
  <c r="A492" i="2"/>
  <c r="K492" i="2" s="1"/>
  <c r="A486" i="2"/>
  <c r="K486" i="2" s="1"/>
  <c r="A300" i="2"/>
  <c r="K300" i="2" s="1"/>
  <c r="A45" i="2"/>
  <c r="K45" i="2" s="1"/>
  <c r="A72" i="2"/>
  <c r="K72" i="2" s="1"/>
  <c r="A534" i="2"/>
  <c r="K534" i="2" s="1"/>
  <c r="A646" i="2"/>
  <c r="K646" i="2" s="1"/>
  <c r="A57" i="2"/>
  <c r="K57" i="2" s="1"/>
  <c r="A567" i="2"/>
  <c r="K567" i="2" s="1"/>
  <c r="A93" i="2"/>
  <c r="K93" i="2" s="1"/>
  <c r="A249" i="2"/>
  <c r="K249" i="2" s="1"/>
  <c r="A56" i="2"/>
  <c r="K56" i="2" s="1"/>
  <c r="A454" i="2"/>
  <c r="K454" i="2" s="1"/>
  <c r="A619" i="2"/>
  <c r="K619" i="2" s="1"/>
  <c r="A116" i="2"/>
  <c r="K116" i="2" s="1"/>
  <c r="A304" i="2"/>
  <c r="K304" i="2" s="1"/>
  <c r="A263" i="2"/>
  <c r="K263" i="2" s="1"/>
  <c r="A211" i="2"/>
  <c r="K211" i="2" s="1"/>
  <c r="A394" i="2"/>
  <c r="K394" i="2" s="1"/>
  <c r="A224" i="2"/>
  <c r="K224" i="2" s="1"/>
  <c r="A44" i="2"/>
  <c r="K44" i="2" s="1"/>
  <c r="A517" i="2"/>
  <c r="K517" i="2" s="1"/>
  <c r="A588" i="2"/>
  <c r="K588" i="2" s="1"/>
  <c r="A450" i="2"/>
  <c r="K450" i="2" s="1"/>
  <c r="A381" i="2"/>
  <c r="K381" i="2" s="1"/>
  <c r="A262" i="2"/>
  <c r="K262" i="2" s="1"/>
  <c r="A484" i="2"/>
  <c r="K484" i="2" s="1"/>
  <c r="A256" i="2"/>
  <c r="K256" i="2" s="1"/>
  <c r="A41" i="2"/>
  <c r="K41" i="2" s="1"/>
  <c r="A125" i="2"/>
  <c r="K125" i="2" s="1"/>
  <c r="A251" i="2"/>
  <c r="K251" i="2" s="1"/>
  <c r="A421" i="2"/>
  <c r="K421" i="2" s="1"/>
  <c r="A514" i="2"/>
  <c r="K514" i="2" s="1"/>
  <c r="A108" i="2"/>
  <c r="K108" i="2" s="1"/>
  <c r="A332" i="2"/>
  <c r="K332" i="2" s="1"/>
  <c r="A110" i="2"/>
  <c r="K110" i="2" s="1"/>
  <c r="A398" i="2"/>
  <c r="K398" i="2" s="1"/>
  <c r="A231" i="2"/>
  <c r="K231" i="2" s="1"/>
  <c r="A413" i="2"/>
  <c r="K413" i="2" s="1"/>
  <c r="A431" i="2"/>
  <c r="K431" i="2" s="1"/>
  <c r="A194" i="2"/>
  <c r="K194" i="2" s="1"/>
  <c r="A373" i="2"/>
  <c r="K373" i="2" s="1"/>
  <c r="A558" i="2"/>
  <c r="K558" i="2" s="1"/>
  <c r="A593" i="2"/>
  <c r="K593" i="2" s="1"/>
  <c r="A186" i="2"/>
  <c r="K186" i="2" s="1"/>
  <c r="A467" i="2"/>
  <c r="K467" i="2" s="1"/>
  <c r="A336" i="2"/>
  <c r="K336" i="2" s="1"/>
  <c r="A95" i="2"/>
  <c r="K95" i="2" s="1"/>
  <c r="A185" i="2"/>
  <c r="K185" i="2" s="1"/>
  <c r="A321" i="2"/>
  <c r="K321" i="2" s="1"/>
  <c r="A227" i="2"/>
  <c r="K227" i="2" s="1"/>
  <c r="A311" i="2"/>
  <c r="K311" i="2" s="1"/>
  <c r="A129" i="2"/>
  <c r="K129" i="2" s="1"/>
  <c r="A84" i="2"/>
  <c r="K84" i="2" s="1"/>
  <c r="A354" i="2"/>
  <c r="K354" i="2" s="1"/>
  <c r="A640" i="2"/>
  <c r="K640" i="2" s="1"/>
  <c r="A209" i="2"/>
  <c r="K209" i="2" s="1"/>
  <c r="A158" i="2"/>
  <c r="K158" i="2" s="1"/>
  <c r="A351" i="2"/>
  <c r="K351" i="2" s="1"/>
  <c r="A453" i="2"/>
  <c r="K453" i="2" s="1"/>
  <c r="A87" i="2"/>
  <c r="K87" i="2" s="1"/>
  <c r="A90" i="2"/>
  <c r="K90" i="2" s="1"/>
  <c r="A102" i="2"/>
  <c r="K102" i="2" s="1"/>
  <c r="A605" i="2"/>
  <c r="K605" i="2" s="1"/>
  <c r="A168" i="2"/>
  <c r="K168" i="2" s="1"/>
  <c r="A375" i="2"/>
  <c r="K375" i="2" s="1"/>
  <c r="A521" i="2"/>
  <c r="K521" i="2" s="1"/>
  <c r="A86" i="2"/>
  <c r="K86" i="2" s="1"/>
  <c r="A574" i="2"/>
  <c r="K574" i="2" s="1"/>
  <c r="A565" i="2"/>
  <c r="K565" i="2" s="1"/>
  <c r="A69" i="2"/>
  <c r="K69" i="2" s="1"/>
  <c r="A465" i="2"/>
  <c r="K465" i="2" s="1"/>
  <c r="A47" i="2"/>
  <c r="K47" i="2" s="1"/>
  <c r="A124" i="2"/>
  <c r="K124" i="2" s="1"/>
  <c r="A111" i="2"/>
  <c r="K111" i="2" s="1"/>
  <c r="A637" i="2"/>
  <c r="K637" i="2" s="1"/>
  <c r="A364" i="2"/>
  <c r="K364" i="2" s="1"/>
  <c r="A461" i="2"/>
  <c r="K461" i="2" s="1"/>
  <c r="A357" i="2"/>
  <c r="K357" i="2" s="1"/>
  <c r="A388" i="2"/>
  <c r="K388" i="2" s="1"/>
  <c r="A650" i="2"/>
  <c r="K650" i="2" s="1"/>
  <c r="A23" i="2"/>
  <c r="K23" i="2" s="1"/>
  <c r="A35" i="2"/>
  <c r="K35" i="2" s="1"/>
  <c r="A27" i="2"/>
  <c r="K27" i="2" s="1"/>
  <c r="A161" i="2"/>
  <c r="K161" i="2" s="1"/>
  <c r="A97" i="2"/>
  <c r="K97" i="2" s="1"/>
  <c r="A417" i="2"/>
  <c r="K417" i="2" s="1"/>
  <c r="A385" i="2"/>
  <c r="K385" i="2" s="1"/>
  <c r="A273" i="2"/>
  <c r="K273" i="2" s="1"/>
  <c r="A50" i="2"/>
  <c r="K50" i="2" s="1"/>
  <c r="A182" i="2"/>
  <c r="K182" i="2" s="1"/>
  <c r="A83" i="2"/>
  <c r="K83" i="2" s="1"/>
  <c r="A78" i="2"/>
  <c r="K78" i="2" s="1"/>
  <c r="A326" i="2"/>
  <c r="K326" i="2" s="1"/>
  <c r="A464" i="2"/>
  <c r="K464" i="2" s="1"/>
  <c r="A176" i="2"/>
  <c r="K176" i="2" s="1"/>
  <c r="A468" i="2"/>
  <c r="K468" i="2" s="1"/>
  <c r="A333" i="2"/>
  <c r="K333" i="2" s="1"/>
  <c r="A218" i="2"/>
  <c r="K218" i="2" s="1"/>
  <c r="A290" i="2"/>
  <c r="K290" i="2" s="1"/>
  <c r="A275" i="2"/>
  <c r="K275" i="2" s="1"/>
  <c r="A325" i="2"/>
  <c r="K325" i="2" s="1"/>
  <c r="A407" i="2"/>
  <c r="K407" i="2" s="1"/>
  <c r="A409" i="2"/>
  <c r="K409" i="2" s="1"/>
  <c r="A285" i="2"/>
  <c r="K285" i="2" s="1"/>
  <c r="A14" i="2"/>
  <c r="K14" i="2" s="1"/>
  <c r="A309" i="2"/>
  <c r="K309" i="2" s="1"/>
  <c r="A429" i="2"/>
  <c r="K429" i="2" s="1"/>
  <c r="A134" i="2"/>
  <c r="K134" i="2" s="1"/>
  <c r="A175" i="2"/>
  <c r="K175" i="2" s="1"/>
  <c r="A626" i="2"/>
  <c r="K626" i="2" s="1"/>
  <c r="A155" i="2"/>
  <c r="K155" i="2" s="1"/>
  <c r="A546" i="2"/>
  <c r="K546" i="2" s="1"/>
  <c r="A243" i="2"/>
  <c r="K243" i="2" s="1"/>
  <c r="A549" i="2"/>
  <c r="K549" i="2" s="1"/>
  <c r="A202" i="2"/>
  <c r="K202" i="2" s="1"/>
  <c r="A530" i="2"/>
  <c r="K530" i="2" s="1"/>
  <c r="A533" i="2"/>
  <c r="K533" i="2" s="1"/>
  <c r="A551" i="2"/>
  <c r="K551" i="2" s="1"/>
  <c r="A99" i="2"/>
  <c r="K99" i="2" s="1"/>
  <c r="A616" i="2"/>
  <c r="K616" i="2" s="1"/>
  <c r="A322" i="2"/>
  <c r="K322" i="2" s="1"/>
  <c r="A601" i="2"/>
  <c r="K601" i="2" s="1"/>
  <c r="A21" i="2"/>
  <c r="K21" i="2" s="1"/>
  <c r="A556" i="2"/>
  <c r="K556" i="2" s="1"/>
  <c r="A600" i="2"/>
  <c r="K600" i="2" s="1"/>
  <c r="A94" i="2"/>
  <c r="K94" i="2" s="1"/>
  <c r="A61" i="2"/>
  <c r="K61" i="2" s="1"/>
  <c r="A252" i="2"/>
  <c r="K252" i="2" s="1"/>
  <c r="A498" i="2"/>
  <c r="K498" i="2" s="1"/>
  <c r="A550" i="2"/>
  <c r="K550" i="2" s="1"/>
  <c r="A205" i="2"/>
  <c r="K205" i="2" s="1"/>
  <c r="A571" i="2"/>
  <c r="K571" i="2" s="1"/>
  <c r="A545" i="2"/>
  <c r="K545" i="2" s="1"/>
  <c r="A491" i="2"/>
  <c r="K491" i="2" s="1"/>
  <c r="A416" i="2"/>
  <c r="K416" i="2" s="1"/>
  <c r="A283" i="2"/>
  <c r="K283" i="2" s="1"/>
  <c r="A292" i="2"/>
  <c r="K292" i="2" s="1"/>
  <c r="A449" i="2"/>
  <c r="K449" i="2" s="1"/>
  <c r="A522" i="2"/>
  <c r="K522" i="2" s="1"/>
  <c r="A289" i="2"/>
  <c r="K289" i="2" s="1"/>
  <c r="A229" i="2"/>
  <c r="K229" i="2" s="1"/>
  <c r="A53" i="2"/>
  <c r="K53" i="2" s="1"/>
  <c r="A258" i="2"/>
  <c r="K258" i="2" s="1"/>
  <c r="A554" i="2"/>
  <c r="K554" i="2" s="1"/>
  <c r="A76" i="2"/>
  <c r="K76" i="2" s="1"/>
  <c r="A630" i="2"/>
  <c r="K630" i="2" s="1"/>
  <c r="A604" i="2"/>
  <c r="K604" i="2" s="1"/>
  <c r="A470" i="2"/>
  <c r="K470" i="2" s="1"/>
  <c r="H26" i="3"/>
  <c r="H42" i="3" s="1"/>
  <c r="A16" i="2"/>
  <c r="K16" i="2" s="1"/>
  <c r="A149" i="2"/>
  <c r="K149" i="2" s="1"/>
  <c r="A195" i="2"/>
  <c r="K195" i="2" s="1"/>
  <c r="A410" i="2"/>
  <c r="K410" i="2" s="1"/>
  <c r="A635" i="2"/>
  <c r="K635" i="2" s="1"/>
  <c r="H5" i="3"/>
  <c r="A52" i="2"/>
  <c r="K52" i="2" s="1"/>
  <c r="A592" i="2"/>
  <c r="K592" i="2" s="1"/>
  <c r="A609" i="2"/>
  <c r="K609" i="2" s="1"/>
  <c r="A203" i="2"/>
  <c r="K203" i="2" s="1"/>
  <c r="A639" i="2"/>
  <c r="K639" i="2" s="1"/>
  <c r="A462" i="2"/>
  <c r="K462" i="2" s="1"/>
  <c r="A647" i="2"/>
  <c r="K647" i="2" s="1"/>
  <c r="A66" i="2"/>
  <c r="K66" i="2" s="1"/>
  <c r="A502" i="2"/>
  <c r="K502" i="2" s="1"/>
  <c r="A266" i="2"/>
  <c r="K266" i="2" s="1"/>
  <c r="A54" i="2"/>
  <c r="K54" i="2" s="1"/>
  <c r="A282" i="2"/>
  <c r="K282" i="2" s="1"/>
  <c r="A281" i="2"/>
  <c r="K281" i="2" s="1"/>
  <c r="A480" i="2"/>
  <c r="K480" i="2" s="1"/>
  <c r="A267" i="2"/>
  <c r="K267" i="2" s="1"/>
  <c r="A234" i="2"/>
  <c r="K234" i="2" s="1"/>
  <c r="A508" i="2"/>
  <c r="K508" i="2" s="1"/>
  <c r="A440" i="2"/>
  <c r="K440" i="2" s="1"/>
  <c r="A378" i="2"/>
  <c r="K378" i="2" s="1"/>
  <c r="A337" i="2"/>
  <c r="K337" i="2" s="1"/>
  <c r="A548" i="2"/>
  <c r="K548" i="2" s="1"/>
  <c r="A397" i="2"/>
  <c r="K397" i="2" s="1"/>
  <c r="A350" i="2"/>
  <c r="K350" i="2" s="1"/>
  <c r="A239" i="2"/>
  <c r="K239" i="2" s="1"/>
  <c r="A257" i="2"/>
  <c r="K257" i="2" s="1"/>
  <c r="A543" i="2"/>
  <c r="K543" i="2" s="1"/>
  <c r="A459" i="2"/>
  <c r="K459" i="2" s="1"/>
  <c r="A376" i="2"/>
  <c r="K376" i="2" s="1"/>
  <c r="A10" i="2"/>
  <c r="K10" i="2" s="1"/>
  <c r="A544" i="2"/>
  <c r="K544" i="2" s="1"/>
  <c r="A127" i="2"/>
  <c r="K127" i="2" s="1"/>
  <c r="A236" i="2"/>
  <c r="K236" i="2" s="1"/>
  <c r="A119" i="2"/>
  <c r="K119" i="2" s="1"/>
  <c r="A74" i="2"/>
  <c r="K74" i="2" s="1"/>
  <c r="A641" i="2"/>
  <c r="K641" i="2" s="1"/>
  <c r="A438" i="2"/>
  <c r="K438" i="2" s="1"/>
  <c r="A578" i="2"/>
  <c r="K578" i="2" s="1"/>
  <c r="A411" i="2"/>
  <c r="K411" i="2" s="1"/>
  <c r="A369" i="2"/>
  <c r="K369" i="2" s="1"/>
  <c r="A172" i="2"/>
  <c r="K172" i="2" s="1"/>
  <c r="A73" i="2"/>
  <c r="K73" i="2" s="1"/>
  <c r="A427" i="2"/>
  <c r="K427" i="2" s="1"/>
  <c r="A395" i="2"/>
  <c r="K395" i="2" s="1"/>
  <c r="A240" i="2"/>
  <c r="K240" i="2" s="1"/>
  <c r="A62" i="2"/>
  <c r="K62" i="2" s="1"/>
  <c r="A610" i="2"/>
  <c r="K610" i="2" s="1"/>
  <c r="A302" i="2"/>
  <c r="K302" i="2" s="1"/>
  <c r="A348" i="2"/>
  <c r="K348" i="2" s="1"/>
  <c r="A391" i="2"/>
  <c r="K391" i="2" s="1"/>
  <c r="A447" i="2"/>
  <c r="K447" i="2" s="1"/>
  <c r="A370" i="2"/>
  <c r="K370" i="2" s="1"/>
  <c r="A328" i="2"/>
  <c r="K328" i="2" s="1"/>
  <c r="A505" i="2"/>
  <c r="K505" i="2" s="1"/>
  <c r="A238" i="2"/>
  <c r="K238" i="2" s="1"/>
  <c r="A344" i="2"/>
  <c r="K344" i="2" s="1"/>
  <c r="A553" i="2"/>
  <c r="K553" i="2" s="1"/>
  <c r="A602" i="2"/>
  <c r="K602" i="2" s="1"/>
  <c r="A363" i="2"/>
  <c r="K363" i="2" s="1"/>
  <c r="A496" i="2"/>
  <c r="K496" i="2" s="1"/>
  <c r="A180" i="2"/>
  <c r="K180" i="2" s="1"/>
  <c r="A643" i="2"/>
  <c r="K643" i="2" s="1"/>
  <c r="A339" i="2"/>
  <c r="K339" i="2" s="1"/>
  <c r="A608" i="2"/>
  <c r="K608" i="2" s="1"/>
  <c r="A471" i="2"/>
  <c r="K471" i="2" s="1"/>
  <c r="A582" i="2"/>
  <c r="K582" i="2" s="1"/>
  <c r="A193" i="2"/>
  <c r="K193" i="2" s="1"/>
  <c r="A536" i="2"/>
  <c r="K536" i="2" s="1"/>
  <c r="A580" i="2"/>
  <c r="K580" i="2" s="1"/>
  <c r="A621" i="2"/>
  <c r="K621" i="2" s="1"/>
  <c r="A366" i="2"/>
  <c r="K366" i="2" s="1"/>
  <c r="A526" i="2"/>
  <c r="K526" i="2" s="1"/>
  <c r="A345" i="2"/>
  <c r="K345" i="2" s="1"/>
  <c r="A71" i="2"/>
  <c r="K71" i="2" s="1"/>
  <c r="A133" i="2"/>
  <c r="K133" i="2" s="1"/>
  <c r="A287" i="2"/>
  <c r="K287" i="2" s="1"/>
  <c r="A566" i="2"/>
  <c r="K566" i="2" s="1"/>
  <c r="A8" i="2"/>
  <c r="K8" i="2" s="1"/>
  <c r="A557" i="2"/>
  <c r="K557" i="2" s="1"/>
  <c r="A460" i="2"/>
  <c r="K460" i="2" s="1"/>
  <c r="A55" i="2"/>
  <c r="K55" i="2" s="1"/>
  <c r="H23" i="3" l="1"/>
</calcChain>
</file>

<file path=xl/sharedStrings.xml><?xml version="1.0" encoding="utf-8"?>
<sst xmlns="http://schemas.openxmlformats.org/spreadsheetml/2006/main" count="10126" uniqueCount="757">
  <si>
    <t>Hitting</t>
  </si>
  <si>
    <t>Points</t>
  </si>
  <si>
    <t>Category</t>
  </si>
  <si>
    <t>Pitching</t>
  </si>
  <si>
    <t>Players Selected Over Replacement</t>
  </si>
  <si>
    <t>AB</t>
  </si>
  <si>
    <t>IP</t>
  </si>
  <si>
    <t>1B</t>
  </si>
  <si>
    <t>MAX=40</t>
  </si>
  <si>
    <t>R</t>
  </si>
  <si>
    <t>ERA</t>
  </si>
  <si>
    <t>2B</t>
  </si>
  <si>
    <t>MAX=37</t>
  </si>
  <si>
    <t>HR</t>
  </si>
  <si>
    <t>WHIP</t>
  </si>
  <si>
    <t>3B</t>
  </si>
  <si>
    <t>MAX=33</t>
  </si>
  <si>
    <t>RBI</t>
  </si>
  <si>
    <t>K</t>
  </si>
  <si>
    <t>C</t>
  </si>
  <si>
    <t>MAX=35</t>
  </si>
  <si>
    <t>SB</t>
  </si>
  <si>
    <t>W</t>
  </si>
  <si>
    <t>OF</t>
  </si>
  <si>
    <t>MAX=129</t>
  </si>
  <si>
    <t>AVG</t>
  </si>
  <si>
    <t>SV</t>
  </si>
  <si>
    <t>SS</t>
  </si>
  <si>
    <t>MAX=32</t>
  </si>
  <si>
    <t>OBP</t>
  </si>
  <si>
    <t>ER</t>
  </si>
  <si>
    <t>SP</t>
  </si>
  <si>
    <t>MAX=154</t>
  </si>
  <si>
    <t>H</t>
  </si>
  <si>
    <t>RP</t>
  </si>
  <si>
    <t>MAX=94</t>
  </si>
  <si>
    <t>BB</t>
  </si>
  <si>
    <t>Teams</t>
  </si>
  <si>
    <t>Teams in league</t>
  </si>
  <si>
    <t>G</t>
  </si>
  <si>
    <t>SO</t>
  </si>
  <si>
    <t>GS</t>
  </si>
  <si>
    <t>Type</t>
  </si>
  <si>
    <t>Categories</t>
  </si>
  <si>
    <t>“Points” or “Categories”</t>
  </si>
  <si>
    <t>SLG</t>
  </si>
  <si>
    <t>L</t>
  </si>
  <si>
    <t>OPS</t>
  </si>
  <si>
    <t>QS</t>
  </si>
  <si>
    <t>Positions</t>
  </si>
  <si>
    <t>NO</t>
  </si>
  <si>
    <t>1B + 3B</t>
  </si>
  <si>
    <t>CS</t>
  </si>
  <si>
    <t>HOLDS</t>
  </si>
  <si>
    <t>“Yes” or “No” to combine</t>
  </si>
  <si>
    <t>2B + SS</t>
  </si>
  <si>
    <t>BS</t>
  </si>
  <si>
    <t>SP + RP</t>
  </si>
  <si>
    <t>Rank</t>
  </si>
  <si>
    <t>Player</t>
  </si>
  <si>
    <t>Team</t>
  </si>
  <si>
    <t>League</t>
  </si>
  <si>
    <t>Position</t>
  </si>
  <si>
    <t>FP</t>
  </si>
  <si>
    <t>SD</t>
  </si>
  <si>
    <t>VORP</t>
  </si>
  <si>
    <t>ADP</t>
  </si>
  <si>
    <t>Diff</t>
  </si>
  <si>
    <t>Aaron Judge</t>
  </si>
  <si>
    <t>NYY</t>
  </si>
  <si>
    <t>AL</t>
  </si>
  <si>
    <t>Julio Rodriguez</t>
  </si>
  <si>
    <t>SEA</t>
  </si>
  <si>
    <t>Ronald Acuna</t>
  </si>
  <si>
    <t>ATL</t>
  </si>
  <si>
    <t>NL</t>
  </si>
  <si>
    <t>Jose Ramirez</t>
  </si>
  <si>
    <t>CLE</t>
  </si>
  <si>
    <t>Kyle Tucker</t>
  </si>
  <si>
    <t>HOU</t>
  </si>
  <si>
    <t>Yordan Alvarez</t>
  </si>
  <si>
    <t>Mookie Betts</t>
  </si>
  <si>
    <t>LAD</t>
  </si>
  <si>
    <t>Juan Soto</t>
  </si>
  <si>
    <t>Shohei Ohtani</t>
  </si>
  <si>
    <t>LAA</t>
  </si>
  <si>
    <t>Jacob deGrom</t>
  </si>
  <si>
    <t>TEX</t>
  </si>
  <si>
    <t>Michael Harris</t>
  </si>
  <si>
    <t>Manny Machado</t>
  </si>
  <si>
    <t>Mike Trout</t>
  </si>
  <si>
    <t>Trea Turner</t>
  </si>
  <si>
    <t>PHI</t>
  </si>
  <si>
    <t>Gerrit Cole</t>
  </si>
  <si>
    <t>Vladimir Guerrero</t>
  </si>
  <si>
    <t>TOR</t>
  </si>
  <si>
    <t>Edwin Diaz</t>
  </si>
  <si>
    <t>NYM</t>
  </si>
  <si>
    <t>Corbin Burnes</t>
  </si>
  <si>
    <t>MIL</t>
  </si>
  <si>
    <t>Cedric Mullins</t>
  </si>
  <si>
    <t>BAL</t>
  </si>
  <si>
    <t>Randy Arozarena</t>
  </si>
  <si>
    <t>TB</t>
  </si>
  <si>
    <t>Rafael Devers</t>
  </si>
  <si>
    <t>BOS</t>
  </si>
  <si>
    <t>Carlos Rodon</t>
  </si>
  <si>
    <t>Freddie Freeman</t>
  </si>
  <si>
    <t>Austin Riley</t>
  </si>
  <si>
    <t>Justin Verlander</t>
  </si>
  <si>
    <t>Starling Marte</t>
  </si>
  <si>
    <t>Emmanuel Clase</t>
  </si>
  <si>
    <t>Max Scherzer</t>
  </si>
  <si>
    <t>Spencer Strider</t>
  </si>
  <si>
    <t>DH</t>
  </si>
  <si>
    <t>Luis Robert</t>
  </si>
  <si>
    <t>CWS</t>
  </si>
  <si>
    <t>Shane McClanahan</t>
  </si>
  <si>
    <t>Bobby Witt</t>
  </si>
  <si>
    <t>KC</t>
  </si>
  <si>
    <t>George Springer</t>
  </si>
  <si>
    <t>Jake McCarthy</t>
  </si>
  <si>
    <t>ARI</t>
  </si>
  <si>
    <t>Aaron Nola</t>
  </si>
  <si>
    <t>Nolan Arenado</t>
  </si>
  <si>
    <t>STL</t>
  </si>
  <si>
    <t>Bo Bichette</t>
  </si>
  <si>
    <t>Kyle Schwarber</t>
  </si>
  <si>
    <t>Fernando Tatis</t>
  </si>
  <si>
    <t>Pete Alonso</t>
  </si>
  <si>
    <t>Brandon Woodruff</t>
  </si>
  <si>
    <t>J.T. Realmuto</t>
  </si>
  <si>
    <t>Adolis Garcia</t>
  </si>
  <si>
    <t>Teoscar Hernandez</t>
  </si>
  <si>
    <t>Paul Goldschmidt</t>
  </si>
  <si>
    <t>Sandy Alcantara</t>
  </si>
  <si>
    <t>MIA</t>
  </si>
  <si>
    <t>Eloy Jimenez</t>
  </si>
  <si>
    <t>Bryan Reynolds</t>
  </si>
  <si>
    <t>PIT</t>
  </si>
  <si>
    <t>Shane Bieber</t>
  </si>
  <si>
    <t>Esteury Ruiz</t>
  </si>
  <si>
    <t>OAK</t>
  </si>
  <si>
    <t>Steven Kwan</t>
  </si>
  <si>
    <t>Daulton Varsho</t>
  </si>
  <si>
    <t>Yu Darvish</t>
  </si>
  <si>
    <t>Zack Wheeler</t>
  </si>
  <si>
    <t>Jose Altuve</t>
  </si>
  <si>
    <t>Dylan Cease</t>
  </si>
  <si>
    <t>Kevin Gausman</t>
  </si>
  <si>
    <t>Marcus Semien</t>
  </si>
  <si>
    <t>Tyler O'Neill</t>
  </si>
  <si>
    <t>Julio Urias</t>
  </si>
  <si>
    <t>Max Fried</t>
  </si>
  <si>
    <t>Cristian Javier</t>
  </si>
  <si>
    <t>Luis Severino</t>
  </si>
  <si>
    <t>Clayton Kershaw</t>
  </si>
  <si>
    <t>Byron Buxton</t>
  </si>
  <si>
    <t>MIN</t>
  </si>
  <si>
    <t>Seiya Suzuki</t>
  </si>
  <si>
    <t>CHC</t>
  </si>
  <si>
    <t>Will Smith</t>
  </si>
  <si>
    <t>Jazz Chisholm</t>
  </si>
  <si>
    <t>Jordan Romano</t>
  </si>
  <si>
    <t>Zac Gallen</t>
  </si>
  <si>
    <t>Framber Valdez</t>
  </si>
  <si>
    <t>Salvador Perez</t>
  </si>
  <si>
    <t>Christian Yelich</t>
  </si>
  <si>
    <t>Anthony Santander</t>
  </si>
  <si>
    <t>Tyler Glasnow</t>
  </si>
  <si>
    <t>Taylor Ward</t>
  </si>
  <si>
    <t>Alek Manoah</t>
  </si>
  <si>
    <t>Nestor Cortes</t>
  </si>
  <si>
    <t>Joe Musgrove</t>
  </si>
  <si>
    <t>Josh Hader</t>
  </si>
  <si>
    <t>Giancarlo Stanton</t>
  </si>
  <si>
    <t>Devin Williams</t>
  </si>
  <si>
    <t>Kris Bryant</t>
  </si>
  <si>
    <t>COL</t>
  </si>
  <si>
    <t>Luis Castillo</t>
  </si>
  <si>
    <t>Corbin Carroll</t>
  </si>
  <si>
    <t>Triston McKenzie</t>
  </si>
  <si>
    <t>Matt Olson</t>
  </si>
  <si>
    <t>Ryan Pressly</t>
  </si>
  <si>
    <t>Ryan Helsley</t>
  </si>
  <si>
    <t>Tim Anderson</t>
  </si>
  <si>
    <t>Alex Verdugo</t>
  </si>
  <si>
    <t>Alex Bregman</t>
  </si>
  <si>
    <t>Andres Gimenez</t>
  </si>
  <si>
    <t>Nick Castellanos</t>
  </si>
  <si>
    <t>Raisel Iglesias</t>
  </si>
  <si>
    <t>Robbie Ray</t>
  </si>
  <si>
    <t>Ian Happ</t>
  </si>
  <si>
    <t>Masataka Yoshida</t>
  </si>
  <si>
    <t>Tommy Edman</t>
  </si>
  <si>
    <t>Jeffrey Springs</t>
  </si>
  <si>
    <t>Brandon Nimmo</t>
  </si>
  <si>
    <t>Hunter Renfroe</t>
  </si>
  <si>
    <t>Ozzie Albies</t>
  </si>
  <si>
    <t>Felix Bautista</t>
  </si>
  <si>
    <t>Alejandro Kirk</t>
  </si>
  <si>
    <t>Vaughn Grissom</t>
  </si>
  <si>
    <t>MJ Melendez</t>
  </si>
  <si>
    <t>Joe Ryan</t>
  </si>
  <si>
    <t>Francisco Lindor</t>
  </si>
  <si>
    <t>Ryan McMahon</t>
  </si>
  <si>
    <t>Oscar Gonzalez</t>
  </si>
  <si>
    <t>Harrison Bader</t>
  </si>
  <si>
    <t>Oneil Cruz</t>
  </si>
  <si>
    <t>Chris Bassitt</t>
  </si>
  <si>
    <t>Adley Rutschman</t>
  </si>
  <si>
    <t>Dansby Swanson</t>
  </si>
  <si>
    <t>George Kirby</t>
  </si>
  <si>
    <t>Corey Seager</t>
  </si>
  <si>
    <t>Charlie Blackmon</t>
  </si>
  <si>
    <t>Gunnar Henderson</t>
  </si>
  <si>
    <t>Lance Lynn</t>
  </si>
  <si>
    <t>Lourdes Gurriel</t>
  </si>
  <si>
    <t>Mitch Haniger</t>
  </si>
  <si>
    <t>SF</t>
  </si>
  <si>
    <t>Andrew Benintendi</t>
  </si>
  <si>
    <t>Logan Webb</t>
  </si>
  <si>
    <t>Jhoan Duran</t>
  </si>
  <si>
    <t>Jose Abreu</t>
  </si>
  <si>
    <t>Hunter Greene</t>
  </si>
  <si>
    <t>CIN</t>
  </si>
  <si>
    <t>Blake Snell</t>
  </si>
  <si>
    <t>Logan Gilbert</t>
  </si>
  <si>
    <t>Xander Bogaerts</t>
  </si>
  <si>
    <t>C.J. Cron</t>
  </si>
  <si>
    <t>Ke'Bryan Hayes</t>
  </si>
  <si>
    <t>Randal Grichuk</t>
  </si>
  <si>
    <t>Tony Gonsolin</t>
  </si>
  <si>
    <t>Nick Lodolo</t>
  </si>
  <si>
    <t>Jordan Montgomery</t>
  </si>
  <si>
    <t>Nathaniel Lowe</t>
  </si>
  <si>
    <t>Tyler Stephenson</t>
  </si>
  <si>
    <t>Austin Hays</t>
  </si>
  <si>
    <t>Kyle Wright</t>
  </si>
  <si>
    <t>Andres Munoz</t>
  </si>
  <si>
    <t>Chris Sale</t>
  </si>
  <si>
    <t>Gleyber Torres</t>
  </si>
  <si>
    <t>Charlie Morton</t>
  </si>
  <si>
    <t>Liam Hendriks</t>
  </si>
  <si>
    <t>Matt Chapman</t>
  </si>
  <si>
    <t>Willy Adames</t>
  </si>
  <si>
    <t>Pablo Lopez</t>
  </si>
  <si>
    <t>Jordan Walker</t>
  </si>
  <si>
    <t>Amed Rosario</t>
  </si>
  <si>
    <t>Willson Contreras</t>
  </si>
  <si>
    <t>Justin Turner</t>
  </si>
  <si>
    <t>Alec Bohm</t>
  </si>
  <si>
    <t>Ramon Laureano</t>
  </si>
  <si>
    <t>Yandy Diaz</t>
  </si>
  <si>
    <t>Freddy Peralta</t>
  </si>
  <si>
    <t>Dustin May</t>
  </si>
  <si>
    <t>Alex Cobb</t>
  </si>
  <si>
    <t>Paul Sewald</t>
  </si>
  <si>
    <t>Kenley Jansen</t>
  </si>
  <si>
    <t>Riley Greene</t>
  </si>
  <si>
    <t>DET</t>
  </si>
  <si>
    <t>Joc Pederson</t>
  </si>
  <si>
    <t>Vinnie Pasquantino</t>
  </si>
  <si>
    <t>Miles Mikolas</t>
  </si>
  <si>
    <t>Jonathan India</t>
  </si>
  <si>
    <t>Christian Walker</t>
  </si>
  <si>
    <t>Jake Fraley</t>
  </si>
  <si>
    <t>Rhys Hoskins</t>
  </si>
  <si>
    <t>Jorge Polanco</t>
  </si>
  <si>
    <t>Michael Brantley</t>
  </si>
  <si>
    <t>Sean Murphy</t>
  </si>
  <si>
    <t>Brady Singer</t>
  </si>
  <si>
    <t>Pete Fairbanks</t>
  </si>
  <si>
    <t>Eugenio Suarez</t>
  </si>
  <si>
    <t>Ryan Mountcastle</t>
  </si>
  <si>
    <t>Wander Franco</t>
  </si>
  <si>
    <t>Andrew Heaney</t>
  </si>
  <si>
    <t>Hunter Brown</t>
  </si>
  <si>
    <t>Whit Merrifield</t>
  </si>
  <si>
    <t>Mike Yastrzemski</t>
  </si>
  <si>
    <t>Lucas Giolito</t>
  </si>
  <si>
    <t>Drew Rasmussen</t>
  </si>
  <si>
    <t>Michael Conforto</t>
  </si>
  <si>
    <t>Mark Canha</t>
  </si>
  <si>
    <t>Tyler Anderson</t>
  </si>
  <si>
    <t>Merrill Kelly</t>
  </si>
  <si>
    <t>Anthony Rizzo</t>
  </si>
  <si>
    <t>Ty France</t>
  </si>
  <si>
    <t>Bryson Stott</t>
  </si>
  <si>
    <t>Camilo Doval</t>
  </si>
  <si>
    <t>Trent Grisham</t>
  </si>
  <si>
    <t>Clay Holmes</t>
  </si>
  <si>
    <t>David Bednar</t>
  </si>
  <si>
    <t>Carlos Correa</t>
  </si>
  <si>
    <t>Avisail Garcia</t>
  </si>
  <si>
    <t>Dylan Carlson</t>
  </si>
  <si>
    <t>Nathan Eovaldi</t>
  </si>
  <si>
    <t>Cody Bellinger</t>
  </si>
  <si>
    <t>Sonny Gray</t>
  </si>
  <si>
    <t>Kodai Senga</t>
  </si>
  <si>
    <t>Manuel Margot</t>
  </si>
  <si>
    <t>Jon Gray</t>
  </si>
  <si>
    <t>Brandon Lowe</t>
  </si>
  <si>
    <t>Jeremy Pena</t>
  </si>
  <si>
    <t>Scott Barlow</t>
  </si>
  <si>
    <t>Brandon Drury</t>
  </si>
  <si>
    <t>TJ Friedl</t>
  </si>
  <si>
    <t>Andrew McCutchen</t>
  </si>
  <si>
    <t>Lane Thomas</t>
  </si>
  <si>
    <t>WSH</t>
  </si>
  <si>
    <t>Jean Segura</t>
  </si>
  <si>
    <t>Jesse Winker</t>
  </si>
  <si>
    <t>Jesus Luzardo</t>
  </si>
  <si>
    <t>Luis Arraez</t>
  </si>
  <si>
    <t>Austin Meadows</t>
  </si>
  <si>
    <t>J.D. Martinez</t>
  </si>
  <si>
    <t>Patrick Sandoval</t>
  </si>
  <si>
    <t>Thairo Estrada</t>
  </si>
  <si>
    <t>Lars Nootbaar</t>
  </si>
  <si>
    <t>Marcus Stroman</t>
  </si>
  <si>
    <t>Bryan De La Cruz</t>
  </si>
  <si>
    <t>Josh Bell</t>
  </si>
  <si>
    <t>Adam Wainwright</t>
  </si>
  <si>
    <t>Nico Hoerner</t>
  </si>
  <si>
    <t>Myles Straw</t>
  </si>
  <si>
    <t>Ketel Marte</t>
  </si>
  <si>
    <t>Jorge Soler</t>
  </si>
  <si>
    <t>Jeff McNeil</t>
  </si>
  <si>
    <t>Keibert Ruiz</t>
  </si>
  <si>
    <t>Adalberto Mondesi</t>
  </si>
  <si>
    <t>Akil Baddoo</t>
  </si>
  <si>
    <t>Andrew Vaughn</t>
  </si>
  <si>
    <t>Anthony Rendon</t>
  </si>
  <si>
    <t>Brendan Rodgers</t>
  </si>
  <si>
    <t>Giovanny Gallegos</t>
  </si>
  <si>
    <t>Javier Baez</t>
  </si>
  <si>
    <t>Justin Steele</t>
  </si>
  <si>
    <t>William Contreras</t>
  </si>
  <si>
    <t>Jose Urquidy</t>
  </si>
  <si>
    <t>Jose Berrios</t>
  </si>
  <si>
    <t>Ryne Nelson</t>
  </si>
  <si>
    <t>Jake Cronenworth</t>
  </si>
  <si>
    <t>Josh Naylor</t>
  </si>
  <si>
    <t>Rowdy Tellez</t>
  </si>
  <si>
    <t>Brendan Donovan</t>
  </si>
  <si>
    <t>Jose Siri</t>
  </si>
  <si>
    <t>Tyler Mahle</t>
  </si>
  <si>
    <t>Garrett Mitchell</t>
  </si>
  <si>
    <t>Jameson Taillon</t>
  </si>
  <si>
    <t>Ross Stripling</t>
  </si>
  <si>
    <t>Alexis Diaz</t>
  </si>
  <si>
    <t>Luis Garcia</t>
  </si>
  <si>
    <t>Yoan Moncada</t>
  </si>
  <si>
    <t>Jose Quintana</t>
  </si>
  <si>
    <t>Aaron Civale</t>
  </si>
  <si>
    <t>Jason Adam</t>
  </si>
  <si>
    <t>Reid Detmers</t>
  </si>
  <si>
    <t>Ezequiel Tovar</t>
  </si>
  <si>
    <t>Drew Waters</t>
  </si>
  <si>
    <t>Lance McCullers</t>
  </si>
  <si>
    <t>Trayce Thompson</t>
  </si>
  <si>
    <t>Evan Phillips</t>
  </si>
  <si>
    <t>Edward Cabrera</t>
  </si>
  <si>
    <t>Ha-Seong Kim</t>
  </si>
  <si>
    <t>Carlos Carrasco</t>
  </si>
  <si>
    <t>Taijuan Walker</t>
  </si>
  <si>
    <t>Marcell Ozuna</t>
  </si>
  <si>
    <t>A.J. Minter</t>
  </si>
  <si>
    <t>Jose Miranda</t>
  </si>
  <si>
    <t>Max Muncy</t>
  </si>
  <si>
    <t>Bryce Harper</t>
  </si>
  <si>
    <t>Edward Olivares</t>
  </si>
  <si>
    <t>Kyle Isbel</t>
  </si>
  <si>
    <t>Max Kepler</t>
  </si>
  <si>
    <t>Miguel Vargas</t>
  </si>
  <si>
    <t>Chas McCormick</t>
  </si>
  <si>
    <t>Kerry Carpenter</t>
  </si>
  <si>
    <t>Josh Jung</t>
  </si>
  <si>
    <t>Sean Manaea</t>
  </si>
  <si>
    <t>Wil Myers</t>
  </si>
  <si>
    <t>Danny Jansen</t>
  </si>
  <si>
    <t>Eduardo Rodriguez</t>
  </si>
  <si>
    <t>Brandon Marsh</t>
  </si>
  <si>
    <t>Enrique Hernandez</t>
  </si>
  <si>
    <t>Josh Rojas</t>
  </si>
  <si>
    <t>Daniel Bard</t>
  </si>
  <si>
    <t>Travis d'Arnaud</t>
  </si>
  <si>
    <t>Ranger Suarez</t>
  </si>
  <si>
    <t>Jeimer Candelario</t>
  </si>
  <si>
    <t>Trevor Rogers</t>
  </si>
  <si>
    <t>Leody Taveras</t>
  </si>
  <si>
    <t>Martin Perez</t>
  </si>
  <si>
    <t>Eric Lauer</t>
  </si>
  <si>
    <t>Kolten Wong</t>
  </si>
  <si>
    <t>Nick Martinez</t>
  </si>
  <si>
    <t>Eddie Rosario</t>
  </si>
  <si>
    <t>Grayson Rodriguez</t>
  </si>
  <si>
    <t>Shea Langeliers</t>
  </si>
  <si>
    <t>Jarred Kelenic</t>
  </si>
  <si>
    <t>Jurickson Profar</t>
  </si>
  <si>
    <t>Oscar Colas</t>
  </si>
  <si>
    <t>Yonathan Daza</t>
  </si>
  <si>
    <t>Joey Meneses</t>
  </si>
  <si>
    <t>Bailey Ober</t>
  </si>
  <si>
    <t>Tyrone Taylor</t>
  </si>
  <si>
    <t>Eduardo Escobar</t>
  </si>
  <si>
    <t>Joey Wendle</t>
  </si>
  <si>
    <t>Spencer Steer</t>
  </si>
  <si>
    <t>Christopher Morel</t>
  </si>
  <si>
    <t>Jack Flaherty</t>
  </si>
  <si>
    <t>Robert Suarez</t>
  </si>
  <si>
    <t>Zach Eflin</t>
  </si>
  <si>
    <t>Cal Raleigh</t>
  </si>
  <si>
    <t>David Peterson</t>
  </si>
  <si>
    <t>Garrett Whitlock</t>
  </si>
  <si>
    <t>Juan Yepez</t>
  </si>
  <si>
    <t>David Peralta</t>
  </si>
  <si>
    <t>Luis Urias</t>
  </si>
  <si>
    <t>Christian Vazquez</t>
  </si>
  <si>
    <t>Nick Senzel</t>
  </si>
  <si>
    <t>Daniel Hudson</t>
  </si>
  <si>
    <t>Nick Gordon</t>
  </si>
  <si>
    <t>Adam Duvall</t>
  </si>
  <si>
    <t>Jack Suwinski</t>
  </si>
  <si>
    <t>Chris Taylor</t>
  </si>
  <si>
    <t>Gavin Lux</t>
  </si>
  <si>
    <t>DJ LeMahieu</t>
  </si>
  <si>
    <t>Cal Quantrill</t>
  </si>
  <si>
    <t>Gavin Sheets</t>
  </si>
  <si>
    <t>Elly De La Cruz</t>
  </si>
  <si>
    <t>Alex Wood</t>
  </si>
  <si>
    <t>Kenta Maeda</t>
  </si>
  <si>
    <t>Joey Gallo</t>
  </si>
  <si>
    <t>Alex Kirilloff</t>
  </si>
  <si>
    <t>Marco Gonzales</t>
  </si>
  <si>
    <t>Noah Syndergaard</t>
  </si>
  <si>
    <t>Collin McHugh</t>
  </si>
  <si>
    <t>Roansy Contreras</t>
  </si>
  <si>
    <t>Oswaldo Cabrera</t>
  </si>
  <si>
    <t>German Marquez</t>
  </si>
  <si>
    <t>Jared Walsh</t>
  </si>
  <si>
    <t>Mike Clevinger</t>
  </si>
  <si>
    <t>Bubba Thompson</t>
  </si>
  <si>
    <t>Erik Swanson</t>
  </si>
  <si>
    <t>Matthew Boyd</t>
  </si>
  <si>
    <t>Domingo German</t>
  </si>
  <si>
    <t>Ken Waldichuk</t>
  </si>
  <si>
    <t>Craig Kimbrel</t>
  </si>
  <si>
    <t>Jonah Heim</t>
  </si>
  <si>
    <t>Taylor Rogers</t>
  </si>
  <si>
    <t>Josh Donaldson</t>
  </si>
  <si>
    <t>Ji Hwan Bae</t>
  </si>
  <si>
    <t>Gio Urshela</t>
  </si>
  <si>
    <t>Cole Irvin</t>
  </si>
  <si>
    <t>Brandon Hughes</t>
  </si>
  <si>
    <t>Kyle Stowers</t>
  </si>
  <si>
    <t>Elias Diaz</t>
  </si>
  <si>
    <t>Mitch Keller</t>
  </si>
  <si>
    <t>Tarik Skubal</t>
  </si>
  <si>
    <t>James Outman</t>
  </si>
  <si>
    <t>Brett Baty</t>
  </si>
  <si>
    <t>Victor Robles</t>
  </si>
  <si>
    <t>Steven Matz</t>
  </si>
  <si>
    <t>Austin Slater</t>
  </si>
  <si>
    <t>Corey Dickerson</t>
  </si>
  <si>
    <t>Tommy Pham</t>
  </si>
  <si>
    <t>Jorge Lopez</t>
  </si>
  <si>
    <t>JT Brubaker</t>
  </si>
  <si>
    <t>Kyle Gibson</t>
  </si>
  <si>
    <t>Penn Murfee</t>
  </si>
  <si>
    <t>Michael Massey</t>
  </si>
  <si>
    <t>Aaron Ashby</t>
  </si>
  <si>
    <t>Robbie Grossman</t>
  </si>
  <si>
    <t>Seth Brown</t>
  </si>
  <si>
    <t>Adrian Morejon</t>
  </si>
  <si>
    <t>AJ Pollock</t>
  </si>
  <si>
    <t>Michael Wacha</t>
  </si>
  <si>
    <t>CJ Abrams</t>
  </si>
  <si>
    <t>Triston Casas</t>
  </si>
  <si>
    <t>Nick Pivetta</t>
  </si>
  <si>
    <t>Matt Vierling</t>
  </si>
  <si>
    <t>Jonathan Schoop</t>
  </si>
  <si>
    <t>Chris Martin</t>
  </si>
  <si>
    <t>Chad Green</t>
  </si>
  <si>
    <t>Diego Castillo</t>
  </si>
  <si>
    <t>Tyler Wells</t>
  </si>
  <si>
    <t>Kevin Kiermaier</t>
  </si>
  <si>
    <t>Austin Nola</t>
  </si>
  <si>
    <t>Brayan Bello</t>
  </si>
  <si>
    <t>Evan Longoria</t>
  </si>
  <si>
    <t>Trey Mancini</t>
  </si>
  <si>
    <t>Gabriel Moreno</t>
  </si>
  <si>
    <t>James Karinchak</t>
  </si>
  <si>
    <t>Will Brennan</t>
  </si>
  <si>
    <t>Eli Morgan</t>
  </si>
  <si>
    <t>Wilmer Flores</t>
  </si>
  <si>
    <t>Logan O'Hoppe</t>
  </si>
  <si>
    <t>Caleb Thielbar</t>
  </si>
  <si>
    <t>Corey Kluber</t>
  </si>
  <si>
    <t>Alex Vesia</t>
  </si>
  <si>
    <t>Dean Kremer</t>
  </si>
  <si>
    <t>Cody Morris</t>
  </si>
  <si>
    <t>Michael A. Taylor</t>
  </si>
  <si>
    <t>Hunter Dozier</t>
  </si>
  <si>
    <t>Jose Leclerc</t>
  </si>
  <si>
    <t>Garrett Cooper</t>
  </si>
  <si>
    <t>Brusdar Graterol</t>
  </si>
  <si>
    <t>Nick Fortes</t>
  </si>
  <si>
    <t>Sean Bouchard</t>
  </si>
  <si>
    <t>Reynaldo Lopez</t>
  </si>
  <si>
    <t>Adam Ottavino</t>
  </si>
  <si>
    <t>Dylan Lee</t>
  </si>
  <si>
    <t>Brandon Crawford</t>
  </si>
  <si>
    <t>Eric Hosmer</t>
  </si>
  <si>
    <t>Jose Trevino</t>
  </si>
  <si>
    <t>Johnny Cueto</t>
  </si>
  <si>
    <t>Kendall Graveman</t>
  </si>
  <si>
    <t>Hector Neris</t>
  </si>
  <si>
    <t>Nate Eaton</t>
  </si>
  <si>
    <t>Ron Marinaccio</t>
  </si>
  <si>
    <t>Adam Frazier</t>
  </si>
  <si>
    <t>Michael King</t>
  </si>
  <si>
    <t>Paul Blackburn</t>
  </si>
  <si>
    <t>Christian Bethancourt</t>
  </si>
  <si>
    <t>Zach Plesac</t>
  </si>
  <si>
    <t>Isaac Paredes</t>
  </si>
  <si>
    <t>Tanner Houck</t>
  </si>
  <si>
    <t>Eric Haase</t>
  </si>
  <si>
    <t>Seth Lugo</t>
  </si>
  <si>
    <t>Drew Smyly</t>
  </si>
  <si>
    <t>Rafael Montero</t>
  </si>
  <si>
    <t>Seranthony Dominguez</t>
  </si>
  <si>
    <t>Luis Rengifo</t>
  </si>
  <si>
    <t>David Robertson</t>
  </si>
  <si>
    <t>Andrew Chafin</t>
  </si>
  <si>
    <t>Brock Burke</t>
  </si>
  <si>
    <t>J.D. Davis</t>
  </si>
  <si>
    <t>Anthony Bass</t>
  </si>
  <si>
    <t>JP Sears</t>
  </si>
  <si>
    <t>Yasmani Grandal</t>
  </si>
  <si>
    <t>Trevor May</t>
  </si>
  <si>
    <t>Danny Duffy</t>
  </si>
  <si>
    <t>Michael Kopech</t>
  </si>
  <si>
    <t>Dylan Floro</t>
  </si>
  <si>
    <t>Brad Keller</t>
  </si>
  <si>
    <t>Bailey Falter</t>
  </si>
  <si>
    <t>Tylor Megill</t>
  </si>
  <si>
    <t>Nick Maton</t>
  </si>
  <si>
    <t>Ramon Urias</t>
  </si>
  <si>
    <t>Jon Berti</t>
  </si>
  <si>
    <t>Tony Kemp</t>
  </si>
  <si>
    <t>Bryan Abreu</t>
  </si>
  <si>
    <t>Zack Greinke</t>
  </si>
  <si>
    <t>Santiago Espinal</t>
  </si>
  <si>
    <t>Graham Ashcraft</t>
  </si>
  <si>
    <t>John Schreiber</t>
  </si>
  <si>
    <t>Elvis Andrus</t>
  </si>
  <si>
    <t>James Paxton</t>
  </si>
  <si>
    <t>Rich Hill</t>
  </si>
  <si>
    <t>Braxton Garrett</t>
  </si>
  <si>
    <t>Jose Suarez</t>
  </si>
  <si>
    <t>Kyle Finnegan</t>
  </si>
  <si>
    <t>Alex Lange</t>
  </si>
  <si>
    <t>Trevor Story</t>
  </si>
  <si>
    <t>Yimi Garcia</t>
  </si>
  <si>
    <t>Cal Mitchell</t>
  </si>
  <si>
    <t>Rodolfo Castro</t>
  </si>
  <si>
    <t>Yusei Kikuchi</t>
  </si>
  <si>
    <t>Jace Peterson</t>
  </si>
  <si>
    <t>Yan Gomes</t>
  </si>
  <si>
    <t>Jesus Sanchez</t>
  </si>
  <si>
    <t>Steven Wilson</t>
  </si>
  <si>
    <t>Aaron Hicks</t>
  </si>
  <si>
    <t>A.J. Puk</t>
  </si>
  <si>
    <t>Carson Kelly</t>
  </si>
  <si>
    <t>Brian Anderson</t>
  </si>
  <si>
    <t>Jose Alvarado</t>
  </si>
  <si>
    <t>Jimmy Herget</t>
  </si>
  <si>
    <t>Kyle Bradish</t>
  </si>
  <si>
    <t>Colin Poche</t>
  </si>
  <si>
    <t>Trevor Stephan</t>
  </si>
  <si>
    <t>Adbert Alzolay</t>
  </si>
  <si>
    <t>Nelson Cruz</t>
  </si>
  <si>
    <t>Isiah Kiner-Falefa</t>
  </si>
  <si>
    <t>Jovani Moran</t>
  </si>
  <si>
    <t>Josiah Gray</t>
  </si>
  <si>
    <t>Nicky Lopez</t>
  </si>
  <si>
    <t>Jesus Aguilar</t>
  </si>
  <si>
    <t>Hunter Harvey</t>
  </si>
  <si>
    <t>Steven Okert</t>
  </si>
  <si>
    <t>Nate Pearson</t>
  </si>
  <si>
    <t>Chris Flexen</t>
  </si>
  <si>
    <t>Joey Bart</t>
  </si>
  <si>
    <t>Carlos Santana</t>
  </si>
  <si>
    <t>Christian Arroyo</t>
  </si>
  <si>
    <t>J.P. Crawford</t>
  </si>
  <si>
    <t>Endy Rodriguez</t>
  </si>
  <si>
    <t>Patrick Wisdom</t>
  </si>
  <si>
    <t>Andrew Painter</t>
  </si>
  <si>
    <t>Luis Campusano</t>
  </si>
  <si>
    <t>Jonathan Loaisiga</t>
  </si>
  <si>
    <t>Aroldis Chapman</t>
  </si>
  <si>
    <t>Kirby Yates</t>
  </si>
  <si>
    <t>Brooks Raley</t>
  </si>
  <si>
    <t>DL Hall</t>
  </si>
  <si>
    <t>Jacob Stallings</t>
  </si>
  <si>
    <t>Jalen Beeks</t>
  </si>
  <si>
    <t>Matt Bush</t>
  </si>
  <si>
    <t>Garrett Cleavinger</t>
  </si>
  <si>
    <t>Alex Call</t>
  </si>
  <si>
    <t>Joey Votto</t>
  </si>
  <si>
    <t>Nolan Jones</t>
  </si>
  <si>
    <t>Matt Brash</t>
  </si>
  <si>
    <t>Kyle Hendricks</t>
  </si>
  <si>
    <t>Spencer Turnbull</t>
  </si>
  <si>
    <t>Adam Engel</t>
  </si>
  <si>
    <t>Kyle Muller</t>
  </si>
  <si>
    <t>Emmanuel Rivera</t>
  </si>
  <si>
    <t>Gregory Soto</t>
  </si>
  <si>
    <t>Spencer Torkelson</t>
  </si>
  <si>
    <t>Francisco Mejia</t>
  </si>
  <si>
    <t>Dylan Coleman</t>
  </si>
  <si>
    <t>Brandon Belt</t>
  </si>
  <si>
    <t>Jake Odorizzi</t>
  </si>
  <si>
    <t>Nolan Gorman</t>
  </si>
  <si>
    <t>Reese McGuire</t>
  </si>
  <si>
    <t>Stone Garrett</t>
  </si>
  <si>
    <t>Rob Refsnyder</t>
  </si>
  <si>
    <t>Mike Zunino</t>
  </si>
  <si>
    <t>Dylan Moore</t>
  </si>
  <si>
    <t>Dominic Smith</t>
  </si>
  <si>
    <t>Keegan Thompson</t>
  </si>
  <si>
    <t>David Villar</t>
  </si>
  <si>
    <t>Ryan Tepera</t>
  </si>
  <si>
    <t>Omar Narvaez</t>
  </si>
  <si>
    <t>Jake Meyers</t>
  </si>
  <si>
    <t>Enyel De Los Santos</t>
  </si>
  <si>
    <t>Brad Miller</t>
  </si>
  <si>
    <t>Michael Lorenzen</t>
  </si>
  <si>
    <t>Jorge Alfaro</t>
  </si>
  <si>
    <t>Brice Turang</t>
  </si>
  <si>
    <t>Luke Voit</t>
  </si>
  <si>
    <t>Drew Rucinski</t>
  </si>
  <si>
    <t>Jonathan Aranda</t>
  </si>
  <si>
    <t>Jordan Lyles</t>
  </si>
  <si>
    <t>Jose Iglesias</t>
  </si>
  <si>
    <t>James Kaprielian</t>
  </si>
  <si>
    <t>Aledmys Diaz</t>
  </si>
  <si>
    <t>Alek Thomas</t>
  </si>
  <si>
    <t>Ezequiel Duran</t>
  </si>
  <si>
    <t>Tom Murphy</t>
  </si>
  <si>
    <t>Bo Naylor</t>
  </si>
  <si>
    <t>Victor Caratini</t>
  </si>
  <si>
    <t>Cade Cavalli</t>
  </si>
  <si>
    <t>Kyle Freeland</t>
  </si>
  <si>
    <t>Martin Maldonado</t>
  </si>
  <si>
    <t>Ji-Man Choi</t>
  </si>
  <si>
    <t>Conner Capel</t>
  </si>
  <si>
    <t>Tanner Scott</t>
  </si>
  <si>
    <t>MacKenzie Gore</t>
  </si>
  <si>
    <t>Miguel Rojas</t>
  </si>
  <si>
    <t>Oswald Peraza</t>
  </si>
  <si>
    <t>Dane Dunning</t>
  </si>
  <si>
    <t>Emilio Pagan</t>
  </si>
  <si>
    <t>Josh Lowe</t>
  </si>
  <si>
    <t>James McCann</t>
  </si>
  <si>
    <t>Franmil Reyes</t>
  </si>
  <si>
    <t>Jose Azocar</t>
  </si>
  <si>
    <t>Elehuris Montero</t>
  </si>
  <si>
    <t>Luis Guillorme</t>
  </si>
  <si>
    <t>Kevin Newman</t>
  </si>
  <si>
    <t>Max Stassi</t>
  </si>
  <si>
    <t>Nelson Velazquez</t>
  </si>
  <si>
    <t>Austin Barnes</t>
  </si>
  <si>
    <t>David Fletcher</t>
  </si>
  <si>
    <t>Jake Alu</t>
  </si>
  <si>
    <t>Nick Solak</t>
  </si>
  <si>
    <t>Kyle Farmer</t>
  </si>
  <si>
    <t>Madison Bumgarner</t>
  </si>
  <si>
    <t>Sam Haggerty</t>
  </si>
  <si>
    <t>Stuart Fairchild</t>
  </si>
  <si>
    <t>Tucker Barnhart</t>
  </si>
  <si>
    <t>Zach Davies</t>
  </si>
  <si>
    <t>Donovan Solano</t>
  </si>
  <si>
    <t>Kyle Higashioka</t>
  </si>
  <si>
    <t>Carlos Estevez</t>
  </si>
  <si>
    <t>Pavin Smith</t>
  </si>
  <si>
    <t>Royce Lewis</t>
  </si>
  <si>
    <t>Ryan Jeffers</t>
  </si>
  <si>
    <t>Nick Ahmed</t>
  </si>
  <si>
    <t>Brian Serven</t>
  </si>
  <si>
    <t>Jorge Mateo</t>
  </si>
  <si>
    <t>Matt Duffy</t>
  </si>
  <si>
    <t>Trevor Larnach</t>
  </si>
  <si>
    <t>Jarren Duran</t>
  </si>
  <si>
    <t>Jake Burger</t>
  </si>
  <si>
    <t>Jordan Groshans</t>
  </si>
  <si>
    <t>Kyle Lewis</t>
  </si>
  <si>
    <t>LaMonte Wade</t>
  </si>
  <si>
    <t>Matt Mervis</t>
  </si>
  <si>
    <t>Anthony Volpe</t>
  </si>
  <si>
    <t>Tomas Nido</t>
  </si>
  <si>
    <t>Orlando Arcia</t>
  </si>
  <si>
    <t>Michael Toglia</t>
  </si>
  <si>
    <t>Curt Casali</t>
  </si>
  <si>
    <t>Connor Wong</t>
  </si>
  <si>
    <t>Ildemaro Vargas</t>
  </si>
  <si>
    <t>Matt Carpenter</t>
  </si>
  <si>
    <t>Seby Zavala</t>
  </si>
  <si>
    <t>Mitch Garver</t>
  </si>
  <si>
    <t>Jordan Luplow</t>
  </si>
  <si>
    <t>Daniel Vogelbach</t>
  </si>
  <si>
    <t>Patrick Corbin</t>
  </si>
  <si>
    <t>Mauricio Dubon</t>
  </si>
  <si>
    <t>Miguel Cabrera</t>
  </si>
  <si>
    <t>Darick Hall</t>
  </si>
  <si>
    <t>Keston Hiura</t>
  </si>
  <si>
    <t>David Hensley</t>
  </si>
  <si>
    <t>Mike Brosseau</t>
  </si>
  <si>
    <t>Dalton Guthrie</t>
  </si>
  <si>
    <t>Romy Gonzalez</t>
  </si>
  <si>
    <t>Carter Kieboom</t>
  </si>
  <si>
    <t>Edmundo Sosa</t>
  </si>
  <si>
    <t>Cesar Hernandez</t>
  </si>
  <si>
    <t>Connor Joe</t>
  </si>
  <si>
    <t>Nick Allen</t>
  </si>
  <si>
    <t>Cristian Pache</t>
  </si>
  <si>
    <t>Hanser Alberto</t>
  </si>
  <si>
    <t>Bobby Dalbec</t>
  </si>
  <si>
    <t>Cavan Biggio</t>
  </si>
  <si>
    <t>Tucupita Marcano</t>
  </si>
  <si>
    <t>Tyler Nevin</t>
  </si>
  <si>
    <t>Leury Garcia</t>
  </si>
  <si>
    <t>Colin Moran</t>
  </si>
  <si>
    <t>Tommy La Stella</t>
  </si>
  <si>
    <t>JJ Bleday</t>
  </si>
  <si>
    <t>Gabriel Arias</t>
  </si>
  <si>
    <t>Ryan Noda</t>
  </si>
  <si>
    <t>Lenyn Sosa</t>
  </si>
  <si>
    <t>Nick Pratto</t>
  </si>
  <si>
    <t>Abraham Toro</t>
  </si>
  <si>
    <t>Alan Trejo</t>
  </si>
  <si>
    <t>Paul DeJong</t>
  </si>
  <si>
    <t>Taylor Walls</t>
  </si>
  <si>
    <t>Geraldo Perdomo</t>
  </si>
  <si>
    <t>Ryan Kreidler</t>
  </si>
  <si>
    <t>Jose Barrero</t>
  </si>
  <si>
    <t>Hitters</t>
  </si>
  <si>
    <t>Total</t>
  </si>
  <si>
    <t>Pitchers</t>
  </si>
  <si>
    <t>PLAYER</t>
  </si>
  <si>
    <t>TM</t>
  </si>
  <si>
    <t>POS</t>
  </si>
  <si>
    <t>FPRank</t>
  </si>
  <si>
    <t>SDRank</t>
  </si>
  <si>
    <t>HLD</t>
  </si>
  <si>
    <t>Joey Wentz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</si>
</sst>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i/>
      <sz val="8"/>
      <color indexed="8"/>
      <name val="Helvetica Neue"/>
      <family val="2"/>
    </font>
    <font>
      <sz val="10"/>
      <color indexed="9"/>
      <name val="Helvetica Neue"/>
      <family val="2"/>
    </font>
    <font>
      <b/>
      <sz val="12"/>
      <color indexed="8"/>
      <name val="Helvetica Neue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/>
      <top style="medium">
        <color indexed="8"/>
      </top>
      <bottom style="thin">
        <color indexed="10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3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/>
      <top style="thin">
        <color indexed="13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1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2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4" borderId="3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0" fillId="2" borderId="3" xfId="0" applyNumberFormat="1" applyFill="1" applyBorder="1">
      <alignment vertical="top" wrapText="1"/>
    </xf>
    <xf numFmtId="0" fontId="0" fillId="2" borderId="3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164" fontId="0" fillId="2" borderId="5" xfId="0" applyNumberFormat="1" applyFill="1" applyBorder="1" applyAlignment="1">
      <alignment horizontal="right" vertical="center" wrapText="1"/>
    </xf>
    <xf numFmtId="164" fontId="0" fillId="2" borderId="5" xfId="0" applyNumberForma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5" fontId="0" fillId="2" borderId="5" xfId="0" applyNumberForma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49" fontId="0" fillId="4" borderId="6" xfId="0" applyNumberFormat="1" applyFill="1" applyBorder="1" applyAlignment="1">
      <alignment horizontal="right" vertical="center" wrapText="1"/>
    </xf>
    <xf numFmtId="1" fontId="0" fillId="4" borderId="6" xfId="0" applyNumberFormat="1" applyFill="1" applyBorder="1" applyAlignment="1">
      <alignment horizontal="left" vertical="center" wrapText="1"/>
    </xf>
    <xf numFmtId="164" fontId="0" fillId="2" borderId="6" xfId="0" applyNumberFormat="1" applyFill="1" applyBorder="1" applyAlignment="1">
      <alignment horizontal="right" vertical="center" wrapText="1"/>
    </xf>
    <xf numFmtId="164" fontId="0" fillId="2" borderId="6" xfId="0" applyNumberForma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5" fontId="0" fillId="2" borderId="6" xfId="0" applyNumberFormat="1" applyFill="1" applyBorder="1" applyAlignment="1">
      <alignment horizontal="center" vertical="center" wrapText="1"/>
    </xf>
    <xf numFmtId="49" fontId="0" fillId="6" borderId="6" xfId="0" applyNumberFormat="1" applyFill="1" applyBorder="1" applyAlignment="1">
      <alignment horizontal="right" vertical="center" wrapText="1"/>
    </xf>
    <xf numFmtId="1" fontId="0" fillId="6" borderId="6" xfId="0" applyNumberFormat="1" applyFill="1" applyBorder="1" applyAlignment="1">
      <alignment horizontal="left" vertical="center" wrapText="1"/>
    </xf>
    <xf numFmtId="49" fontId="0" fillId="7" borderId="6" xfId="0" applyNumberFormat="1" applyFill="1" applyBorder="1" applyAlignment="1">
      <alignment horizontal="right" vertical="center" wrapText="1"/>
    </xf>
    <xf numFmtId="1" fontId="0" fillId="7" borderId="6" xfId="0" applyNumberFormat="1" applyFill="1" applyBorder="1" applyAlignment="1">
      <alignment horizontal="left" vertical="center" wrapText="1"/>
    </xf>
    <xf numFmtId="49" fontId="0" fillId="8" borderId="6" xfId="0" applyNumberFormat="1" applyFill="1" applyBorder="1" applyAlignment="1">
      <alignment horizontal="right" vertical="center" wrapText="1"/>
    </xf>
    <xf numFmtId="1" fontId="0" fillId="8" borderId="6" xfId="0" applyNumberFormat="1" applyFill="1" applyBorder="1" applyAlignment="1">
      <alignment horizontal="left" vertical="center" wrapText="1"/>
    </xf>
    <xf numFmtId="49" fontId="0" fillId="9" borderId="6" xfId="0" applyNumberFormat="1" applyFill="1" applyBorder="1" applyAlignment="1">
      <alignment horizontal="right" vertical="center" wrapText="1"/>
    </xf>
    <xf numFmtId="1" fontId="0" fillId="9" borderId="6" xfId="0" applyNumberFormat="1" applyFill="1" applyBorder="1" applyAlignment="1">
      <alignment horizontal="left" vertical="center" wrapText="1"/>
    </xf>
    <xf numFmtId="49" fontId="0" fillId="10" borderId="6" xfId="0" applyNumberFormat="1" applyFill="1" applyBorder="1" applyAlignment="1">
      <alignment horizontal="right" vertical="center" wrapText="1"/>
    </xf>
    <xf numFmtId="1" fontId="0" fillId="10" borderId="6" xfId="0" applyNumberFormat="1" applyFill="1" applyBorder="1" applyAlignment="1">
      <alignment horizontal="left" vertical="center" wrapText="1"/>
    </xf>
    <xf numFmtId="49" fontId="4" fillId="11" borderId="6" xfId="0" applyNumberFormat="1" applyFont="1" applyFill="1" applyBorder="1" applyAlignment="1">
      <alignment horizontal="right" vertical="center" wrapText="1"/>
    </xf>
    <xf numFmtId="1" fontId="4" fillId="11" borderId="6" xfId="0" applyNumberFormat="1" applyFont="1" applyFill="1" applyBorder="1" applyAlignment="1">
      <alignment horizontal="left" vertical="center" wrapText="1"/>
    </xf>
    <xf numFmtId="49" fontId="0" fillId="12" borderId="6" xfId="0" applyNumberFormat="1" applyFill="1" applyBorder="1" applyAlignment="1">
      <alignment horizontal="right" vertical="center" wrapText="1"/>
    </xf>
    <xf numFmtId="1" fontId="0" fillId="12" borderId="6" xfId="0" applyNumberFormat="1" applyFill="1" applyBorder="1" applyAlignment="1">
      <alignment horizontal="left" vertical="center" wrapText="1"/>
    </xf>
    <xf numFmtId="49" fontId="0" fillId="13" borderId="6" xfId="0" applyNumberFormat="1" applyFill="1" applyBorder="1" applyAlignment="1">
      <alignment horizontal="right" vertical="center" wrapText="1"/>
    </xf>
    <xf numFmtId="1" fontId="0" fillId="13" borderId="6" xfId="0" applyNumberFormat="1" applyFill="1" applyBorder="1" applyAlignment="1">
      <alignment horizontal="left" vertical="center" wrapText="1"/>
    </xf>
    <xf numFmtId="49" fontId="0" fillId="2" borderId="6" xfId="0" applyNumberFormat="1" applyFill="1" applyBorder="1">
      <alignment vertical="top" wrapText="1"/>
    </xf>
    <xf numFmtId="49" fontId="2" fillId="2" borderId="4" xfId="0" applyNumberFormat="1" applyFont="1" applyFill="1" applyBorder="1" applyAlignment="1">
      <alignment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vertical="center" wrapText="1"/>
    </xf>
    <xf numFmtId="49" fontId="0" fillId="2" borderId="7" xfId="0" applyNumberFormat="1" applyFill="1" applyBorder="1" applyAlignment="1">
      <alignment horizontal="center" vertical="center" wrapText="1"/>
    </xf>
    <xf numFmtId="49" fontId="0" fillId="9" borderId="7" xfId="0" applyNumberFormat="1" applyFill="1" applyBorder="1" applyAlignment="1">
      <alignment horizontal="right" vertical="center" wrapText="1"/>
    </xf>
    <xf numFmtId="1" fontId="0" fillId="9" borderId="7" xfId="0" applyNumberFormat="1" applyFill="1" applyBorder="1" applyAlignment="1">
      <alignment horizontal="left" vertical="center" wrapText="1"/>
    </xf>
    <xf numFmtId="164" fontId="0" fillId="2" borderId="7" xfId="0" applyNumberFormat="1" applyFill="1" applyBorder="1" applyAlignment="1">
      <alignment horizontal="right" vertical="center" wrapText="1"/>
    </xf>
    <xf numFmtId="164" fontId="0" fillId="2" borderId="7" xfId="0" applyNumberForma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165" fontId="0" fillId="2" borderId="7" xfId="0" applyNumberForma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49" fontId="0" fillId="9" borderId="3" xfId="0" applyNumberFormat="1" applyFill="1" applyBorder="1" applyAlignment="1">
      <alignment horizontal="right" vertical="center" wrapText="1"/>
    </xf>
    <xf numFmtId="49" fontId="0" fillId="9" borderId="3" xfId="0" applyNumberFormat="1" applyFill="1" applyBorder="1" applyAlignment="1">
      <alignment horizontal="left" vertical="center" wrapText="1"/>
    </xf>
    <xf numFmtId="49" fontId="0" fillId="2" borderId="3" xfId="0" applyNumberFormat="1" applyFill="1" applyBorder="1" applyAlignment="1">
      <alignment horizontal="right" vertical="center" wrapText="1"/>
    </xf>
    <xf numFmtId="164" fontId="0" fillId="2" borderId="3" xfId="0" applyNumberForma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vertical="center" wrapText="1"/>
    </xf>
    <xf numFmtId="49" fontId="0" fillId="13" borderId="3" xfId="0" applyNumberFormat="1" applyFill="1" applyBorder="1" applyAlignment="1">
      <alignment horizontal="right" vertical="center" wrapText="1"/>
    </xf>
    <xf numFmtId="1" fontId="0" fillId="13" borderId="3" xfId="0" applyNumberFormat="1" applyFill="1" applyBorder="1" applyAlignment="1">
      <alignment horizontal="left" vertical="center" wrapText="1"/>
    </xf>
    <xf numFmtId="164" fontId="0" fillId="2" borderId="3" xfId="0" applyNumberFormat="1" applyFill="1" applyBorder="1" applyAlignment="1">
      <alignment horizontal="right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5" fontId="0" fillId="2" borderId="3" xfId="0" applyNumberFormat="1" applyFill="1" applyBorder="1" applyAlignment="1">
      <alignment horizontal="center" vertical="center" wrapText="1"/>
    </xf>
    <xf numFmtId="49" fontId="0" fillId="13" borderId="3" xfId="0" applyNumberFormat="1" applyFill="1" applyBorder="1" applyAlignment="1">
      <alignment horizontal="left" vertical="center" wrapText="1"/>
    </xf>
    <xf numFmtId="49" fontId="0" fillId="6" borderId="3" xfId="0" applyNumberFormat="1" applyFill="1" applyBorder="1" applyAlignment="1">
      <alignment horizontal="right" vertical="center" wrapText="1"/>
    </xf>
    <xf numFmtId="1" fontId="0" fillId="6" borderId="3" xfId="0" applyNumberFormat="1" applyFill="1" applyBorder="1" applyAlignment="1">
      <alignment horizontal="left" vertical="center" wrapText="1"/>
    </xf>
    <xf numFmtId="49" fontId="0" fillId="6" borderId="3" xfId="0" applyNumberFormat="1" applyFill="1" applyBorder="1" applyAlignment="1">
      <alignment horizontal="left" vertical="center" wrapText="1"/>
    </xf>
    <xf numFmtId="49" fontId="0" fillId="12" borderId="3" xfId="0" applyNumberFormat="1" applyFill="1" applyBorder="1" applyAlignment="1">
      <alignment horizontal="right" vertical="center" wrapText="1"/>
    </xf>
    <xf numFmtId="1" fontId="0" fillId="12" borderId="3" xfId="0" applyNumberFormat="1" applyFill="1" applyBorder="1" applyAlignment="1">
      <alignment horizontal="left" vertical="center" wrapText="1"/>
    </xf>
    <xf numFmtId="49" fontId="0" fillId="12" borderId="3" xfId="0" applyNumberFormat="1" applyFill="1" applyBorder="1" applyAlignment="1">
      <alignment horizontal="left" vertical="center" wrapText="1"/>
    </xf>
    <xf numFmtId="49" fontId="0" fillId="8" borderId="3" xfId="0" applyNumberFormat="1" applyFill="1" applyBorder="1" applyAlignment="1">
      <alignment horizontal="right" vertical="center" wrapText="1"/>
    </xf>
    <xf numFmtId="1" fontId="0" fillId="8" borderId="3" xfId="0" applyNumberFormat="1" applyFill="1" applyBorder="1" applyAlignment="1">
      <alignment horizontal="left" vertical="center" wrapText="1"/>
    </xf>
    <xf numFmtId="49" fontId="0" fillId="8" borderId="3" xfId="0" applyNumberFormat="1" applyFill="1" applyBorder="1" applyAlignment="1">
      <alignment horizontal="left" vertical="center" wrapText="1"/>
    </xf>
    <xf numFmtId="49" fontId="0" fillId="4" borderId="3" xfId="0" applyNumberFormat="1" applyFill="1" applyBorder="1" applyAlignment="1">
      <alignment horizontal="right" vertical="center" wrapText="1"/>
    </xf>
    <xf numFmtId="1" fontId="0" fillId="4" borderId="3" xfId="0" applyNumberFormat="1" applyFill="1" applyBorder="1" applyAlignment="1">
      <alignment horizontal="left" vertical="center" wrapText="1"/>
    </xf>
    <xf numFmtId="49" fontId="0" fillId="4" borderId="3" xfId="0" applyNumberForma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vertical="center" wrapText="1"/>
    </xf>
    <xf numFmtId="49" fontId="0" fillId="2" borderId="8" xfId="0" applyNumberFormat="1" applyFill="1" applyBorder="1" applyAlignment="1">
      <alignment horizontal="center" vertical="center" wrapText="1"/>
    </xf>
    <xf numFmtId="49" fontId="0" fillId="4" borderId="8" xfId="0" applyNumberFormat="1" applyFill="1" applyBorder="1" applyAlignment="1">
      <alignment horizontal="right" vertical="center" wrapText="1"/>
    </xf>
    <xf numFmtId="49" fontId="0" fillId="4" borderId="8" xfId="0" applyNumberFormat="1" applyFill="1" applyBorder="1" applyAlignment="1">
      <alignment horizontal="left" vertical="center" wrapText="1"/>
    </xf>
    <xf numFmtId="49" fontId="0" fillId="2" borderId="8" xfId="0" applyNumberForma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right" vertical="center" wrapText="1"/>
    </xf>
    <xf numFmtId="49" fontId="0" fillId="2" borderId="7" xfId="0" applyNumberForma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vertical="center" wrapText="1"/>
    </xf>
    <xf numFmtId="49" fontId="0" fillId="2" borderId="9" xfId="0" applyNumberForma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 wrapText="1"/>
    </xf>
    <xf numFmtId="49" fontId="0" fillId="2" borderId="9" xfId="0" applyNumberFormat="1" applyFill="1" applyBorder="1" applyAlignment="1">
      <alignment horizontal="right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164" fontId="0" fillId="2" borderId="9" xfId="0" applyNumberFormat="1" applyFill="1" applyBorder="1" applyAlignment="1">
      <alignment horizontal="center" vertical="center" wrapText="1"/>
    </xf>
    <xf numFmtId="49" fontId="0" fillId="7" borderId="7" xfId="0" applyNumberFormat="1" applyFill="1" applyBorder="1" applyAlignment="1">
      <alignment horizontal="right" vertical="center" wrapText="1"/>
    </xf>
    <xf numFmtId="1" fontId="0" fillId="7" borderId="7" xfId="0" applyNumberFormat="1" applyFill="1" applyBorder="1" applyAlignment="1">
      <alignment horizontal="left" vertical="center" wrapText="1"/>
    </xf>
    <xf numFmtId="49" fontId="0" fillId="7" borderId="3" xfId="0" applyNumberFormat="1" applyFill="1" applyBorder="1" applyAlignment="1">
      <alignment horizontal="right" vertical="center" wrapText="1"/>
    </xf>
    <xf numFmtId="49" fontId="0" fillId="7" borderId="3" xfId="0" applyNumberFormat="1" applyFill="1" applyBorder="1" applyAlignment="1">
      <alignment horizontal="left" vertical="center" wrapText="1"/>
    </xf>
    <xf numFmtId="49" fontId="0" fillId="10" borderId="3" xfId="0" applyNumberFormat="1" applyFill="1" applyBorder="1" applyAlignment="1">
      <alignment horizontal="right" vertical="center" wrapText="1"/>
    </xf>
    <xf numFmtId="1" fontId="0" fillId="10" borderId="3" xfId="0" applyNumberFormat="1" applyFill="1" applyBorder="1" applyAlignment="1">
      <alignment horizontal="left" vertical="center" wrapText="1"/>
    </xf>
    <xf numFmtId="49" fontId="0" fillId="10" borderId="3" xfId="0" applyNumberFormat="1" applyFill="1" applyBorder="1" applyAlignment="1">
      <alignment horizontal="left" vertical="center" wrapText="1"/>
    </xf>
    <xf numFmtId="49" fontId="0" fillId="10" borderId="8" xfId="0" applyNumberFormat="1" applyFill="1" applyBorder="1" applyAlignment="1">
      <alignment horizontal="right" vertical="center" wrapText="1"/>
    </xf>
    <xf numFmtId="49" fontId="0" fillId="10" borderId="8" xfId="0" applyNumberFormat="1" applyFill="1" applyBorder="1" applyAlignment="1">
      <alignment horizontal="left" vertical="center" wrapText="1"/>
    </xf>
    <xf numFmtId="49" fontId="2" fillId="0" borderId="4" xfId="0" applyNumberFormat="1" applyFont="1" applyBorder="1">
      <alignment vertical="top" wrapText="1"/>
    </xf>
    <xf numFmtId="49" fontId="2" fillId="0" borderId="4" xfId="0" applyNumberFormat="1" applyFont="1" applyBorder="1" applyAlignment="1">
      <alignment horizontal="center" vertical="top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9" fontId="0" fillId="9" borderId="5" xfId="0" applyNumberFormat="1" applyFill="1" applyBorder="1" applyAlignment="1">
      <alignment horizontal="center" vertical="center" wrapText="1"/>
    </xf>
    <xf numFmtId="2" fontId="0" fillId="2" borderId="7" xfId="0" applyNumberFormat="1" applyFill="1" applyBorder="1" applyAlignment="1">
      <alignment horizontal="center" vertical="center" wrapText="1"/>
    </xf>
    <xf numFmtId="49" fontId="0" fillId="9" borderId="6" xfId="0" applyNumberFormat="1" applyFill="1" applyBorder="1" applyAlignment="1">
      <alignment horizontal="center" vertical="center" wrapText="1"/>
    </xf>
    <xf numFmtId="2" fontId="0" fillId="2" borderId="3" xfId="0" applyNumberFormat="1" applyFill="1" applyBorder="1" applyAlignment="1">
      <alignment horizontal="center" vertical="center" wrapText="1"/>
    </xf>
    <xf numFmtId="49" fontId="0" fillId="13" borderId="6" xfId="0" applyNumberFormat="1" applyFill="1" applyBorder="1" applyAlignment="1">
      <alignment horizontal="center" vertical="center" wrapText="1"/>
    </xf>
    <xf numFmtId="49" fontId="0" fillId="6" borderId="6" xfId="0" applyNumberFormat="1" applyFill="1" applyBorder="1" applyAlignment="1">
      <alignment horizontal="center" vertical="center" wrapText="1"/>
    </xf>
    <xf numFmtId="49" fontId="0" fillId="12" borderId="6" xfId="0" applyNumberFormat="1" applyFill="1" applyBorder="1" applyAlignment="1">
      <alignment horizontal="center" vertical="center" wrapText="1"/>
    </xf>
    <xf numFmtId="49" fontId="4" fillId="11" borderId="6" xfId="0" applyNumberFormat="1" applyFont="1" applyFill="1" applyBorder="1" applyAlignment="1">
      <alignment horizontal="center" vertical="center" wrapText="1"/>
    </xf>
    <xf numFmtId="49" fontId="0" fillId="4" borderId="6" xfId="0" applyNumberFormat="1" applyFill="1" applyBorder="1" applyAlignment="1">
      <alignment horizontal="center" vertical="center" wrapText="1"/>
    </xf>
    <xf numFmtId="49" fontId="0" fillId="8" borderId="6" xfId="0" applyNumberFormat="1" applyFill="1" applyBorder="1" applyAlignment="1">
      <alignment horizontal="center" vertical="center" wrapText="1"/>
    </xf>
    <xf numFmtId="49" fontId="0" fillId="8" borderId="10" xfId="0" applyNumberFormat="1" applyFill="1" applyBorder="1" applyAlignment="1">
      <alignment horizontal="center" vertical="center" wrapText="1"/>
    </xf>
    <xf numFmtId="49" fontId="0" fillId="8" borderId="11" xfId="0" applyNumberFormat="1" applyFill="1" applyBorder="1" applyAlignment="1">
      <alignment horizontal="center" vertical="center" wrapText="1"/>
    </xf>
    <xf numFmtId="49" fontId="0" fillId="7" borderId="6" xfId="0" applyNumberFormat="1" applyFill="1" applyBorder="1" applyAlignment="1">
      <alignment horizontal="center" vertical="center" wrapText="1"/>
    </xf>
    <xf numFmtId="49" fontId="0" fillId="10" borderId="6" xfId="0" applyNumberFormat="1" applyFill="1" applyBorder="1" applyAlignment="1">
      <alignment horizontal="center" vertical="center" wrapText="1"/>
    </xf>
    <xf numFmtId="49" fontId="2" fillId="0" borderId="12" xfId="0" applyNumberFormat="1" applyFont="1" applyBorder="1">
      <alignment vertical="top" wrapText="1"/>
    </xf>
    <xf numFmtId="49" fontId="2" fillId="0" borderId="12" xfId="0" applyNumberFormat="1" applyFont="1" applyBorder="1" applyAlignment="1">
      <alignment horizontal="center" vertical="top" wrapText="1"/>
    </xf>
    <xf numFmtId="49" fontId="0" fillId="2" borderId="13" xfId="0" applyNumberFormat="1" applyFill="1" applyBorder="1" applyAlignment="1">
      <alignment vertical="center" wrapText="1"/>
    </xf>
    <xf numFmtId="49" fontId="0" fillId="2" borderId="13" xfId="0" applyNumberFormat="1" applyFill="1" applyBorder="1" applyAlignment="1">
      <alignment horizontal="center" vertical="center" wrapText="1"/>
    </xf>
    <xf numFmtId="164" fontId="0" fillId="2" borderId="10" xfId="0" applyNumberFormat="1" applyFill="1" applyBorder="1" applyAlignment="1">
      <alignment horizontal="center" vertical="center" wrapText="1"/>
    </xf>
    <xf numFmtId="165" fontId="0" fillId="2" borderId="10" xfId="0" applyNumberFormat="1" applyFill="1" applyBorder="1" applyAlignment="1">
      <alignment horizontal="center" vertical="center" wrapText="1"/>
    </xf>
    <xf numFmtId="49" fontId="2" fillId="2" borderId="12" xfId="0" applyNumberFormat="1" applyFont="1" applyFill="1" applyBorder="1">
      <alignment vertical="top" wrapText="1"/>
    </xf>
    <xf numFmtId="49" fontId="2" fillId="2" borderId="12" xfId="0" applyNumberFormat="1" applyFont="1" applyFill="1" applyBorder="1" applyAlignment="1">
      <alignment horizontal="center" vertical="top" wrapText="1"/>
    </xf>
    <xf numFmtId="49" fontId="2" fillId="2" borderId="12" xfId="0" applyNumberFormat="1" applyFont="1" applyFill="1" applyBorder="1" applyAlignment="1">
      <alignment horizontal="center" vertical="top"/>
    </xf>
    <xf numFmtId="1" fontId="0" fillId="2" borderId="6" xfId="0" applyNumberForma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top" wrapText="1"/>
    </xf>
    <xf numFmtId="49" fontId="5" fillId="0" borderId="4" xfId="0" applyNumberFormat="1" applyFont="1" applyBorder="1">
      <alignment vertical="top" wrapText="1"/>
    </xf>
    <xf numFmtId="49" fontId="5" fillId="0" borderId="4" xfId="0" applyNumberFormat="1" applyFont="1" applyBorder="1" applyAlignment="1">
      <alignment horizontal="center" vertical="top"/>
    </xf>
    <xf numFmtId="49" fontId="5" fillId="0" borderId="4" xfId="0" applyNumberFormat="1" applyFont="1" applyBorder="1" applyAlignment="1">
      <alignment horizontal="right" vertical="top" wrapText="1"/>
    </xf>
    <xf numFmtId="0" fontId="5" fillId="0" borderId="4" xfId="0" applyFont="1" applyBorder="1" applyAlignment="1">
      <alignment horizontal="center" vertical="top" wrapText="1"/>
    </xf>
    <xf numFmtId="0" fontId="1" fillId="0" borderId="0" xfId="0" applyNumberFormat="1" applyFont="1">
      <alignment vertical="top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2" borderId="3" xfId="0" applyFill="1" applyBorder="1">
      <alignment vertical="top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>
      <alignment vertical="top" wrapText="1"/>
    </xf>
    <xf numFmtId="0" fontId="3" fillId="2" borderId="3" xfId="0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top" wrapText="1"/>
    </xf>
    <xf numFmtId="0" fontId="5" fillId="3" borderId="4" xfId="0" applyFont="1" applyFill="1" applyBorder="1">
      <alignment vertical="top" wrapText="1"/>
    </xf>
    <xf numFmtId="49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9" fontId="0" fillId="6" borderId="5" xfId="0" applyNumberFormat="1" applyFill="1" applyBorder="1" applyAlignment="1">
      <alignment horizontal="right" vertical="center" wrapText="1"/>
    </xf>
    <xf numFmtId="1" fontId="0" fillId="6" borderId="5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E32400"/>
      </font>
    </dxf>
    <dxf>
      <font>
        <color rgb="FF669C35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EAEAEA"/>
      <rgbColor rgb="FFBDC0BF"/>
      <rgbColor rgb="FFFAE232"/>
      <rgbColor rgb="FFEAEAEA"/>
      <rgbColor rgb="FF669C35"/>
      <rgbColor rgb="FFE32400"/>
      <rgbColor rgb="FFFE634D"/>
      <rgbColor rgb="FF00A1FE"/>
      <rgbColor rgb="FFFF9300"/>
      <rgbColor rgb="FFEF5EA7"/>
      <rgbColor rgb="FF00A89C"/>
      <rgbColor rgb="FFED220B"/>
      <rgbColor rgb="FFCB297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"/>
  <sheetViews>
    <sheetView showGridLines="0" workbookViewId="0">
      <selection activeCell="J13" sqref="J13"/>
    </sheetView>
  </sheetViews>
  <sheetFormatPr defaultColWidth="16.28515625" defaultRowHeight="20.100000000000001" customHeight="1"/>
  <cols>
    <col min="1" max="3" width="11.85546875" style="1" customWidth="1"/>
    <col min="4" max="4" width="2.28515625" style="1" customWidth="1"/>
    <col min="5" max="7" width="11.85546875" style="1" customWidth="1"/>
    <col min="8" max="8" width="2.28515625" style="1" customWidth="1"/>
    <col min="9" max="9" width="14.140625" style="1" customWidth="1"/>
    <col min="10" max="12" width="11.85546875" style="1" customWidth="1"/>
    <col min="13" max="13" width="16.28515625" style="1" customWidth="1"/>
    <col min="14" max="16384" width="16.28515625" style="1"/>
  </cols>
  <sheetData>
    <row r="1" spans="1:12" ht="18.600000000000001" customHeight="1">
      <c r="A1" s="2" t="s">
        <v>0</v>
      </c>
      <c r="B1" s="3" t="s">
        <v>1</v>
      </c>
      <c r="C1" s="3" t="s">
        <v>2</v>
      </c>
      <c r="D1" s="4"/>
      <c r="E1" s="2" t="s">
        <v>3</v>
      </c>
      <c r="F1" s="3" t="s">
        <v>1</v>
      </c>
      <c r="G1" s="3" t="s">
        <v>2</v>
      </c>
      <c r="H1" s="4"/>
      <c r="I1" s="152" t="s">
        <v>4</v>
      </c>
      <c r="J1" s="153"/>
      <c r="K1" s="153"/>
      <c r="L1" s="153"/>
    </row>
    <row r="2" spans="1:12" ht="18.600000000000001" customHeight="1">
      <c r="A2" s="5" t="s">
        <v>5</v>
      </c>
      <c r="B2" s="6"/>
      <c r="C2" s="6"/>
      <c r="D2" s="7"/>
      <c r="E2" s="5" t="s">
        <v>6</v>
      </c>
      <c r="F2" s="8">
        <v>3</v>
      </c>
      <c r="G2" s="6"/>
      <c r="H2" s="7"/>
      <c r="I2" s="9" t="s">
        <v>7</v>
      </c>
      <c r="J2" s="8">
        <v>1</v>
      </c>
      <c r="K2" s="10">
        <f>J2*J$11*1.5</f>
        <v>18</v>
      </c>
      <c r="L2" s="11" t="s">
        <v>8</v>
      </c>
    </row>
    <row r="3" spans="1:12" ht="18.600000000000001" customHeight="1">
      <c r="A3" s="5" t="s">
        <v>9</v>
      </c>
      <c r="B3" s="8">
        <v>1</v>
      </c>
      <c r="C3" s="8">
        <v>1</v>
      </c>
      <c r="D3" s="7"/>
      <c r="E3" s="5" t="s">
        <v>10</v>
      </c>
      <c r="F3" s="12"/>
      <c r="G3" s="8">
        <v>1</v>
      </c>
      <c r="H3" s="7"/>
      <c r="I3" s="9" t="s">
        <v>11</v>
      </c>
      <c r="J3" s="8">
        <v>1</v>
      </c>
      <c r="K3" s="10">
        <f>J3*J$11*1.5</f>
        <v>18</v>
      </c>
      <c r="L3" s="11" t="s">
        <v>12</v>
      </c>
    </row>
    <row r="4" spans="1:12" ht="18.600000000000001" customHeight="1">
      <c r="A4" s="5" t="s">
        <v>13</v>
      </c>
      <c r="B4" s="8">
        <v>4</v>
      </c>
      <c r="C4" s="8">
        <v>1</v>
      </c>
      <c r="D4" s="7"/>
      <c r="E4" s="5" t="s">
        <v>14</v>
      </c>
      <c r="F4" s="12"/>
      <c r="G4" s="8">
        <v>1</v>
      </c>
      <c r="H4" s="7"/>
      <c r="I4" s="9" t="s">
        <v>15</v>
      </c>
      <c r="J4" s="8">
        <v>1</v>
      </c>
      <c r="K4" s="10">
        <f>J4*J$11*1.5</f>
        <v>18</v>
      </c>
      <c r="L4" s="11" t="s">
        <v>16</v>
      </c>
    </row>
    <row r="5" spans="1:12" ht="18.600000000000001" customHeight="1">
      <c r="A5" s="5" t="s">
        <v>17</v>
      </c>
      <c r="B5" s="8">
        <v>1</v>
      </c>
      <c r="C5" s="8">
        <v>1</v>
      </c>
      <c r="D5" s="7"/>
      <c r="E5" s="5" t="s">
        <v>18</v>
      </c>
      <c r="F5" s="8">
        <v>0.5</v>
      </c>
      <c r="G5" s="8">
        <v>1</v>
      </c>
      <c r="H5" s="7"/>
      <c r="I5" s="9" t="s">
        <v>19</v>
      </c>
      <c r="J5" s="8">
        <v>1</v>
      </c>
      <c r="K5" s="10">
        <f>J5*J$11</f>
        <v>12</v>
      </c>
      <c r="L5" s="11" t="s">
        <v>20</v>
      </c>
    </row>
    <row r="6" spans="1:12" ht="18.600000000000001" customHeight="1">
      <c r="A6" s="5" t="s">
        <v>21</v>
      </c>
      <c r="B6" s="8">
        <v>2</v>
      </c>
      <c r="C6" s="8">
        <v>1</v>
      </c>
      <c r="D6" s="7"/>
      <c r="E6" s="5" t="s">
        <v>22</v>
      </c>
      <c r="F6" s="8">
        <v>7</v>
      </c>
      <c r="G6" s="8">
        <v>1</v>
      </c>
      <c r="H6" s="7"/>
      <c r="I6" s="9" t="s">
        <v>23</v>
      </c>
      <c r="J6" s="8">
        <v>3</v>
      </c>
      <c r="K6" s="10">
        <v>68</v>
      </c>
      <c r="L6" s="11" t="s">
        <v>24</v>
      </c>
    </row>
    <row r="7" spans="1:12" ht="18.600000000000001" customHeight="1">
      <c r="A7" s="5" t="s">
        <v>25</v>
      </c>
      <c r="B7" s="12"/>
      <c r="C7" s="8">
        <v>1</v>
      </c>
      <c r="D7" s="7"/>
      <c r="E7" s="5" t="s">
        <v>26</v>
      </c>
      <c r="F7" s="8">
        <v>7</v>
      </c>
      <c r="G7" s="8">
        <v>1</v>
      </c>
      <c r="H7" s="7"/>
      <c r="I7" s="9" t="s">
        <v>27</v>
      </c>
      <c r="J7" s="8">
        <v>1</v>
      </c>
      <c r="K7" s="10">
        <f>J7*J$11*1.5</f>
        <v>18</v>
      </c>
      <c r="L7" s="11" t="s">
        <v>28</v>
      </c>
    </row>
    <row r="8" spans="1:12" ht="18.600000000000001" customHeight="1">
      <c r="A8" s="5" t="s">
        <v>29</v>
      </c>
      <c r="B8" s="12"/>
      <c r="C8" s="6"/>
      <c r="D8" s="7"/>
      <c r="E8" s="5" t="s">
        <v>30</v>
      </c>
      <c r="F8" s="8">
        <v>-1</v>
      </c>
      <c r="G8" s="6"/>
      <c r="H8" s="7"/>
      <c r="I8" s="9" t="s">
        <v>31</v>
      </c>
      <c r="J8" s="8">
        <v>3</v>
      </c>
      <c r="K8" s="10">
        <v>68</v>
      </c>
      <c r="L8" s="11" t="s">
        <v>32</v>
      </c>
    </row>
    <row r="9" spans="1:12" ht="18.600000000000001" customHeight="1">
      <c r="A9" s="5" t="s">
        <v>33</v>
      </c>
      <c r="B9" s="8">
        <v>1</v>
      </c>
      <c r="C9" s="6"/>
      <c r="D9" s="7"/>
      <c r="E9" s="5" t="s">
        <v>33</v>
      </c>
      <c r="F9" s="8">
        <v>-1</v>
      </c>
      <c r="G9" s="6"/>
      <c r="H9" s="7"/>
      <c r="I9" s="9" t="s">
        <v>34</v>
      </c>
      <c r="J9" s="8">
        <v>2</v>
      </c>
      <c r="K9" s="10">
        <v>20</v>
      </c>
      <c r="L9" s="11" t="s">
        <v>35</v>
      </c>
    </row>
    <row r="10" spans="1:12" ht="18.600000000000001" customHeight="1">
      <c r="A10" s="5" t="s">
        <v>11</v>
      </c>
      <c r="B10" s="8">
        <v>2</v>
      </c>
      <c r="C10" s="6"/>
      <c r="D10" s="7"/>
      <c r="E10" s="5" t="s">
        <v>36</v>
      </c>
      <c r="F10" s="8">
        <v>-1</v>
      </c>
      <c r="G10" s="6"/>
      <c r="H10" s="7"/>
      <c r="I10" s="6"/>
      <c r="J10" s="6"/>
      <c r="K10" s="6"/>
      <c r="L10" s="6"/>
    </row>
    <row r="11" spans="1:12" ht="18.600000000000001" customHeight="1">
      <c r="A11" s="5" t="s">
        <v>15</v>
      </c>
      <c r="B11" s="8">
        <v>3</v>
      </c>
      <c r="C11" s="6"/>
      <c r="D11" s="7"/>
      <c r="E11" s="5" t="s">
        <v>13</v>
      </c>
      <c r="F11" s="6"/>
      <c r="G11" s="6"/>
      <c r="H11" s="7"/>
      <c r="I11" s="9" t="s">
        <v>37</v>
      </c>
      <c r="J11" s="8">
        <v>12</v>
      </c>
      <c r="K11" s="150" t="s">
        <v>38</v>
      </c>
      <c r="L11" s="151"/>
    </row>
    <row r="12" spans="1:12" ht="18.600000000000001" customHeight="1">
      <c r="A12" s="5" t="s">
        <v>36</v>
      </c>
      <c r="B12" s="8">
        <v>1</v>
      </c>
      <c r="C12" s="6"/>
      <c r="D12" s="7"/>
      <c r="E12" s="5" t="s">
        <v>39</v>
      </c>
      <c r="F12" s="6"/>
      <c r="G12" s="6"/>
      <c r="H12" s="7"/>
      <c r="I12" s="9"/>
      <c r="J12" s="11"/>
      <c r="K12" s="150"/>
      <c r="L12" s="151"/>
    </row>
    <row r="13" spans="1:12" ht="18.600000000000001" customHeight="1">
      <c r="A13" s="5" t="s">
        <v>40</v>
      </c>
      <c r="B13" s="8">
        <v>-0.5</v>
      </c>
      <c r="C13" s="6"/>
      <c r="D13" s="7"/>
      <c r="E13" s="5" t="s">
        <v>41</v>
      </c>
      <c r="F13" s="6"/>
      <c r="G13" s="6"/>
      <c r="H13" s="7"/>
      <c r="I13" s="9" t="s">
        <v>42</v>
      </c>
      <c r="J13" s="11" t="s">
        <v>43</v>
      </c>
      <c r="K13" s="150" t="s">
        <v>44</v>
      </c>
      <c r="L13" s="151"/>
    </row>
    <row r="14" spans="1:12" ht="18.600000000000001" customHeight="1">
      <c r="A14" s="5" t="s">
        <v>45</v>
      </c>
      <c r="B14" s="12"/>
      <c r="C14" s="6"/>
      <c r="D14" s="7"/>
      <c r="E14" s="5" t="s">
        <v>46</v>
      </c>
      <c r="F14" s="8">
        <v>-5</v>
      </c>
      <c r="G14" s="6"/>
      <c r="H14" s="7"/>
      <c r="I14" s="13"/>
      <c r="J14" s="6"/>
      <c r="K14" s="154"/>
      <c r="L14" s="151"/>
    </row>
    <row r="15" spans="1:12" ht="18.600000000000001" customHeight="1">
      <c r="A15" s="5" t="s">
        <v>47</v>
      </c>
      <c r="B15" s="12"/>
      <c r="C15" s="6"/>
      <c r="D15" s="7"/>
      <c r="E15" s="14" t="s">
        <v>48</v>
      </c>
      <c r="F15" s="8">
        <v>3</v>
      </c>
      <c r="G15" s="6"/>
      <c r="H15" s="7"/>
      <c r="I15" s="9" t="s">
        <v>49</v>
      </c>
      <c r="J15" s="11" t="s">
        <v>50</v>
      </c>
      <c r="K15" s="150" t="s">
        <v>51</v>
      </c>
      <c r="L15" s="151"/>
    </row>
    <row r="16" spans="1:12" ht="18.600000000000001" customHeight="1">
      <c r="A16" s="5" t="s">
        <v>52</v>
      </c>
      <c r="B16" s="8">
        <v>-1</v>
      </c>
      <c r="C16" s="6"/>
      <c r="D16" s="7"/>
      <c r="E16" s="14" t="s">
        <v>53</v>
      </c>
      <c r="F16" s="6"/>
      <c r="G16" s="6"/>
      <c r="H16" s="7"/>
      <c r="I16" s="150" t="s">
        <v>54</v>
      </c>
      <c r="J16" s="11" t="s">
        <v>50</v>
      </c>
      <c r="K16" s="150" t="s">
        <v>55</v>
      </c>
      <c r="L16" s="151"/>
    </row>
    <row r="17" spans="1:12" ht="18.600000000000001" customHeight="1">
      <c r="A17" s="15"/>
      <c r="B17" s="6"/>
      <c r="C17" s="6"/>
      <c r="D17" s="16"/>
      <c r="E17" s="14" t="s">
        <v>56</v>
      </c>
      <c r="F17" s="6"/>
      <c r="G17" s="6"/>
      <c r="H17" s="7"/>
      <c r="I17" s="151"/>
      <c r="J17" s="11" t="s">
        <v>50</v>
      </c>
      <c r="K17" s="150" t="s">
        <v>57</v>
      </c>
      <c r="L17" s="151"/>
    </row>
  </sheetData>
  <mergeCells count="9">
    <mergeCell ref="K17:L17"/>
    <mergeCell ref="K16:L16"/>
    <mergeCell ref="I16:I17"/>
    <mergeCell ref="I1:L1"/>
    <mergeCell ref="K14:L14"/>
    <mergeCell ref="K15:L15"/>
    <mergeCell ref="K11:L11"/>
    <mergeCell ref="K12:L12"/>
    <mergeCell ref="K13:L13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139"/>
  <sheetViews>
    <sheetView showGridLines="0" topLeftCell="A28" workbookViewId="0">
      <selection activeCell="D56" sqref="D56"/>
    </sheetView>
  </sheetViews>
  <sheetFormatPr defaultColWidth="16.28515625" defaultRowHeight="20.100000000000001" customHeight="1"/>
  <cols>
    <col min="1" max="1" width="23.7109375" style="1" customWidth="1"/>
    <col min="2" max="9" width="7.140625" style="1" customWidth="1"/>
    <col min="10" max="10" width="16.28515625" style="1" customWidth="1"/>
    <col min="11" max="16384" width="16.28515625" style="1"/>
  </cols>
  <sheetData>
    <row r="1" spans="1:9" ht="35.1" customHeight="1">
      <c r="A1" s="138" t="s">
        <v>59</v>
      </c>
      <c r="B1" s="139" t="s">
        <v>60</v>
      </c>
      <c r="C1" s="139" t="s">
        <v>752</v>
      </c>
      <c r="D1" s="140" t="s">
        <v>753</v>
      </c>
      <c r="E1" s="139" t="s">
        <v>63</v>
      </c>
      <c r="F1" s="139" t="s">
        <v>65</v>
      </c>
      <c r="G1" s="140" t="s">
        <v>754</v>
      </c>
      <c r="H1" s="139" t="s">
        <v>64</v>
      </c>
      <c r="I1" s="139" t="s">
        <v>65</v>
      </c>
    </row>
    <row r="2" spans="1:9" ht="18.600000000000001" customHeight="1">
      <c r="A2" s="25" t="s">
        <v>83</v>
      </c>
      <c r="B2" s="26" t="s">
        <v>64</v>
      </c>
      <c r="C2" s="126" t="s">
        <v>23</v>
      </c>
      <c r="D2" s="141">
        <f t="shared" ref="D2:D33" ca="1" si="0">RANK(E2,E$2:E$139)</f>
        <v>1</v>
      </c>
      <c r="E2" s="30">
        <f ca="1">VLOOKUP(A2,Rankings!B1:H651,6,FALSE)+(RAND()*0.00001)</f>
        <v>637.05000990849396</v>
      </c>
      <c r="F2" s="30">
        <f ca="1">E2-VLOOKUP(Settings!$K$6,D$2:E$139,2,FALSE)</f>
        <v>326.00000898049257</v>
      </c>
      <c r="G2" s="141">
        <f t="shared" ref="G2:G33" ca="1" si="1">RANK(H2,H$2:H$139)</f>
        <v>7</v>
      </c>
      <c r="H2" s="30">
        <f ca="1">VLOOKUP(A2,Rankings!B1:H651,7,FALSE)+(RAND()*0.00001)</f>
        <v>8.4907385390780483</v>
      </c>
      <c r="I2" s="30">
        <f ca="1">H2-VLOOKUP(Settings!$K$6,G$2:H$139,2,FALSE)</f>
        <v>8.3720180105421758</v>
      </c>
    </row>
    <row r="3" spans="1:9" ht="18.600000000000001" customHeight="1">
      <c r="A3" s="25" t="s">
        <v>68</v>
      </c>
      <c r="B3" s="26" t="s">
        <v>69</v>
      </c>
      <c r="C3" s="126" t="s">
        <v>23</v>
      </c>
      <c r="D3" s="141">
        <f t="shared" ca="1" si="0"/>
        <v>2</v>
      </c>
      <c r="E3" s="30">
        <f ca="1">VLOOKUP(A3,Rankings!B1:H651,6,FALSE)+(RAND()*0.00001)</f>
        <v>623.61666732776052</v>
      </c>
      <c r="F3" s="30">
        <f ca="1">E3-VLOOKUP(Settings!$K$6,D$2:E$139,2,FALSE)</f>
        <v>312.56666639975913</v>
      </c>
      <c r="G3" s="141">
        <f t="shared" ca="1" si="1"/>
        <v>1</v>
      </c>
      <c r="H3" s="30">
        <f ca="1">VLOOKUP(A3,Rankings!B1:H651,7,FALSE)+(RAND()*0.00001)</f>
        <v>11.328389499583308</v>
      </c>
      <c r="I3" s="30">
        <f ca="1">H3-VLOOKUP(Settings!$K$6,G$2:H$139,2,FALSE)</f>
        <v>11.209668971047435</v>
      </c>
    </row>
    <row r="4" spans="1:9" ht="18.600000000000001" customHeight="1">
      <c r="A4" s="25" t="s">
        <v>81</v>
      </c>
      <c r="B4" s="26" t="s">
        <v>82</v>
      </c>
      <c r="C4" s="126" t="s">
        <v>23</v>
      </c>
      <c r="D4" s="141">
        <f t="shared" ca="1" si="0"/>
        <v>3</v>
      </c>
      <c r="E4" s="30">
        <f ca="1">VLOOKUP(A4,Rankings!B1:H651,6,FALSE)+(RAND()*0.00001)</f>
        <v>595.90000667450659</v>
      </c>
      <c r="F4" s="30">
        <f ca="1">E4-VLOOKUP(Settings!$K$6,D$2:E$139,2,FALSE)</f>
        <v>284.85000574650519</v>
      </c>
      <c r="G4" s="141">
        <f t="shared" ca="1" si="1"/>
        <v>6</v>
      </c>
      <c r="H4" s="30">
        <f ca="1">VLOOKUP(A4,Rankings!B1:H651,7,FALSE)+(RAND()*0.00001)</f>
        <v>8.598568363512582</v>
      </c>
      <c r="I4" s="30">
        <f ca="1">H4-VLOOKUP(Settings!$K$6,G$2:H$139,2,FALSE)</f>
        <v>8.4798478349767095</v>
      </c>
    </row>
    <row r="5" spans="1:9" ht="18.600000000000001" customHeight="1">
      <c r="A5" s="25" t="s">
        <v>78</v>
      </c>
      <c r="B5" s="26" t="s">
        <v>79</v>
      </c>
      <c r="C5" s="126" t="s">
        <v>23</v>
      </c>
      <c r="D5" s="141">
        <f t="shared" ca="1" si="0"/>
        <v>4</v>
      </c>
      <c r="E5" s="30">
        <f ca="1">VLOOKUP(A5,Rankings!B1:H651,6,FALSE)+(RAND()*0.00001)</f>
        <v>584.68334052595446</v>
      </c>
      <c r="F5" s="30">
        <f ca="1">E5-VLOOKUP(Settings!$K$6,D$2:E$139,2,FALSE)</f>
        <v>273.63333959795307</v>
      </c>
      <c r="G5" s="141">
        <f t="shared" ca="1" si="1"/>
        <v>4</v>
      </c>
      <c r="H5" s="30">
        <f ca="1">VLOOKUP(A5,Rankings!B1:H651,7,FALSE)+(RAND()*0.00001)</f>
        <v>9.479999113266171</v>
      </c>
      <c r="I5" s="30">
        <f ca="1">H5-VLOOKUP(Settings!$K$6,G$2:H$139,2,FALSE)</f>
        <v>9.3612785847302984</v>
      </c>
    </row>
    <row r="6" spans="1:9" ht="18.600000000000001" customHeight="1">
      <c r="A6" s="25" t="s">
        <v>80</v>
      </c>
      <c r="B6" s="26" t="s">
        <v>79</v>
      </c>
      <c r="C6" s="126" t="s">
        <v>23</v>
      </c>
      <c r="D6" s="141">
        <f t="shared" ca="1" si="0"/>
        <v>5</v>
      </c>
      <c r="E6" s="30">
        <f ca="1">VLOOKUP(A6,Rankings!B1:H651,6,FALSE)+(RAND()*0.00001)</f>
        <v>577.90000672279018</v>
      </c>
      <c r="F6" s="30">
        <f ca="1">E6-VLOOKUP(Settings!$K$6,D$2:E$139,2,FALSE)</f>
        <v>266.85000579478879</v>
      </c>
      <c r="G6" s="141">
        <f t="shared" ca="1" si="1"/>
        <v>5</v>
      </c>
      <c r="H6" s="30">
        <f ca="1">VLOOKUP(A6,Rankings!B1:H651,7,FALSE)+(RAND()*0.00001)</f>
        <v>8.6271005747713136</v>
      </c>
      <c r="I6" s="30">
        <f ca="1">H6-VLOOKUP(Settings!$K$6,G$2:H$139,2,FALSE)</f>
        <v>8.5083800462354411</v>
      </c>
    </row>
    <row r="7" spans="1:9" ht="18.600000000000001" customHeight="1">
      <c r="A7" s="25" t="s">
        <v>71</v>
      </c>
      <c r="B7" s="26" t="s">
        <v>72</v>
      </c>
      <c r="C7" s="126" t="s">
        <v>23</v>
      </c>
      <c r="D7" s="141">
        <f t="shared" ca="1" si="0"/>
        <v>6</v>
      </c>
      <c r="E7" s="30">
        <f ca="1">VLOOKUP(A7,Rankings!B1:H651,6,FALSE)+(RAND()*0.00001)</f>
        <v>555.26666854441123</v>
      </c>
      <c r="F7" s="30">
        <f ca="1">E7-VLOOKUP(Settings!$K$6,D$2:E$139,2,FALSE)</f>
        <v>244.21666761640984</v>
      </c>
      <c r="G7" s="141">
        <f t="shared" ca="1" si="1"/>
        <v>2</v>
      </c>
      <c r="H7" s="30">
        <f ca="1">VLOOKUP(A7,Rankings!B1:H651,7,FALSE)+(RAND()*0.00001)</f>
        <v>9.9328054958653276</v>
      </c>
      <c r="I7" s="30">
        <f ca="1">H7-VLOOKUP(Settings!$K$6,G$2:H$139,2,FALSE)</f>
        <v>9.814084967329455</v>
      </c>
    </row>
    <row r="8" spans="1:9" ht="18.600000000000001" customHeight="1">
      <c r="A8" s="25" t="s">
        <v>73</v>
      </c>
      <c r="B8" s="26" t="s">
        <v>74</v>
      </c>
      <c r="C8" s="126" t="s">
        <v>23</v>
      </c>
      <c r="D8" s="141">
        <f t="shared" ca="1" si="0"/>
        <v>7</v>
      </c>
      <c r="E8" s="30">
        <f ca="1">VLOOKUP(A8,Rankings!B1:H651,6,FALSE)+(RAND()*0.00001)</f>
        <v>554.61667454413259</v>
      </c>
      <c r="F8" s="30">
        <f ca="1">E8-VLOOKUP(Settings!$K$6,D$2:E$139,2,FALSE)</f>
        <v>243.5666736161312</v>
      </c>
      <c r="G8" s="141">
        <f t="shared" ca="1" si="1"/>
        <v>3</v>
      </c>
      <c r="H8" s="30">
        <f ca="1">VLOOKUP(A8,Rankings!B1:H651,7,FALSE)+(RAND()*0.00001)</f>
        <v>9.926107021596831</v>
      </c>
      <c r="I8" s="30">
        <f ca="1">H8-VLOOKUP(Settings!$K$6,G$2:H$139,2,FALSE)</f>
        <v>9.8073864930609584</v>
      </c>
    </row>
    <row r="9" spans="1:9" ht="20.100000000000001" customHeight="1">
      <c r="A9" s="25" t="s">
        <v>90</v>
      </c>
      <c r="B9" s="26" t="s">
        <v>85</v>
      </c>
      <c r="C9" s="126" t="s">
        <v>23</v>
      </c>
      <c r="D9" s="141">
        <f t="shared" ca="1" si="0"/>
        <v>8</v>
      </c>
      <c r="E9" s="30">
        <f ca="1">VLOOKUP(A9,Rankings!B1:H651,6,FALSE)+(RAND()*0.00001)</f>
        <v>535.08333884521028</v>
      </c>
      <c r="F9" s="30">
        <f ca="1">E9-VLOOKUP(Settings!$K$6,D$2:E$139,2,FALSE)</f>
        <v>224.03333791720888</v>
      </c>
      <c r="G9" s="141">
        <f t="shared" ca="1" si="1"/>
        <v>9</v>
      </c>
      <c r="H9" s="30">
        <f ca="1">VLOOKUP(A9,Rankings!B1:H651,7,FALSE)+(RAND()*0.00001)</f>
        <v>7.2312631683453565</v>
      </c>
      <c r="I9" s="30">
        <f ca="1">H9-VLOOKUP(Settings!$K$6,G$2:H$139,2,FALSE)</f>
        <v>7.112542639809484</v>
      </c>
    </row>
    <row r="10" spans="1:9" ht="18.600000000000001" customHeight="1">
      <c r="A10" s="25" t="s">
        <v>127</v>
      </c>
      <c r="B10" s="26" t="s">
        <v>92</v>
      </c>
      <c r="C10" s="126" t="s">
        <v>23</v>
      </c>
      <c r="D10" s="141">
        <f t="shared" ca="1" si="0"/>
        <v>9</v>
      </c>
      <c r="E10" s="30">
        <f ca="1">VLOOKUP(A10,Rankings!B1:H651,6,FALSE)+(RAND()*0.00001)</f>
        <v>498.76667225193</v>
      </c>
      <c r="F10" s="30">
        <f ca="1">E10-VLOOKUP(Settings!$K$6,D$2:E$139,2,FALSE)</f>
        <v>187.71667132392861</v>
      </c>
      <c r="G10" s="141">
        <f t="shared" ca="1" si="1"/>
        <v>16</v>
      </c>
      <c r="H10" s="30">
        <f ca="1">VLOOKUP(A10,Rankings!B1:H651,7,FALSE)+(RAND()*0.00001)</f>
        <v>5.3991783611062356</v>
      </c>
      <c r="I10" s="30">
        <f ca="1">H10-VLOOKUP(Settings!$K$6,G$2:H$139,2,FALSE)</f>
        <v>5.2804578325703631</v>
      </c>
    </row>
    <row r="11" spans="1:9" ht="18.600000000000001" customHeight="1">
      <c r="A11" s="25" t="s">
        <v>100</v>
      </c>
      <c r="B11" s="26" t="s">
        <v>101</v>
      </c>
      <c r="C11" s="126" t="s">
        <v>23</v>
      </c>
      <c r="D11" s="141">
        <f t="shared" ca="1" si="0"/>
        <v>10</v>
      </c>
      <c r="E11" s="30">
        <f ca="1">VLOOKUP(A11,Rankings!B1:H651,6,FALSE)+(RAND()*0.00001)</f>
        <v>496.66667075720653</v>
      </c>
      <c r="F11" s="30">
        <f ca="1">E11-VLOOKUP(Settings!$K$6,D$2:E$139,2,FALSE)</f>
        <v>185.61666982920514</v>
      </c>
      <c r="G11" s="141">
        <f t="shared" ca="1" si="1"/>
        <v>10</v>
      </c>
      <c r="H11" s="30">
        <f ca="1">VLOOKUP(A11,Rankings!B1:H651,7,FALSE)+(RAND()*0.00001)</f>
        <v>6.8287763948918041</v>
      </c>
      <c r="I11" s="30">
        <f ca="1">H11-VLOOKUP(Settings!$K$6,G$2:H$139,2,FALSE)</f>
        <v>6.7100558663559315</v>
      </c>
    </row>
    <row r="12" spans="1:9" ht="18.600000000000001" customHeight="1">
      <c r="A12" s="25" t="s">
        <v>88</v>
      </c>
      <c r="B12" s="26" t="s">
        <v>74</v>
      </c>
      <c r="C12" s="126" t="s">
        <v>23</v>
      </c>
      <c r="D12" s="141">
        <f t="shared" ca="1" si="0"/>
        <v>11</v>
      </c>
      <c r="E12" s="30">
        <f ca="1">VLOOKUP(A12,Rankings!B1:H651,6,FALSE)+(RAND()*0.00001)</f>
        <v>487.33333587029819</v>
      </c>
      <c r="F12" s="30">
        <f ca="1">E12-VLOOKUP(Settings!$K$6,D$2:E$139,2,FALSE)</f>
        <v>176.28333494229679</v>
      </c>
      <c r="G12" s="141">
        <f t="shared" ca="1" si="1"/>
        <v>8</v>
      </c>
      <c r="H12" s="30">
        <f ca="1">VLOOKUP(A12,Rankings!B1:H651,7,FALSE)+(RAND()*0.00001)</f>
        <v>7.7201722994750828</v>
      </c>
      <c r="I12" s="30">
        <f ca="1">H12-VLOOKUP(Settings!$K$6,G$2:H$139,2,FALSE)</f>
        <v>7.6014517709392102</v>
      </c>
    </row>
    <row r="13" spans="1:9" ht="18.600000000000001" customHeight="1">
      <c r="A13" s="25" t="s">
        <v>120</v>
      </c>
      <c r="B13" s="26" t="s">
        <v>95</v>
      </c>
      <c r="C13" s="126" t="s">
        <v>23</v>
      </c>
      <c r="D13" s="141">
        <f t="shared" ca="1" si="0"/>
        <v>12</v>
      </c>
      <c r="E13" s="30">
        <f ca="1">VLOOKUP(A13,Rankings!B1:H651,6,FALSE)+(RAND()*0.00001)</f>
        <v>484.41667278730648</v>
      </c>
      <c r="F13" s="30">
        <f ca="1">E13-VLOOKUP(Settings!$K$6,D$2:E$139,2,FALSE)</f>
        <v>173.36667185930509</v>
      </c>
      <c r="G13" s="141">
        <f t="shared" ca="1" si="1"/>
        <v>14</v>
      </c>
      <c r="H13" s="30">
        <f ca="1">VLOOKUP(A13,Rankings!B1:H651,7,FALSE)+(RAND()*0.00001)</f>
        <v>5.634199772565176</v>
      </c>
      <c r="I13" s="30">
        <f ca="1">H13-VLOOKUP(Settings!$K$6,G$2:H$139,2,FALSE)</f>
        <v>5.5154792440293035</v>
      </c>
    </row>
    <row r="14" spans="1:9" ht="18.600000000000001" customHeight="1">
      <c r="A14" s="25" t="s">
        <v>138</v>
      </c>
      <c r="B14" s="26" t="s">
        <v>139</v>
      </c>
      <c r="C14" s="126" t="s">
        <v>23</v>
      </c>
      <c r="D14" s="141">
        <f t="shared" ca="1" si="0"/>
        <v>13</v>
      </c>
      <c r="E14" s="30">
        <f ca="1">VLOOKUP(A14,Rankings!B1:H651,6,FALSE)+(RAND()*0.00001)</f>
        <v>482.55000575005249</v>
      </c>
      <c r="F14" s="30">
        <f ca="1">E14-VLOOKUP(Settings!$K$6,D$2:E$139,2,FALSE)</f>
        <v>171.5000048220511</v>
      </c>
      <c r="G14" s="141">
        <f t="shared" ca="1" si="1"/>
        <v>20</v>
      </c>
      <c r="H14" s="30">
        <f ca="1">VLOOKUP(A14,Rankings!B1:H651,7,FALSE)+(RAND()*0.00001)</f>
        <v>4.9269533837910977</v>
      </c>
      <c r="I14" s="30">
        <f ca="1">H14-VLOOKUP(Settings!$K$6,G$2:H$139,2,FALSE)</f>
        <v>4.8082328552552251</v>
      </c>
    </row>
    <row r="15" spans="1:9" ht="18.600000000000001" customHeight="1">
      <c r="A15" s="25" t="s">
        <v>102</v>
      </c>
      <c r="B15" s="26" t="s">
        <v>103</v>
      </c>
      <c r="C15" s="126" t="s">
        <v>23</v>
      </c>
      <c r="D15" s="141">
        <f t="shared" ca="1" si="0"/>
        <v>14</v>
      </c>
      <c r="E15" s="30">
        <f ca="1">VLOOKUP(A15,Rankings!B1:H651,6,FALSE)+(RAND()*0.00001)</f>
        <v>476.38334282942691</v>
      </c>
      <c r="F15" s="30">
        <f ca="1">E15-VLOOKUP(Settings!$K$6,D$2:E$139,2,FALSE)</f>
        <v>165.33334190142551</v>
      </c>
      <c r="G15" s="141">
        <f t="shared" ca="1" si="1"/>
        <v>11</v>
      </c>
      <c r="H15" s="30">
        <f ca="1">VLOOKUP(A15,Rankings!B1:H651,7,FALSE)+(RAND()*0.00001)</f>
        <v>6.7716236264800598</v>
      </c>
      <c r="I15" s="30">
        <f ca="1">H15-VLOOKUP(Settings!$K$6,G$2:H$139,2,FALSE)</f>
        <v>6.6529030979441872</v>
      </c>
    </row>
    <row r="16" spans="1:9" ht="20.100000000000001" customHeight="1">
      <c r="A16" s="25" t="s">
        <v>168</v>
      </c>
      <c r="B16" s="26" t="s">
        <v>101</v>
      </c>
      <c r="C16" s="126" t="s">
        <v>23</v>
      </c>
      <c r="D16" s="141">
        <f t="shared" ca="1" si="0"/>
        <v>15</v>
      </c>
      <c r="E16" s="30">
        <f ca="1">VLOOKUP(A16,Rankings!B1:H651,6,FALSE)+(RAND()*0.00001)</f>
        <v>467.31666700081138</v>
      </c>
      <c r="F16" s="30">
        <f ca="1">E16-VLOOKUP(Settings!$K$6,D$2:E$139,2,FALSE)</f>
        <v>156.26666607280998</v>
      </c>
      <c r="G16" s="141">
        <f t="shared" ca="1" si="1"/>
        <v>27</v>
      </c>
      <c r="H16" s="30">
        <f ca="1">VLOOKUP(A16,Rankings!B1:H651,7,FALSE)+(RAND()*0.00001)</f>
        <v>3.8018435844861749</v>
      </c>
      <c r="I16" s="30">
        <f ca="1">H16-VLOOKUP(Settings!$K$6,G$2:H$139,2,FALSE)</f>
        <v>3.6831230559503023</v>
      </c>
    </row>
    <row r="17" spans="1:9" ht="18.600000000000001" customHeight="1">
      <c r="A17" s="25" t="s">
        <v>143</v>
      </c>
      <c r="B17" s="26" t="s">
        <v>77</v>
      </c>
      <c r="C17" s="126" t="s">
        <v>23</v>
      </c>
      <c r="D17" s="141">
        <f t="shared" ca="1" si="0"/>
        <v>16</v>
      </c>
      <c r="E17" s="30">
        <f ca="1">VLOOKUP(A17,Rankings!B1:H651,6,FALSE)+(RAND()*0.00001)</f>
        <v>462.98333656971801</v>
      </c>
      <c r="F17" s="30">
        <f ca="1">E17-VLOOKUP(Settings!$K$6,D$2:E$139,2,FALSE)</f>
        <v>151.93333564171661</v>
      </c>
      <c r="G17" s="141">
        <f t="shared" ca="1" si="1"/>
        <v>22</v>
      </c>
      <c r="H17" s="30">
        <f ca="1">VLOOKUP(A17,Rankings!B1:H651,7,FALSE)+(RAND()*0.00001)</f>
        <v>4.8140140219568499</v>
      </c>
      <c r="I17" s="30">
        <f ca="1">H17-VLOOKUP(Settings!$K$6,G$2:H$139,2,FALSE)</f>
        <v>4.6952934934209773</v>
      </c>
    </row>
    <row r="18" spans="1:9" ht="18.600000000000001" customHeight="1">
      <c r="A18" s="25" t="s">
        <v>167</v>
      </c>
      <c r="B18" s="26" t="s">
        <v>99</v>
      </c>
      <c r="C18" s="126" t="s">
        <v>23</v>
      </c>
      <c r="D18" s="141">
        <f t="shared" ca="1" si="0"/>
        <v>17</v>
      </c>
      <c r="E18" s="30">
        <f ca="1">VLOOKUP(A18,Rankings!B1:H651,6,FALSE)+(RAND()*0.00001)</f>
        <v>447.78333665752501</v>
      </c>
      <c r="F18" s="30">
        <f ca="1">E18-VLOOKUP(Settings!$K$6,D$2:E$139,2,FALSE)</f>
        <v>136.73333572952362</v>
      </c>
      <c r="G18" s="141">
        <f t="shared" ca="1" si="1"/>
        <v>26</v>
      </c>
      <c r="H18" s="30">
        <f ca="1">VLOOKUP(A18,Rankings!B1:H651,7,FALSE)+(RAND()*0.00001)</f>
        <v>3.8035045090719297</v>
      </c>
      <c r="I18" s="30">
        <f ca="1">H18-VLOOKUP(Settings!$K$6,G$2:H$139,2,FALSE)</f>
        <v>3.6847839805360572</v>
      </c>
    </row>
    <row r="19" spans="1:9" ht="18.600000000000001" customHeight="1">
      <c r="A19" s="25" t="s">
        <v>137</v>
      </c>
      <c r="B19" s="26" t="s">
        <v>116</v>
      </c>
      <c r="C19" s="126" t="s">
        <v>23</v>
      </c>
      <c r="D19" s="141">
        <f t="shared" ca="1" si="0"/>
        <v>18</v>
      </c>
      <c r="E19" s="30">
        <f ca="1">VLOOKUP(A19,Rankings!B1:H651,6,FALSE)+(RAND()*0.00001)</f>
        <v>446.10000558993249</v>
      </c>
      <c r="F19" s="30">
        <f ca="1">E19-VLOOKUP(Settings!$K$6,D$2:E$139,2,FALSE)</f>
        <v>135.0500046619311</v>
      </c>
      <c r="G19" s="141">
        <f t="shared" ca="1" si="1"/>
        <v>19</v>
      </c>
      <c r="H19" s="30">
        <f ca="1">VLOOKUP(A19,Rankings!B1:H651,7,FALSE)+(RAND()*0.00001)</f>
        <v>4.9855372796151203</v>
      </c>
      <c r="I19" s="30">
        <f ca="1">H19-VLOOKUP(Settings!$K$6,G$2:H$139,2,FALSE)</f>
        <v>4.8668167510792477</v>
      </c>
    </row>
    <row r="20" spans="1:9" ht="18.600000000000001" customHeight="1">
      <c r="A20" s="25" t="s">
        <v>196</v>
      </c>
      <c r="B20" s="26" t="s">
        <v>97</v>
      </c>
      <c r="C20" s="126" t="s">
        <v>23</v>
      </c>
      <c r="D20" s="141">
        <f t="shared" ca="1" si="0"/>
        <v>19</v>
      </c>
      <c r="E20" s="30">
        <f ca="1">VLOOKUP(A20,Rankings!B1:H651,6,FALSE)+(RAND()*0.00001)</f>
        <v>443.4333344220849</v>
      </c>
      <c r="F20" s="30">
        <f ca="1">E20-VLOOKUP(Settings!$K$6,D$2:E$139,2,FALSE)</f>
        <v>132.3833334940835</v>
      </c>
      <c r="G20" s="141">
        <f t="shared" ca="1" si="1"/>
        <v>36</v>
      </c>
      <c r="H20" s="30">
        <f ca="1">VLOOKUP(A20,Rankings!B1:H651,7,FALSE)+(RAND()*0.00001)</f>
        <v>3.0234996984063236</v>
      </c>
      <c r="I20" s="30">
        <f ca="1">H20-VLOOKUP(Settings!$K$6,G$2:H$139,2,FALSE)</f>
        <v>2.904779169870451</v>
      </c>
    </row>
    <row r="21" spans="1:9" ht="18.600000000000001" customHeight="1">
      <c r="A21" s="25" t="s">
        <v>115</v>
      </c>
      <c r="B21" s="26" t="s">
        <v>116</v>
      </c>
      <c r="C21" s="126" t="s">
        <v>23</v>
      </c>
      <c r="D21" s="141">
        <f t="shared" ca="1" si="0"/>
        <v>20</v>
      </c>
      <c r="E21" s="30">
        <f ca="1">VLOOKUP(A21,Rankings!B1:H651,6,FALSE)+(RAND()*0.00001)</f>
        <v>443.21666965606875</v>
      </c>
      <c r="F21" s="30">
        <f ca="1">E21-VLOOKUP(Settings!$K$6,D$2:E$139,2,FALSE)</f>
        <v>132.16666872806735</v>
      </c>
      <c r="G21" s="141">
        <f t="shared" ca="1" si="1"/>
        <v>13</v>
      </c>
      <c r="H21" s="30">
        <f ca="1">VLOOKUP(A21,Rankings!B1:H651,7,FALSE)+(RAND()*0.00001)</f>
        <v>6.0209886675239748</v>
      </c>
      <c r="I21" s="30">
        <f ca="1">H21-VLOOKUP(Settings!$K$6,G$2:H$139,2,FALSE)</f>
        <v>5.9022681389881022</v>
      </c>
    </row>
    <row r="22" spans="1:9" ht="18.600000000000001" customHeight="1">
      <c r="A22" s="25" t="s">
        <v>186</v>
      </c>
      <c r="B22" s="26" t="s">
        <v>105</v>
      </c>
      <c r="C22" s="126" t="s">
        <v>23</v>
      </c>
      <c r="D22" s="141">
        <f t="shared" ca="1" si="0"/>
        <v>21</v>
      </c>
      <c r="E22" s="30">
        <f ca="1">VLOOKUP(A22,Rankings!B1:H651,6,FALSE)+(RAND()*0.00001)</f>
        <v>440.51667061651625</v>
      </c>
      <c r="F22" s="30">
        <f ca="1">E22-VLOOKUP(Settings!$K$6,D$2:E$139,2,FALSE)</f>
        <v>129.46666968851486</v>
      </c>
      <c r="G22" s="141">
        <f t="shared" ca="1" si="1"/>
        <v>32</v>
      </c>
      <c r="H22" s="30">
        <f ca="1">VLOOKUP(A22,Rankings!B1:H651,7,FALSE)+(RAND()*0.00001)</f>
        <v>3.3800027497209566</v>
      </c>
      <c r="I22" s="30">
        <f ca="1">H22-VLOOKUP(Settings!$K$6,G$2:H$139,2,FALSE)</f>
        <v>3.261282221185084</v>
      </c>
    </row>
    <row r="23" spans="1:9" ht="18.600000000000001" customHeight="1">
      <c r="A23" s="25" t="s">
        <v>133</v>
      </c>
      <c r="B23" s="26" t="s">
        <v>72</v>
      </c>
      <c r="C23" s="126" t="s">
        <v>23</v>
      </c>
      <c r="D23" s="141">
        <f t="shared" ca="1" si="0"/>
        <v>22</v>
      </c>
      <c r="E23" s="30">
        <f ca="1">VLOOKUP(A23,Rankings!B1:H651,6,FALSE)+(RAND()*0.00001)</f>
        <v>438.25000015680348</v>
      </c>
      <c r="F23" s="30">
        <f ca="1">E23-VLOOKUP(Settings!$K$6,D$2:E$139,2,FALSE)</f>
        <v>127.19999922880208</v>
      </c>
      <c r="G23" s="141">
        <f t="shared" ca="1" si="1"/>
        <v>18</v>
      </c>
      <c r="H23" s="30">
        <f ca="1">VLOOKUP(A23,Rankings!B1:H651,7,FALSE)+(RAND()*0.00001)</f>
        <v>5.1073785891545311</v>
      </c>
      <c r="I23" s="30">
        <f ca="1">H23-VLOOKUP(Settings!$K$6,G$2:H$139,2,FALSE)</f>
        <v>4.9886580606186586</v>
      </c>
    </row>
    <row r="24" spans="1:9" ht="18.600000000000001" customHeight="1">
      <c r="A24" s="25" t="s">
        <v>110</v>
      </c>
      <c r="B24" s="26" t="s">
        <v>97</v>
      </c>
      <c r="C24" s="126" t="s">
        <v>23</v>
      </c>
      <c r="D24" s="141">
        <f t="shared" ca="1" si="0"/>
        <v>23</v>
      </c>
      <c r="E24" s="30">
        <f ca="1">VLOOKUP(A24,Rankings!B1:H651,6,FALSE)+(RAND()*0.00001)</f>
        <v>437.93334194580916</v>
      </c>
      <c r="F24" s="30">
        <f ca="1">E24-VLOOKUP(Settings!$K$6,D$2:E$139,2,FALSE)</f>
        <v>126.88334101780777</v>
      </c>
      <c r="G24" s="141">
        <f t="shared" ca="1" si="1"/>
        <v>12</v>
      </c>
      <c r="H24" s="30">
        <f ca="1">VLOOKUP(A24,Rankings!B1:H651,7,FALSE)+(RAND()*0.00001)</f>
        <v>6.3195300811372066</v>
      </c>
      <c r="I24" s="30">
        <f ca="1">H24-VLOOKUP(Settings!$K$6,G$2:H$139,2,FALSE)</f>
        <v>6.200809552601334</v>
      </c>
    </row>
    <row r="25" spans="1:9" ht="18.600000000000001" customHeight="1">
      <c r="A25" s="25" t="s">
        <v>132</v>
      </c>
      <c r="B25" s="26" t="s">
        <v>87</v>
      </c>
      <c r="C25" s="126" t="s">
        <v>23</v>
      </c>
      <c r="D25" s="141">
        <f t="shared" ca="1" si="0"/>
        <v>24</v>
      </c>
      <c r="E25" s="30">
        <f ca="1">VLOOKUP(A25,Rankings!B1:H651,6,FALSE)+(RAND()*0.00001)</f>
        <v>436.50000804826499</v>
      </c>
      <c r="F25" s="30">
        <f ca="1">E25-VLOOKUP(Settings!$K$6,D$2:E$139,2,FALSE)</f>
        <v>125.45000712026359</v>
      </c>
      <c r="G25" s="141">
        <f t="shared" ca="1" si="1"/>
        <v>17</v>
      </c>
      <c r="H25" s="30">
        <f ca="1">VLOOKUP(A25,Rankings!B1:H651,7,FALSE)+(RAND()*0.00001)</f>
        <v>5.1283011992975238</v>
      </c>
      <c r="I25" s="30">
        <f ca="1">H25-VLOOKUP(Settings!$K$6,G$2:H$139,2,FALSE)</f>
        <v>5.0095806707616513</v>
      </c>
    </row>
    <row r="26" spans="1:9" ht="18.600000000000001" customHeight="1">
      <c r="A26" s="25" t="s">
        <v>170</v>
      </c>
      <c r="B26" s="26" t="s">
        <v>85</v>
      </c>
      <c r="C26" s="126" t="s">
        <v>23</v>
      </c>
      <c r="D26" s="141">
        <f t="shared" ca="1" si="0"/>
        <v>25</v>
      </c>
      <c r="E26" s="30">
        <f ca="1">VLOOKUP(A26,Rankings!B1:H651,6,FALSE)+(RAND()*0.00001)</f>
        <v>432.46667378803261</v>
      </c>
      <c r="F26" s="30">
        <f ca="1">E26-VLOOKUP(Settings!$K$6,D$2:E$139,2,FALSE)</f>
        <v>121.41667286003121</v>
      </c>
      <c r="G26" s="141">
        <f t="shared" ca="1" si="1"/>
        <v>28</v>
      </c>
      <c r="H26" s="30">
        <f ca="1">VLOOKUP(A26,Rankings!B1:H651,7,FALSE)+(RAND()*0.00001)</f>
        <v>3.7511883566785467</v>
      </c>
      <c r="I26" s="30">
        <f ca="1">H26-VLOOKUP(Settings!$K$6,G$2:H$139,2,FALSE)</f>
        <v>3.6324678281426741</v>
      </c>
    </row>
    <row r="27" spans="1:9" ht="18.600000000000001" customHeight="1">
      <c r="A27" s="25" t="s">
        <v>159</v>
      </c>
      <c r="B27" s="26" t="s">
        <v>160</v>
      </c>
      <c r="C27" s="126" t="s">
        <v>23</v>
      </c>
      <c r="D27" s="141">
        <f t="shared" ca="1" si="0"/>
        <v>26</v>
      </c>
      <c r="E27" s="30">
        <f ca="1">VLOOKUP(A27,Rankings!B1:H651,6,FALSE)+(RAND()*0.00001)</f>
        <v>427.40000720468458</v>
      </c>
      <c r="F27" s="30">
        <f ca="1">E27-VLOOKUP(Settings!$K$6,D$2:E$139,2,FALSE)</f>
        <v>116.35000627668319</v>
      </c>
      <c r="G27" s="141">
        <f t="shared" ca="1" si="1"/>
        <v>25</v>
      </c>
      <c r="H27" s="30">
        <f ca="1">VLOOKUP(A27,Rankings!B1:H651,7,FALSE)+(RAND()*0.00001)</f>
        <v>3.9509667579550869</v>
      </c>
      <c r="I27" s="30">
        <f ca="1">H27-VLOOKUP(Settings!$K$6,G$2:H$139,2,FALSE)</f>
        <v>3.8322462294192143</v>
      </c>
    </row>
    <row r="28" spans="1:9" ht="18.600000000000001" customHeight="1">
      <c r="A28" s="25" t="s">
        <v>192</v>
      </c>
      <c r="B28" s="26" t="s">
        <v>160</v>
      </c>
      <c r="C28" s="126" t="s">
        <v>23</v>
      </c>
      <c r="D28" s="141">
        <f t="shared" ca="1" si="0"/>
        <v>27</v>
      </c>
      <c r="E28" s="30">
        <f ca="1">VLOOKUP(A28,Rankings!B1:H651,6,FALSE)+(RAND()*0.00001)</f>
        <v>425.53334236589114</v>
      </c>
      <c r="F28" s="30">
        <f ca="1">E28-VLOOKUP(Settings!$K$6,D$2:E$139,2,FALSE)</f>
        <v>114.48334143788975</v>
      </c>
      <c r="G28" s="141">
        <f t="shared" ca="1" si="1"/>
        <v>34</v>
      </c>
      <c r="H28" s="30">
        <f ca="1">VLOOKUP(A28,Rankings!B1:H651,7,FALSE)+(RAND()*0.00001)</f>
        <v>3.1281798324502375</v>
      </c>
      <c r="I28" s="30">
        <f ca="1">H28-VLOOKUP(Settings!$K$6,G$2:H$139,2,FALSE)</f>
        <v>3.0094593039143649</v>
      </c>
    </row>
    <row r="29" spans="1:9" ht="18.600000000000001" customHeight="1">
      <c r="A29" s="25" t="s">
        <v>177</v>
      </c>
      <c r="B29" s="26" t="s">
        <v>178</v>
      </c>
      <c r="C29" s="126" t="s">
        <v>23</v>
      </c>
      <c r="D29" s="141">
        <f t="shared" ca="1" si="0"/>
        <v>28</v>
      </c>
      <c r="E29" s="30">
        <f ca="1">VLOOKUP(A29,Rankings!B1:H651,6,FALSE)+(RAND()*0.00001)</f>
        <v>425.26666793262814</v>
      </c>
      <c r="F29" s="30">
        <f ca="1">E29-VLOOKUP(Settings!$K$6,D$2:E$139,2,FALSE)</f>
        <v>114.21666700462674</v>
      </c>
      <c r="G29" s="141">
        <f t="shared" ca="1" si="1"/>
        <v>30</v>
      </c>
      <c r="H29" s="30">
        <f ca="1">VLOOKUP(A29,Rankings!B1:H651,7,FALSE)+(RAND()*0.00001)</f>
        <v>3.5868139576229989</v>
      </c>
      <c r="I29" s="30">
        <f ca="1">H29-VLOOKUP(Settings!$K$6,G$2:H$139,2,FALSE)</f>
        <v>3.4680934290871264</v>
      </c>
    </row>
    <row r="30" spans="1:9" ht="18.600000000000001" customHeight="1">
      <c r="A30" s="25" t="s">
        <v>121</v>
      </c>
      <c r="B30" s="26" t="s">
        <v>122</v>
      </c>
      <c r="C30" s="126" t="s">
        <v>23</v>
      </c>
      <c r="D30" s="141">
        <f t="shared" ca="1" si="0"/>
        <v>29</v>
      </c>
      <c r="E30" s="30">
        <f ca="1">VLOOKUP(A30,Rankings!B1:H651,6,FALSE)+(RAND()*0.00001)</f>
        <v>421.65000275145917</v>
      </c>
      <c r="F30" s="30">
        <f ca="1">E30-VLOOKUP(Settings!$K$6,D$2:E$139,2,FALSE)</f>
        <v>110.60000182345777</v>
      </c>
      <c r="G30" s="141">
        <f t="shared" ca="1" si="1"/>
        <v>15</v>
      </c>
      <c r="H30" s="30">
        <f ca="1">VLOOKUP(A30,Rankings!B1:H651,7,FALSE)+(RAND()*0.00001)</f>
        <v>5.5319851411981196</v>
      </c>
      <c r="I30" s="30">
        <f ca="1">H30-VLOOKUP(Settings!$K$6,G$2:H$139,2,FALSE)</f>
        <v>5.413264612662247</v>
      </c>
    </row>
    <row r="31" spans="1:9" ht="18.600000000000001" customHeight="1">
      <c r="A31" s="25" t="s">
        <v>175</v>
      </c>
      <c r="B31" s="26" t="s">
        <v>69</v>
      </c>
      <c r="C31" s="126" t="s">
        <v>23</v>
      </c>
      <c r="D31" s="141">
        <f t="shared" ca="1" si="0"/>
        <v>30</v>
      </c>
      <c r="E31" s="30">
        <f ca="1">VLOOKUP(A31,Rankings!B1:H651,6,FALSE)+(RAND()*0.00001)</f>
        <v>416.38334141187897</v>
      </c>
      <c r="F31" s="30">
        <f ca="1">E31-VLOOKUP(Settings!$K$6,D$2:E$139,2,FALSE)</f>
        <v>105.33334048387758</v>
      </c>
      <c r="G31" s="141">
        <f t="shared" ca="1" si="1"/>
        <v>29</v>
      </c>
      <c r="H31" s="30">
        <f ca="1">VLOOKUP(A31,Rankings!B1:H651,7,FALSE)+(RAND()*0.00001)</f>
        <v>3.6101053735245201</v>
      </c>
      <c r="I31" s="30">
        <f ca="1">H31-VLOOKUP(Settings!$K$6,G$2:H$139,2,FALSE)</f>
        <v>3.4913848449886475</v>
      </c>
    </row>
    <row r="32" spans="1:9" ht="20.100000000000001" customHeight="1">
      <c r="A32" s="25" t="s">
        <v>197</v>
      </c>
      <c r="B32" s="26" t="s">
        <v>85</v>
      </c>
      <c r="C32" s="126" t="s">
        <v>23</v>
      </c>
      <c r="D32" s="141">
        <f t="shared" ca="1" si="0"/>
        <v>31</v>
      </c>
      <c r="E32" s="30">
        <f ca="1">VLOOKUP(A32,Rankings!B1:H651,6,FALSE)+(RAND()*0.00001)</f>
        <v>415.50000524846791</v>
      </c>
      <c r="F32" s="30">
        <f ca="1">E32-VLOOKUP(Settings!$K$6,D$2:E$139,2,FALSE)</f>
        <v>104.45000432046652</v>
      </c>
      <c r="G32" s="141">
        <f t="shared" ca="1" si="1"/>
        <v>37</v>
      </c>
      <c r="H32" s="30">
        <f ca="1">VLOOKUP(A32,Rankings!B1:H651,7,FALSE)+(RAND()*0.00001)</f>
        <v>3.0118075657740175</v>
      </c>
      <c r="I32" s="30">
        <f ca="1">H32-VLOOKUP(Settings!$K$6,G$2:H$139,2,FALSE)</f>
        <v>2.893087037238145</v>
      </c>
    </row>
    <row r="33" spans="1:9" ht="20.100000000000001" customHeight="1">
      <c r="A33" s="25" t="s">
        <v>193</v>
      </c>
      <c r="B33" s="26" t="s">
        <v>105</v>
      </c>
      <c r="C33" s="126" t="s">
        <v>23</v>
      </c>
      <c r="D33" s="141">
        <f t="shared" ca="1" si="0"/>
        <v>32</v>
      </c>
      <c r="E33" s="30">
        <f ca="1">VLOOKUP(A33,Rankings!B1:H651,6,FALSE)+(RAND()*0.00001)</f>
        <v>413.2500063625975</v>
      </c>
      <c r="F33" s="30">
        <f ca="1">E33-VLOOKUP(Settings!$K$6,D$2:E$139,2,FALSE)</f>
        <v>102.20000543459611</v>
      </c>
      <c r="G33" s="141">
        <f t="shared" ca="1" si="1"/>
        <v>35</v>
      </c>
      <c r="H33" s="30">
        <f ca="1">VLOOKUP(A33,Rankings!B1:H651,7,FALSE)+(RAND()*0.00001)</f>
        <v>3.1218027879994796</v>
      </c>
      <c r="I33" s="30">
        <f ca="1">H33-VLOOKUP(Settings!$K$6,G$2:H$139,2,FALSE)</f>
        <v>3.0030822594636071</v>
      </c>
    </row>
    <row r="34" spans="1:9" ht="18.600000000000001" customHeight="1">
      <c r="A34" s="25" t="s">
        <v>141</v>
      </c>
      <c r="B34" s="26" t="s">
        <v>142</v>
      </c>
      <c r="C34" s="126" t="s">
        <v>23</v>
      </c>
      <c r="D34" s="141">
        <f t="shared" ref="D34:D65" ca="1" si="2">RANK(E34,E$2:E$139)</f>
        <v>33</v>
      </c>
      <c r="E34" s="30">
        <f ca="1">VLOOKUP(A34,Rankings!B1:H651,6,FALSE)+(RAND()*0.00001)</f>
        <v>411.17000722170462</v>
      </c>
      <c r="F34" s="30">
        <f ca="1">E34-VLOOKUP(Settings!$K$6,D$2:E$139,2,FALSE)</f>
        <v>100.12000629370323</v>
      </c>
      <c r="G34" s="141">
        <f t="shared" ref="G34:G65" ca="1" si="3">RANK(H34,H$2:H$139)</f>
        <v>21</v>
      </c>
      <c r="H34" s="30">
        <f ca="1">VLOOKUP(A34,Rankings!B1:H651,7,FALSE)+(RAND()*0.00001)</f>
        <v>4.8848277026204876</v>
      </c>
      <c r="I34" s="30">
        <f ca="1">H34-VLOOKUP(Settings!$K$6,G$2:H$139,2,FALSE)</f>
        <v>4.766107174084615</v>
      </c>
    </row>
    <row r="35" spans="1:9" ht="18.600000000000001" customHeight="1">
      <c r="A35" s="25" t="s">
        <v>189</v>
      </c>
      <c r="B35" s="26" t="s">
        <v>92</v>
      </c>
      <c r="C35" s="126" t="s">
        <v>23</v>
      </c>
      <c r="D35" s="141">
        <f t="shared" ca="1" si="2"/>
        <v>34</v>
      </c>
      <c r="E35" s="30">
        <f ca="1">VLOOKUP(A35,Rankings!B1:H651,6,FALSE)+(RAND()*0.00001)</f>
        <v>410.88333592897624</v>
      </c>
      <c r="F35" s="30">
        <f ca="1">E35-VLOOKUP(Settings!$K$6,D$2:E$139,2,FALSE)</f>
        <v>99.833335000974841</v>
      </c>
      <c r="G35" s="141">
        <f t="shared" ca="1" si="3"/>
        <v>33</v>
      </c>
      <c r="H35" s="30">
        <f ca="1">VLOOKUP(A35,Rankings!B1:H651,7,FALSE)+(RAND()*0.00001)</f>
        <v>3.3137753020448653</v>
      </c>
      <c r="I35" s="30">
        <f ca="1">H35-VLOOKUP(Settings!$K$6,G$2:H$139,2,FALSE)</f>
        <v>3.1950547735089927</v>
      </c>
    </row>
    <row r="36" spans="1:9" ht="18.600000000000001" customHeight="1">
      <c r="A36" s="25" t="s">
        <v>180</v>
      </c>
      <c r="B36" s="26" t="s">
        <v>122</v>
      </c>
      <c r="C36" s="126" t="s">
        <v>23</v>
      </c>
      <c r="D36" s="141">
        <f t="shared" ca="1" si="2"/>
        <v>35</v>
      </c>
      <c r="E36" s="30">
        <f ca="1">VLOOKUP(A36,Rankings!B1:H651,6,FALSE)+(RAND()*0.00001)</f>
        <v>410.3000027407341</v>
      </c>
      <c r="F36" s="30">
        <f ca="1">E36-VLOOKUP(Settings!$K$6,D$2:E$139,2,FALSE)</f>
        <v>99.250001812732705</v>
      </c>
      <c r="G36" s="141">
        <f t="shared" ca="1" si="3"/>
        <v>31</v>
      </c>
      <c r="H36" s="30">
        <f ca="1">VLOOKUP(A36,Rankings!B1:H651,7,FALSE)+(RAND()*0.00001)</f>
        <v>3.5238785922978919</v>
      </c>
      <c r="I36" s="30">
        <f ca="1">H36-VLOOKUP(Settings!$K$6,G$2:H$139,2,FALSE)</f>
        <v>3.4051580637620193</v>
      </c>
    </row>
    <row r="37" spans="1:9" ht="18.600000000000001" customHeight="1">
      <c r="A37" s="25" t="s">
        <v>157</v>
      </c>
      <c r="B37" s="26" t="s">
        <v>158</v>
      </c>
      <c r="C37" s="126" t="s">
        <v>23</v>
      </c>
      <c r="D37" s="141">
        <f t="shared" ca="1" si="2"/>
        <v>36</v>
      </c>
      <c r="E37" s="30">
        <f ca="1">VLOOKUP(A37,Rankings!B1:H651,6,FALSE)+(RAND()*0.00001)</f>
        <v>410.0000045362375</v>
      </c>
      <c r="F37" s="30">
        <f ca="1">E37-VLOOKUP(Settings!$K$6,D$2:E$139,2,FALSE)</f>
        <v>98.950003608236102</v>
      </c>
      <c r="G37" s="141">
        <f t="shared" ca="1" si="3"/>
        <v>24</v>
      </c>
      <c r="H37" s="30">
        <f ca="1">VLOOKUP(A37,Rankings!B1:H651,7,FALSE)+(RAND()*0.00001)</f>
        <v>3.9629583860981312</v>
      </c>
      <c r="I37" s="30">
        <f ca="1">H37-VLOOKUP(Settings!$K$6,G$2:H$139,2,FALSE)</f>
        <v>3.8442378575622587</v>
      </c>
    </row>
    <row r="38" spans="1:9" ht="18.600000000000001" customHeight="1">
      <c r="A38" s="25" t="s">
        <v>151</v>
      </c>
      <c r="B38" s="26" t="s">
        <v>125</v>
      </c>
      <c r="C38" s="126" t="s">
        <v>23</v>
      </c>
      <c r="D38" s="141">
        <f t="shared" ca="1" si="2"/>
        <v>37</v>
      </c>
      <c r="E38" s="30">
        <f ca="1">VLOOKUP(A38,Rankings!B1:H651,6,FALSE)+(RAND()*0.00001)</f>
        <v>397.85000321321513</v>
      </c>
      <c r="F38" s="30">
        <f ca="1">E38-VLOOKUP(Settings!$K$6,D$2:E$139,2,FALSE)</f>
        <v>86.800002285213736</v>
      </c>
      <c r="G38" s="141">
        <f t="shared" ca="1" si="3"/>
        <v>23</v>
      </c>
      <c r="H38" s="30">
        <f ca="1">VLOOKUP(A38,Rankings!B1:H651,7,FALSE)+(RAND()*0.00001)</f>
        <v>4.2327353394737299</v>
      </c>
      <c r="I38" s="30">
        <f ca="1">H38-VLOOKUP(Settings!$K$6,G$2:H$139,2,FALSE)</f>
        <v>4.1140148109378574</v>
      </c>
    </row>
    <row r="39" spans="1:9" ht="18.600000000000001" customHeight="1">
      <c r="A39" s="25" t="s">
        <v>214</v>
      </c>
      <c r="B39" s="26" t="s">
        <v>178</v>
      </c>
      <c r="C39" s="126" t="s">
        <v>23</v>
      </c>
      <c r="D39" s="141">
        <f t="shared" ca="1" si="2"/>
        <v>38</v>
      </c>
      <c r="E39" s="30">
        <f ca="1">VLOOKUP(A39,Rankings!B1:H651,6,FALSE)+(RAND()*0.00001)</f>
        <v>388.1333383170857</v>
      </c>
      <c r="F39" s="30">
        <f ca="1">E39-VLOOKUP(Settings!$K$6,D$2:E$139,2,FALSE)</f>
        <v>77.083337389084306</v>
      </c>
      <c r="G39" s="141">
        <f t="shared" ca="1" si="3"/>
        <v>40</v>
      </c>
      <c r="H39" s="30">
        <f ca="1">VLOOKUP(A39,Rankings!B1:H651,7,FALSE)+(RAND()*0.00001)</f>
        <v>2.3532522183241067</v>
      </c>
      <c r="I39" s="30">
        <f ca="1">H39-VLOOKUP(Settings!$K$6,G$2:H$139,2,FALSE)</f>
        <v>2.2345316897882341</v>
      </c>
    </row>
    <row r="40" spans="1:9" ht="18.600000000000001" customHeight="1">
      <c r="A40" s="25" t="s">
        <v>237</v>
      </c>
      <c r="B40" s="26" t="s">
        <v>101</v>
      </c>
      <c r="C40" s="126" t="s">
        <v>23</v>
      </c>
      <c r="D40" s="141">
        <f t="shared" ca="1" si="2"/>
        <v>39</v>
      </c>
      <c r="E40" s="30">
        <f ca="1">VLOOKUP(A40,Rankings!B1:H651,6,FALSE)+(RAND()*0.00001)</f>
        <v>388.01666863318491</v>
      </c>
      <c r="F40" s="30">
        <f ca="1">E40-VLOOKUP(Settings!$K$6,D$2:E$139,2,FALSE)</f>
        <v>76.966667705183511</v>
      </c>
      <c r="G40" s="141">
        <f t="shared" ca="1" si="3"/>
        <v>45</v>
      </c>
      <c r="H40" s="30">
        <f ca="1">VLOOKUP(A40,Rankings!B1:H651,7,FALSE)+(RAND()*0.00001)</f>
        <v>1.877593876669865</v>
      </c>
      <c r="I40" s="30">
        <f ca="1">H40-VLOOKUP(Settings!$K$6,G$2:H$139,2,FALSE)</f>
        <v>1.7588733481339927</v>
      </c>
    </row>
    <row r="41" spans="1:9" ht="18.600000000000001" customHeight="1">
      <c r="A41" s="25" t="s">
        <v>218</v>
      </c>
      <c r="B41" s="26" t="s">
        <v>219</v>
      </c>
      <c r="C41" s="126" t="s">
        <v>23</v>
      </c>
      <c r="D41" s="141">
        <f t="shared" ca="1" si="2"/>
        <v>40</v>
      </c>
      <c r="E41" s="30">
        <f ca="1">VLOOKUP(A41,Rankings!B1:H651,6,FALSE)+(RAND()*0.00001)</f>
        <v>383.71667348578319</v>
      </c>
      <c r="F41" s="30">
        <f ca="1">E41-VLOOKUP(Settings!$K$6,D$2:E$139,2,FALSE)</f>
        <v>72.666672557781794</v>
      </c>
      <c r="G41" s="141">
        <f t="shared" ca="1" si="3"/>
        <v>42</v>
      </c>
      <c r="H41" s="30">
        <f ca="1">VLOOKUP(A41,Rankings!B1:H651,7,FALSE)+(RAND()*0.00001)</f>
        <v>2.322054879470727</v>
      </c>
      <c r="I41" s="30">
        <f ca="1">H41-VLOOKUP(Settings!$K$6,G$2:H$139,2,FALSE)</f>
        <v>2.2033343509348544</v>
      </c>
    </row>
    <row r="42" spans="1:9" ht="18.600000000000001" customHeight="1">
      <c r="A42" s="25" t="s">
        <v>279</v>
      </c>
      <c r="B42" s="26" t="s">
        <v>219</v>
      </c>
      <c r="C42" s="126" t="s">
        <v>23</v>
      </c>
      <c r="D42" s="141">
        <f t="shared" ca="1" si="2"/>
        <v>41</v>
      </c>
      <c r="E42" s="30">
        <f ca="1">VLOOKUP(A42,Rankings!B1:H651,6,FALSE)+(RAND()*0.00001)</f>
        <v>383.68334114075924</v>
      </c>
      <c r="F42" s="30">
        <f ca="1">E42-VLOOKUP(Settings!$K$6,D$2:E$139,2,FALSE)</f>
        <v>72.633340212757844</v>
      </c>
      <c r="G42" s="141">
        <f t="shared" ca="1" si="3"/>
        <v>51</v>
      </c>
      <c r="H42" s="30">
        <f ca="1">VLOOKUP(A42,Rankings!B1:H651,7,FALSE)+(RAND()*0.00001)</f>
        <v>0.96552385521386119</v>
      </c>
      <c r="I42" s="30">
        <f ca="1">H42-VLOOKUP(Settings!$K$6,G$2:H$139,2,FALSE)</f>
        <v>0.84680332667798885</v>
      </c>
    </row>
    <row r="43" spans="1:9" ht="18.600000000000001" customHeight="1">
      <c r="A43" s="25" t="s">
        <v>206</v>
      </c>
      <c r="B43" s="26" t="s">
        <v>77</v>
      </c>
      <c r="C43" s="126" t="s">
        <v>23</v>
      </c>
      <c r="D43" s="141">
        <f t="shared" ca="1" si="2"/>
        <v>42</v>
      </c>
      <c r="E43" s="30">
        <f ca="1">VLOOKUP(A43,Rankings!B1:H651,6,FALSE)+(RAND()*0.00001)</f>
        <v>378.48334127739741</v>
      </c>
      <c r="F43" s="30">
        <f ca="1">E43-VLOOKUP(Settings!$K$6,D$2:E$139,2,FALSE)</f>
        <v>67.433340349396019</v>
      </c>
      <c r="G43" s="141">
        <f t="shared" ca="1" si="3"/>
        <v>38</v>
      </c>
      <c r="H43" s="30">
        <f ca="1">VLOOKUP(A43,Rankings!B1:H651,7,FALSE)+(RAND()*0.00001)</f>
        <v>2.5699236398564227</v>
      </c>
      <c r="I43" s="30">
        <f ca="1">H43-VLOOKUP(Settings!$K$6,G$2:H$139,2,FALSE)</f>
        <v>2.4512031113205501</v>
      </c>
    </row>
    <row r="44" spans="1:9" ht="18.600000000000001" customHeight="1">
      <c r="A44" s="25" t="s">
        <v>217</v>
      </c>
      <c r="B44" s="26" t="s">
        <v>122</v>
      </c>
      <c r="C44" s="126" t="s">
        <v>23</v>
      </c>
      <c r="D44" s="141">
        <f t="shared" ca="1" si="2"/>
        <v>43</v>
      </c>
      <c r="E44" s="30">
        <f ca="1">VLOOKUP(A44,Rankings!B1:H651,6,FALSE)+(RAND()*0.00001)</f>
        <v>378.31667664489783</v>
      </c>
      <c r="F44" s="30">
        <f ca="1">E44-VLOOKUP(Settings!$K$6,D$2:E$139,2,FALSE)</f>
        <v>67.26667571689643</v>
      </c>
      <c r="G44" s="141">
        <f t="shared" ca="1" si="3"/>
        <v>41</v>
      </c>
      <c r="H44" s="30">
        <f ca="1">VLOOKUP(A44,Rankings!B1:H651,7,FALSE)+(RAND()*0.00001)</f>
        <v>2.3364510933607425</v>
      </c>
      <c r="I44" s="30">
        <f ca="1">H44-VLOOKUP(Settings!$K$6,G$2:H$139,2,FALSE)</f>
        <v>2.21773056482487</v>
      </c>
    </row>
    <row r="45" spans="1:9" ht="18.600000000000001" customHeight="1">
      <c r="A45" s="25" t="s">
        <v>220</v>
      </c>
      <c r="B45" s="26" t="s">
        <v>116</v>
      </c>
      <c r="C45" s="126" t="s">
        <v>23</v>
      </c>
      <c r="D45" s="141">
        <f t="shared" ca="1" si="2"/>
        <v>44</v>
      </c>
      <c r="E45" s="30">
        <f ca="1">VLOOKUP(A45,Rankings!B1:H651,6,FALSE)+(RAND()*0.00001)</f>
        <v>378.2833374041831</v>
      </c>
      <c r="F45" s="30">
        <f ca="1">E45-VLOOKUP(Settings!$K$6,D$2:E$139,2,FALSE)</f>
        <v>67.233336476181705</v>
      </c>
      <c r="G45" s="141">
        <f t="shared" ca="1" si="3"/>
        <v>43</v>
      </c>
      <c r="H45" s="30">
        <f ca="1">VLOOKUP(A45,Rankings!B1:H651,7,FALSE)+(RAND()*0.00001)</f>
        <v>2.3150253286913727</v>
      </c>
      <c r="I45" s="30">
        <f ca="1">H45-VLOOKUP(Settings!$K$6,G$2:H$139,2,FALSE)</f>
        <v>2.1963048001555001</v>
      </c>
    </row>
    <row r="46" spans="1:9" ht="18.600000000000001" customHeight="1">
      <c r="A46" s="25" t="s">
        <v>295</v>
      </c>
      <c r="B46" s="26" t="s">
        <v>125</v>
      </c>
      <c r="C46" s="126" t="s">
        <v>23</v>
      </c>
      <c r="D46" s="141">
        <f t="shared" ca="1" si="2"/>
        <v>45</v>
      </c>
      <c r="E46" s="30">
        <f ca="1">VLOOKUP(A46,Rankings!B1:H651,6,FALSE)+(RAND()*0.00001)</f>
        <v>365.66666747615983</v>
      </c>
      <c r="F46" s="30">
        <f ca="1">E46-VLOOKUP(Settings!$K$6,D$2:E$139,2,FALSE)</f>
        <v>54.616666548158435</v>
      </c>
      <c r="G46" s="141">
        <f t="shared" ca="1" si="3"/>
        <v>56</v>
      </c>
      <c r="H46" s="30">
        <f ca="1">VLOOKUP(A46,Rankings!B1:H651,7,FALSE)+(RAND()*0.00001)</f>
        <v>0.64708957679815704</v>
      </c>
      <c r="I46" s="30">
        <f ca="1">H46-VLOOKUP(Settings!$K$6,G$2:H$139,2,FALSE)</f>
        <v>0.5283690482622847</v>
      </c>
    </row>
    <row r="47" spans="1:9" ht="18.600000000000001" customHeight="1">
      <c r="A47" s="25" t="s">
        <v>207</v>
      </c>
      <c r="B47" s="26" t="s">
        <v>69</v>
      </c>
      <c r="C47" s="126" t="s">
        <v>23</v>
      </c>
      <c r="D47" s="141">
        <f t="shared" ca="1" si="2"/>
        <v>46</v>
      </c>
      <c r="E47" s="30">
        <f ca="1">VLOOKUP(A47,Rankings!B1:H651,6,FALSE)+(RAND()*0.00001)</f>
        <v>364.12500479094973</v>
      </c>
      <c r="F47" s="30">
        <f ca="1">E47-VLOOKUP(Settings!$K$6,D$2:E$139,2,FALSE)</f>
        <v>53.075003862948336</v>
      </c>
      <c r="G47" s="141">
        <f t="shared" ca="1" si="3"/>
        <v>39</v>
      </c>
      <c r="H47" s="30">
        <f ca="1">VLOOKUP(A47,Rankings!B1:H651,7,FALSE)+(RAND()*0.00001)</f>
        <v>2.5368279637359152</v>
      </c>
      <c r="I47" s="30">
        <f ca="1">H47-VLOOKUP(Settings!$K$6,G$2:H$139,2,FALSE)</f>
        <v>2.4181074352000427</v>
      </c>
    </row>
    <row r="48" spans="1:9" ht="18.600000000000001" customHeight="1">
      <c r="A48" s="25" t="s">
        <v>259</v>
      </c>
      <c r="B48" s="26" t="s">
        <v>260</v>
      </c>
      <c r="C48" s="126" t="s">
        <v>23</v>
      </c>
      <c r="D48" s="141">
        <f t="shared" ca="1" si="2"/>
        <v>47</v>
      </c>
      <c r="E48" s="30">
        <f ca="1">VLOOKUP(A48,Rankings!B1:H651,6,FALSE)+(RAND()*0.00001)</f>
        <v>363.98334064702061</v>
      </c>
      <c r="F48" s="30">
        <f ca="1">E48-VLOOKUP(Settings!$K$6,D$2:E$139,2,FALSE)</f>
        <v>52.933339719019216</v>
      </c>
      <c r="G48" s="141">
        <f t="shared" ca="1" si="3"/>
        <v>47</v>
      </c>
      <c r="H48" s="30">
        <f ca="1">VLOOKUP(A48,Rankings!B1:H651,7,FALSE)+(RAND()*0.00001)</f>
        <v>1.3432244091001184</v>
      </c>
      <c r="I48" s="30">
        <f ca="1">H48-VLOOKUP(Settings!$K$6,G$2:H$139,2,FALSE)</f>
        <v>1.2245038805642461</v>
      </c>
    </row>
    <row r="49" spans="1:9" ht="18.600000000000001" customHeight="1">
      <c r="A49" s="25" t="s">
        <v>231</v>
      </c>
      <c r="B49" s="26" t="s">
        <v>178</v>
      </c>
      <c r="C49" s="126" t="s">
        <v>23</v>
      </c>
      <c r="D49" s="141">
        <f t="shared" ca="1" si="2"/>
        <v>48</v>
      </c>
      <c r="E49" s="30">
        <f ca="1">VLOOKUP(A49,Rankings!B1:H651,6,FALSE)+(RAND()*0.00001)</f>
        <v>360.35000746888477</v>
      </c>
      <c r="F49" s="30">
        <f ca="1">E49-VLOOKUP(Settings!$K$6,D$2:E$139,2,FALSE)</f>
        <v>49.300006540883373</v>
      </c>
      <c r="G49" s="141">
        <f t="shared" ca="1" si="3"/>
        <v>44</v>
      </c>
      <c r="H49" s="30">
        <f ca="1">VLOOKUP(A49,Rankings!B1:H651,7,FALSE)+(RAND()*0.00001)</f>
        <v>2.006078490998743</v>
      </c>
      <c r="I49" s="30">
        <f ca="1">H49-VLOOKUP(Settings!$K$6,G$2:H$139,2,FALSE)</f>
        <v>1.8873579624628707</v>
      </c>
    </row>
    <row r="50" spans="1:9" ht="18.600000000000001" customHeight="1">
      <c r="A50" s="25" t="s">
        <v>283</v>
      </c>
      <c r="B50" s="26" t="s">
        <v>97</v>
      </c>
      <c r="C50" s="126" t="s">
        <v>23</v>
      </c>
      <c r="D50" s="141">
        <f t="shared" ca="1" si="2"/>
        <v>49</v>
      </c>
      <c r="E50" s="30">
        <f ca="1">VLOOKUP(A50,Rankings!B1:H651,6,FALSE)+(RAND()*0.00001)</f>
        <v>360.20000444398937</v>
      </c>
      <c r="F50" s="30">
        <f ca="1">E50-VLOOKUP(Settings!$K$6,D$2:E$139,2,FALSE)</f>
        <v>49.150003515987976</v>
      </c>
      <c r="G50" s="141">
        <f t="shared" ca="1" si="3"/>
        <v>53</v>
      </c>
      <c r="H50" s="30">
        <f ca="1">VLOOKUP(A50,Rankings!B1:H651,7,FALSE)+(RAND()*0.00001)</f>
        <v>0.88277379586730875</v>
      </c>
      <c r="I50" s="30">
        <f ca="1">H50-VLOOKUP(Settings!$K$6,G$2:H$139,2,FALSE)</f>
        <v>0.76405326733143641</v>
      </c>
    </row>
    <row r="51" spans="1:9" ht="18.600000000000001" customHeight="1">
      <c r="A51" s="25" t="s">
        <v>282</v>
      </c>
      <c r="B51" s="26" t="s">
        <v>219</v>
      </c>
      <c r="C51" s="126" t="s">
        <v>23</v>
      </c>
      <c r="D51" s="141">
        <f t="shared" ca="1" si="2"/>
        <v>50</v>
      </c>
      <c r="E51" s="30">
        <f ca="1">VLOOKUP(A51,Rankings!B1:H651,6,FALSE)+(RAND()*0.00001)</f>
        <v>357.66666844671278</v>
      </c>
      <c r="F51" s="30">
        <f ca="1">E51-VLOOKUP(Settings!$K$6,D$2:E$139,2,FALSE)</f>
        <v>46.616667518711381</v>
      </c>
      <c r="G51" s="141">
        <f t="shared" ca="1" si="3"/>
        <v>52</v>
      </c>
      <c r="H51" s="30">
        <f ca="1">VLOOKUP(A51,Rankings!B1:H651,7,FALSE)+(RAND()*0.00001)</f>
        <v>0.94078494861782769</v>
      </c>
      <c r="I51" s="30">
        <f ca="1">H51-VLOOKUP(Settings!$K$6,G$2:H$139,2,FALSE)</f>
        <v>0.82206442008195535</v>
      </c>
    </row>
    <row r="52" spans="1:9" ht="18.600000000000001" customHeight="1">
      <c r="A52" s="25" t="s">
        <v>290</v>
      </c>
      <c r="B52" s="26" t="s">
        <v>64</v>
      </c>
      <c r="C52" s="126" t="s">
        <v>23</v>
      </c>
      <c r="D52" s="141">
        <f t="shared" ca="1" si="2"/>
        <v>51</v>
      </c>
      <c r="E52" s="30">
        <f ca="1">VLOOKUP(A52,Rankings!B1:H651,6,FALSE)+(RAND()*0.00001)</f>
        <v>355.7500069314795</v>
      </c>
      <c r="F52" s="30">
        <f ca="1">E52-VLOOKUP(Settings!$K$6,D$2:E$139,2,FALSE)</f>
        <v>44.700006003478109</v>
      </c>
      <c r="G52" s="141">
        <f t="shared" ca="1" si="3"/>
        <v>54</v>
      </c>
      <c r="H52" s="30">
        <f ca="1">VLOOKUP(A52,Rankings!B1:H651,7,FALSE)+(RAND()*0.00001)</f>
        <v>0.75129549215505398</v>
      </c>
      <c r="I52" s="30">
        <f ca="1">H52-VLOOKUP(Settings!$K$6,G$2:H$139,2,FALSE)</f>
        <v>0.63257496361918164</v>
      </c>
    </row>
    <row r="53" spans="1:9" ht="18.600000000000001" customHeight="1">
      <c r="A53" s="25" t="s">
        <v>314</v>
      </c>
      <c r="B53" s="26" t="s">
        <v>260</v>
      </c>
      <c r="C53" s="126" t="s">
        <v>23</v>
      </c>
      <c r="D53" s="141">
        <f t="shared" ca="1" si="2"/>
        <v>52</v>
      </c>
      <c r="E53" s="30">
        <f ca="1">VLOOKUP(A53,Rankings!B1:H651,6,FALSE)+(RAND()*0.00001)</f>
        <v>354.81667096409586</v>
      </c>
      <c r="F53" s="30">
        <f ca="1">E53-VLOOKUP(Settings!$K$6,D$2:E$139,2,FALSE)</f>
        <v>43.766670036094467</v>
      </c>
      <c r="G53" s="141">
        <f t="shared" ca="1" si="3"/>
        <v>63</v>
      </c>
      <c r="H53" s="30">
        <f ca="1">VLOOKUP(A53,Rankings!B1:H651,7,FALSE)+(RAND()*0.00001)</f>
        <v>0.37470917567987339</v>
      </c>
      <c r="I53" s="30">
        <f ca="1">H53-VLOOKUP(Settings!$K$6,G$2:H$139,2,FALSE)</f>
        <v>0.25598864714400099</v>
      </c>
    </row>
    <row r="54" spans="1:9" ht="20.100000000000001" customHeight="1">
      <c r="A54" s="25" t="s">
        <v>311</v>
      </c>
      <c r="B54" s="26" t="s">
        <v>99</v>
      </c>
      <c r="C54" s="126" t="s">
        <v>23</v>
      </c>
      <c r="D54" s="141">
        <f t="shared" ca="1" si="2"/>
        <v>53</v>
      </c>
      <c r="E54" s="30">
        <f ca="1">VLOOKUP(A54,Rankings!B1:H651,6,FALSE)+(RAND()*0.00001)</f>
        <v>354.13333480593855</v>
      </c>
      <c r="F54" s="30">
        <f ca="1">E54-VLOOKUP(Settings!$K$6,D$2:E$139,2,FALSE)</f>
        <v>43.08333387793715</v>
      </c>
      <c r="G54" s="141">
        <f t="shared" ca="1" si="3"/>
        <v>62</v>
      </c>
      <c r="H54" s="30">
        <f ca="1">VLOOKUP(A54,Rankings!B1:H651,7,FALSE)+(RAND()*0.00001)</f>
        <v>0.42171607773733755</v>
      </c>
      <c r="I54" s="30">
        <f ca="1">H54-VLOOKUP(Settings!$K$6,G$2:H$139,2,FALSE)</f>
        <v>0.30299554920146515</v>
      </c>
    </row>
    <row r="55" spans="1:9" ht="18.600000000000001" customHeight="1">
      <c r="A55" s="25" t="s">
        <v>252</v>
      </c>
      <c r="B55" s="26" t="s">
        <v>142</v>
      </c>
      <c r="C55" s="126" t="s">
        <v>23</v>
      </c>
      <c r="D55" s="141">
        <f t="shared" ca="1" si="2"/>
        <v>54</v>
      </c>
      <c r="E55" s="30">
        <f ca="1">VLOOKUP(A55,Rankings!B1:H651,6,FALSE)+(RAND()*0.00001)</f>
        <v>353.90000314551128</v>
      </c>
      <c r="F55" s="30">
        <f ca="1">E55-VLOOKUP(Settings!$K$6,D$2:E$139,2,FALSE)</f>
        <v>42.850002217509882</v>
      </c>
      <c r="G55" s="141">
        <f t="shared" ca="1" si="3"/>
        <v>46</v>
      </c>
      <c r="H55" s="30">
        <f ca="1">VLOOKUP(A55,Rankings!B1:H651,7,FALSE)+(RAND()*0.00001)</f>
        <v>1.4879570744340036</v>
      </c>
      <c r="I55" s="30">
        <f ca="1">H55-VLOOKUP(Settings!$K$6,G$2:H$139,2,FALSE)</f>
        <v>1.3692365458981313</v>
      </c>
    </row>
    <row r="56" spans="1:9" ht="18.600000000000001" customHeight="1">
      <c r="A56" s="25" t="s">
        <v>261</v>
      </c>
      <c r="B56" s="26" t="s">
        <v>219</v>
      </c>
      <c r="C56" s="126" t="s">
        <v>23</v>
      </c>
      <c r="D56" s="141">
        <f t="shared" ca="1" si="2"/>
        <v>55</v>
      </c>
      <c r="E56" s="30">
        <f ca="1">VLOOKUP(A56,Rankings!B1:H651,6,FALSE)+(RAND()*0.00001)</f>
        <v>351.55000625848839</v>
      </c>
      <c r="F56" s="30">
        <f ca="1">E56-VLOOKUP(Settings!$K$6,D$2:E$139,2,FALSE)</f>
        <v>40.500005330486999</v>
      </c>
      <c r="G56" s="141">
        <f t="shared" ca="1" si="3"/>
        <v>48</v>
      </c>
      <c r="H56" s="30">
        <f ca="1">VLOOKUP(A56,Rankings!B1:H651,7,FALSE)+(RAND()*0.00001)</f>
        <v>1.318611858163647</v>
      </c>
      <c r="I56" s="30">
        <f ca="1">H56-VLOOKUP(Settings!$K$6,G$2:H$139,2,FALSE)</f>
        <v>1.1998913296277747</v>
      </c>
    </row>
    <row r="57" spans="1:9" ht="20.100000000000001" customHeight="1">
      <c r="A57" s="25" t="s">
        <v>326</v>
      </c>
      <c r="B57" s="26" t="s">
        <v>136</v>
      </c>
      <c r="C57" s="126" t="s">
        <v>23</v>
      </c>
      <c r="D57" s="141">
        <f t="shared" ca="1" si="2"/>
        <v>56</v>
      </c>
      <c r="E57" s="30">
        <f ca="1">VLOOKUP(A57,Rankings!B1:H651,6,FALSE)+(RAND()*0.00001)</f>
        <v>350.71667334365196</v>
      </c>
      <c r="F57" s="30">
        <f ca="1">E57-VLOOKUP(Settings!$K$6,D$2:E$139,2,FALSE)</f>
        <v>39.666672415650567</v>
      </c>
      <c r="G57" s="141">
        <f t="shared" ca="1" si="3"/>
        <v>67</v>
      </c>
      <c r="H57" s="30">
        <f ca="1">VLOOKUP(A57,Rankings!B1:H651,7,FALSE)+(RAND()*0.00001)</f>
        <v>0.18039705882089235</v>
      </c>
      <c r="I57" s="30">
        <f ca="1">H57-VLOOKUP(Settings!$K$6,G$2:H$139,2,FALSE)</f>
        <v>6.1676530285019973E-2</v>
      </c>
    </row>
    <row r="58" spans="1:9" ht="18.600000000000001" customHeight="1">
      <c r="A58" s="25" t="s">
        <v>297</v>
      </c>
      <c r="B58" s="26" t="s">
        <v>160</v>
      </c>
      <c r="C58" s="126" t="s">
        <v>23</v>
      </c>
      <c r="D58" s="141">
        <f t="shared" ca="1" si="2"/>
        <v>57</v>
      </c>
      <c r="E58" s="30">
        <f ca="1">VLOOKUP(A58,Rankings!B1:H651,6,FALSE)+(RAND()*0.00001)</f>
        <v>347.46667617238563</v>
      </c>
      <c r="F58" s="30">
        <f ca="1">E58-VLOOKUP(Settings!$K$6,D$2:E$139,2,FALSE)</f>
        <v>36.416675244384237</v>
      </c>
      <c r="G58" s="141">
        <f t="shared" ca="1" si="3"/>
        <v>57</v>
      </c>
      <c r="H58" s="30">
        <f ca="1">VLOOKUP(A58,Rankings!B1:H651,7,FALSE)+(RAND()*0.00001)</f>
        <v>0.63783408833981992</v>
      </c>
      <c r="I58" s="30">
        <f ca="1">H58-VLOOKUP(Settings!$K$6,G$2:H$139,2,FALSE)</f>
        <v>0.51911355980394758</v>
      </c>
    </row>
    <row r="59" spans="1:9" ht="18.600000000000001" customHeight="1">
      <c r="A59" s="25" t="s">
        <v>307</v>
      </c>
      <c r="B59" s="26" t="s">
        <v>139</v>
      </c>
      <c r="C59" s="126" t="s">
        <v>23</v>
      </c>
      <c r="D59" s="141">
        <f t="shared" ca="1" si="2"/>
        <v>58</v>
      </c>
      <c r="E59" s="30">
        <f ca="1">VLOOKUP(A59,Rankings!B1:H651,6,FALSE)+(RAND()*0.00001)</f>
        <v>345.48333767231276</v>
      </c>
      <c r="F59" s="30">
        <f ca="1">E59-VLOOKUP(Settings!$K$6,D$2:E$139,2,FALSE)</f>
        <v>34.433336744311362</v>
      </c>
      <c r="G59" s="141">
        <f t="shared" ca="1" si="3"/>
        <v>60</v>
      </c>
      <c r="H59" s="30">
        <f ca="1">VLOOKUP(A59,Rankings!B1:H651,7,FALSE)+(RAND()*0.00001)</f>
        <v>0.47245825719300349</v>
      </c>
      <c r="I59" s="30">
        <f ca="1">H59-VLOOKUP(Settings!$K$6,G$2:H$139,2,FALSE)</f>
        <v>0.3537377286571311</v>
      </c>
    </row>
    <row r="60" spans="1:9" ht="18.600000000000001" customHeight="1">
      <c r="A60" s="25" t="s">
        <v>269</v>
      </c>
      <c r="B60" s="26" t="s">
        <v>79</v>
      </c>
      <c r="C60" s="126" t="s">
        <v>23</v>
      </c>
      <c r="D60" s="141">
        <f t="shared" ca="1" si="2"/>
        <v>59</v>
      </c>
      <c r="E60" s="30">
        <f ca="1">VLOOKUP(A60,Rankings!B1:H651,6,FALSE)+(RAND()*0.00001)</f>
        <v>343.78333867227713</v>
      </c>
      <c r="F60" s="30">
        <f ca="1">E60-VLOOKUP(Settings!$K$6,D$2:E$139,2,FALSE)</f>
        <v>32.73333774427573</v>
      </c>
      <c r="G60" s="141">
        <f t="shared" ca="1" si="3"/>
        <v>50</v>
      </c>
      <c r="H60" s="30">
        <f ca="1">VLOOKUP(A60,Rankings!B1:H651,7,FALSE)+(RAND()*0.00001)</f>
        <v>1.1322140293660428</v>
      </c>
      <c r="I60" s="30">
        <f ca="1">H60-VLOOKUP(Settings!$K$6,G$2:H$139,2,FALSE)</f>
        <v>1.0134935008301704</v>
      </c>
    </row>
    <row r="61" spans="1:9" ht="18.600000000000001" customHeight="1">
      <c r="A61" s="25" t="s">
        <v>383</v>
      </c>
      <c r="B61" s="26" t="s">
        <v>105</v>
      </c>
      <c r="C61" s="126" t="s">
        <v>23</v>
      </c>
      <c r="D61" s="141">
        <f t="shared" ca="1" si="2"/>
        <v>60</v>
      </c>
      <c r="E61" s="30">
        <f ca="1">VLOOKUP(A61,Rankings!B1:H651,6,FALSE)+(RAND()*0.00001)</f>
        <v>339.88334134986809</v>
      </c>
      <c r="F61" s="30">
        <f ca="1">E61-VLOOKUP(Settings!$K$6,D$2:E$139,2,FALSE)</f>
        <v>28.833340421866694</v>
      </c>
      <c r="G61" s="141">
        <f t="shared" ca="1" si="3"/>
        <v>80</v>
      </c>
      <c r="H61" s="30">
        <f ca="1">VLOOKUP(A61,Rankings!B1:H651,7,FALSE)+(RAND()*0.00001)</f>
        <v>-0.62286100676021439</v>
      </c>
      <c r="I61" s="30">
        <f ca="1">H61-VLOOKUP(Settings!$K$6,G$2:H$139,2,FALSE)</f>
        <v>-0.74158153529608672</v>
      </c>
    </row>
    <row r="62" spans="1:9" ht="18.600000000000001" customHeight="1">
      <c r="A62" s="25" t="s">
        <v>373</v>
      </c>
      <c r="B62" s="26" t="s">
        <v>158</v>
      </c>
      <c r="C62" s="126" t="s">
        <v>23</v>
      </c>
      <c r="D62" s="141">
        <f t="shared" ca="1" si="2"/>
        <v>61</v>
      </c>
      <c r="E62" s="30">
        <f ca="1">VLOOKUP(A62,Rankings!B1:H651,6,FALSE)+(RAND()*0.00001)</f>
        <v>339.33333982285893</v>
      </c>
      <c r="F62" s="30">
        <f ca="1">E62-VLOOKUP(Settings!$K$6,D$2:E$139,2,FALSE)</f>
        <v>28.283338894857536</v>
      </c>
      <c r="G62" s="141">
        <f t="shared" ca="1" si="3"/>
        <v>76</v>
      </c>
      <c r="H62" s="30">
        <f ca="1">VLOOKUP(A62,Rankings!B1:H651,7,FALSE)+(RAND()*0.00001)</f>
        <v>-0.4919028040903442</v>
      </c>
      <c r="I62" s="30">
        <f ca="1">H62-VLOOKUP(Settings!$K$6,G$2:H$139,2,FALSE)</f>
        <v>-0.6106233326262166</v>
      </c>
    </row>
    <row r="63" spans="1:9" ht="18.600000000000001" customHeight="1">
      <c r="A63" s="25" t="s">
        <v>308</v>
      </c>
      <c r="B63" s="26" t="s">
        <v>309</v>
      </c>
      <c r="C63" s="126" t="s">
        <v>23</v>
      </c>
      <c r="D63" s="141">
        <f t="shared" ca="1" si="2"/>
        <v>62</v>
      </c>
      <c r="E63" s="30">
        <f ca="1">VLOOKUP(A63,Rankings!B1:H651,6,FALSE)+(RAND()*0.00001)</f>
        <v>338.55000237514543</v>
      </c>
      <c r="F63" s="30">
        <f ca="1">E63-VLOOKUP(Settings!$K$6,D$2:E$139,2,FALSE)</f>
        <v>27.500001447144029</v>
      </c>
      <c r="G63" s="141">
        <f t="shared" ca="1" si="3"/>
        <v>61</v>
      </c>
      <c r="H63" s="30">
        <f ca="1">VLOOKUP(A63,Rankings!B1:H651,7,FALSE)+(RAND()*0.00001)</f>
        <v>0.43458409411689286</v>
      </c>
      <c r="I63" s="30">
        <f ca="1">H63-VLOOKUP(Settings!$K$6,G$2:H$139,2,FALSE)</f>
        <v>0.31586356558102047</v>
      </c>
    </row>
    <row r="64" spans="1:9" ht="18.600000000000001" customHeight="1">
      <c r="A64" s="25" t="s">
        <v>266</v>
      </c>
      <c r="B64" s="26" t="s">
        <v>225</v>
      </c>
      <c r="C64" s="126" t="s">
        <v>23</v>
      </c>
      <c r="D64" s="141">
        <f t="shared" ca="1" si="2"/>
        <v>63</v>
      </c>
      <c r="E64" s="30">
        <f ca="1">VLOOKUP(A64,Rankings!B1:H651,6,FALSE)+(RAND()*0.00001)</f>
        <v>335.68334148862243</v>
      </c>
      <c r="F64" s="30">
        <f ca="1">E64-VLOOKUP(Settings!$K$6,D$2:E$139,2,FALSE)</f>
        <v>24.633340560621036</v>
      </c>
      <c r="G64" s="141">
        <f t="shared" ca="1" si="3"/>
        <v>49</v>
      </c>
      <c r="H64" s="30">
        <f ca="1">VLOOKUP(A64,Rankings!B1:H651,7,FALSE)+(RAND()*0.00001)</f>
        <v>1.1949388695351046</v>
      </c>
      <c r="I64" s="30">
        <f ca="1">H64-VLOOKUP(Settings!$K$6,G$2:H$139,2,FALSE)</f>
        <v>1.0762183409992323</v>
      </c>
    </row>
    <row r="65" spans="1:9" ht="18.600000000000001" customHeight="1">
      <c r="A65" s="25" t="s">
        <v>318</v>
      </c>
      <c r="B65" s="26" t="s">
        <v>125</v>
      </c>
      <c r="C65" s="126" t="s">
        <v>23</v>
      </c>
      <c r="D65" s="141">
        <f t="shared" ca="1" si="2"/>
        <v>64</v>
      </c>
      <c r="E65" s="30">
        <f ca="1">VLOOKUP(A65,Rankings!B1:H651,6,FALSE)+(RAND()*0.00001)</f>
        <v>329.40000380675087</v>
      </c>
      <c r="F65" s="30">
        <f ca="1">E65-VLOOKUP(Settings!$K$6,D$2:E$139,2,FALSE)</f>
        <v>18.350002878749478</v>
      </c>
      <c r="G65" s="141">
        <f t="shared" ca="1" si="3"/>
        <v>64</v>
      </c>
      <c r="H65" s="30">
        <f ca="1">VLOOKUP(A65,Rankings!B1:H651,7,FALSE)+(RAND()*0.00001)</f>
        <v>0.3319977778316317</v>
      </c>
      <c r="I65" s="30">
        <f ca="1">H65-VLOOKUP(Settings!$K$6,G$2:H$139,2,FALSE)</f>
        <v>0.21327724929575931</v>
      </c>
    </row>
    <row r="66" spans="1:9" ht="18.600000000000001" customHeight="1">
      <c r="A66" s="25" t="s">
        <v>300</v>
      </c>
      <c r="B66" s="26" t="s">
        <v>103</v>
      </c>
      <c r="C66" s="126" t="s">
        <v>23</v>
      </c>
      <c r="D66" s="141">
        <f t="shared" ref="D66:D97" ca="1" si="4">RANK(E66,E$2:E$139)</f>
        <v>65</v>
      </c>
      <c r="E66" s="30">
        <f ca="1">VLOOKUP(A66,Rankings!B1:H651,6,FALSE)+(RAND()*0.00001)</f>
        <v>315.41667579961154</v>
      </c>
      <c r="F66" s="30">
        <f ca="1">E66-VLOOKUP(Settings!$K$6,D$2:E$139,2,FALSE)</f>
        <v>4.3666748716101438</v>
      </c>
      <c r="G66" s="141">
        <f t="shared" ref="G66:G97" ca="1" si="5">RANK(H66,H$2:H$139)</f>
        <v>58</v>
      </c>
      <c r="H66" s="30">
        <f ca="1">VLOOKUP(A66,Rankings!B1:H651,7,FALSE)+(RAND()*0.00001)</f>
        <v>0.59103232744177536</v>
      </c>
      <c r="I66" s="30">
        <f ca="1">H66-VLOOKUP(Settings!$K$6,G$2:H$139,2,FALSE)</f>
        <v>0.47231179890590297</v>
      </c>
    </row>
    <row r="67" spans="1:9" ht="18.600000000000001" customHeight="1">
      <c r="A67" s="25" t="s">
        <v>294</v>
      </c>
      <c r="B67" s="26" t="s">
        <v>136</v>
      </c>
      <c r="C67" s="126" t="s">
        <v>23</v>
      </c>
      <c r="D67" s="141">
        <f t="shared" ca="1" si="4"/>
        <v>66</v>
      </c>
      <c r="E67" s="30">
        <f ca="1">VLOOKUP(A67,Rankings!B1:H651,6,FALSE)+(RAND()*0.00001)</f>
        <v>315.03334276484185</v>
      </c>
      <c r="F67" s="30">
        <f ca="1">E67-VLOOKUP(Settings!$K$6,D$2:E$139,2,FALSE)</f>
        <v>3.9833418368404523</v>
      </c>
      <c r="G67" s="141">
        <f t="shared" ca="1" si="5"/>
        <v>55</v>
      </c>
      <c r="H67" s="30">
        <f ca="1">VLOOKUP(A67,Rankings!B1:H651,7,FALSE)+(RAND()*0.00001)</f>
        <v>0.65303462648082666</v>
      </c>
      <c r="I67" s="30">
        <f ca="1">H67-VLOOKUP(Settings!$K$6,G$2:H$139,2,FALSE)</f>
        <v>0.53431409794495432</v>
      </c>
    </row>
    <row r="68" spans="1:9" ht="18.600000000000001" customHeight="1">
      <c r="A68" s="25" t="s">
        <v>306</v>
      </c>
      <c r="B68" s="26" t="s">
        <v>225</v>
      </c>
      <c r="C68" s="126" t="s">
        <v>23</v>
      </c>
      <c r="D68" s="141">
        <f t="shared" ca="1" si="4"/>
        <v>67</v>
      </c>
      <c r="E68" s="30">
        <f ca="1">VLOOKUP(A68,Rankings!B1:H651,6,FALSE)+(RAND()*0.00001)</f>
        <v>314.9833406569341</v>
      </c>
      <c r="F68" s="30">
        <f ca="1">E68-VLOOKUP(Settings!$K$6,D$2:E$139,2,FALSE)</f>
        <v>3.9333397289327081</v>
      </c>
      <c r="G68" s="141">
        <f t="shared" ca="1" si="5"/>
        <v>59</v>
      </c>
      <c r="H68" s="30">
        <f ca="1">VLOOKUP(A68,Rankings!B1:H651,7,FALSE)+(RAND()*0.00001)</f>
        <v>0.47775287605919714</v>
      </c>
      <c r="I68" s="30">
        <f ca="1">H68-VLOOKUP(Settings!$K$6,G$2:H$139,2,FALSE)</f>
        <v>0.35903234752332475</v>
      </c>
    </row>
    <row r="69" spans="1:9" ht="18.600000000000001" customHeight="1">
      <c r="A69" s="25" t="s">
        <v>432</v>
      </c>
      <c r="B69" s="26" t="s">
        <v>158</v>
      </c>
      <c r="C69" s="126" t="s">
        <v>23</v>
      </c>
      <c r="D69" s="141">
        <f t="shared" ca="1" si="4"/>
        <v>68</v>
      </c>
      <c r="E69" s="30">
        <f ca="1">VLOOKUP(A69,Rankings!B1:H651,6,FALSE)+(RAND()*0.00001)</f>
        <v>311.0500009280014</v>
      </c>
      <c r="F69" s="30">
        <f ca="1">E69-VLOOKUP(Settings!$K$6,D$2:E$139,2,FALSE)</f>
        <v>0</v>
      </c>
      <c r="G69" s="141">
        <f t="shared" ca="1" si="5"/>
        <v>94</v>
      </c>
      <c r="H69" s="30">
        <f ca="1">VLOOKUP(A69,Rankings!B1:H651,7,FALSE)+(RAND()*0.00001)</f>
        <v>-1.5456629895753389</v>
      </c>
      <c r="I69" s="30">
        <f ca="1">H69-VLOOKUP(Settings!$K$6,G$2:H$139,2,FALSE)</f>
        <v>-1.6643835181112112</v>
      </c>
    </row>
    <row r="70" spans="1:9" ht="18.600000000000001" customHeight="1">
      <c r="A70" s="25" t="s">
        <v>399</v>
      </c>
      <c r="B70" s="26"/>
      <c r="C70" s="126" t="s">
        <v>23</v>
      </c>
      <c r="D70" s="141">
        <f t="shared" ca="1" si="4"/>
        <v>69</v>
      </c>
      <c r="E70" s="30">
        <f ca="1">VLOOKUP(A70,Rankings!B1:H651,6,FALSE)+(RAND()*0.00001)</f>
        <v>310.76667456913776</v>
      </c>
      <c r="F70" s="30">
        <f ca="1">E70-VLOOKUP(Settings!$K$6,D$2:E$139,2,FALSE)</f>
        <v>-0.28332635886363278</v>
      </c>
      <c r="G70" s="141">
        <f t="shared" ca="1" si="5"/>
        <v>84</v>
      </c>
      <c r="H70" s="30">
        <f ca="1">VLOOKUP(A70,Rankings!B1:H651,7,FALSE)+(RAND()*0.00001)</f>
        <v>-0.8223925122982888</v>
      </c>
      <c r="I70" s="30">
        <f ca="1">H70-VLOOKUP(Settings!$K$6,G$2:H$139,2,FALSE)</f>
        <v>-0.94111304083416114</v>
      </c>
    </row>
    <row r="71" spans="1:9" ht="18.600000000000001" customHeight="1">
      <c r="A71" s="25" t="s">
        <v>324</v>
      </c>
      <c r="B71" s="26" t="s">
        <v>77</v>
      </c>
      <c r="C71" s="126" t="s">
        <v>23</v>
      </c>
      <c r="D71" s="141">
        <f t="shared" ca="1" si="4"/>
        <v>70</v>
      </c>
      <c r="E71" s="30">
        <f ca="1">VLOOKUP(A71,Rankings!B1:H651,6,FALSE)+(RAND()*0.00001)</f>
        <v>303.11666870884602</v>
      </c>
      <c r="F71" s="30">
        <f ca="1">E71-VLOOKUP(Settings!$K$6,D$2:E$139,2,FALSE)</f>
        <v>-7.9333322191553748</v>
      </c>
      <c r="G71" s="141">
        <f t="shared" ca="1" si="5"/>
        <v>66</v>
      </c>
      <c r="H71" s="30">
        <f ca="1">VLOOKUP(A71,Rankings!B1:H651,7,FALSE)+(RAND()*0.00001)</f>
        <v>0.25693973807412257</v>
      </c>
      <c r="I71" s="30">
        <f ca="1">H71-VLOOKUP(Settings!$K$6,G$2:H$139,2,FALSE)</f>
        <v>0.13821920953825018</v>
      </c>
    </row>
    <row r="72" spans="1:9" ht="20.100000000000001" customHeight="1">
      <c r="A72" s="25" t="s">
        <v>320</v>
      </c>
      <c r="B72" s="26" t="s">
        <v>136</v>
      </c>
      <c r="C72" s="126" t="s">
        <v>23</v>
      </c>
      <c r="D72" s="141">
        <f t="shared" ca="1" si="4"/>
        <v>71</v>
      </c>
      <c r="E72" s="30">
        <f ca="1">VLOOKUP(A72,Rankings!B1:H651,6,FALSE)+(RAND()*0.00001)</f>
        <v>299.72500361368054</v>
      </c>
      <c r="F72" s="30">
        <f ca="1">E72-VLOOKUP(Settings!$K$6,D$2:E$139,2,FALSE)</f>
        <v>-11.324997314320854</v>
      </c>
      <c r="G72" s="141">
        <f t="shared" ca="1" si="5"/>
        <v>65</v>
      </c>
      <c r="H72" s="30">
        <f ca="1">VLOOKUP(A72,Rankings!B1:H651,7,FALSE)+(RAND()*0.00001)</f>
        <v>0.30970285183773316</v>
      </c>
      <c r="I72" s="30">
        <f ca="1">H72-VLOOKUP(Settings!$K$6,G$2:H$139,2,FALSE)</f>
        <v>0.19098232330186077</v>
      </c>
    </row>
    <row r="73" spans="1:9" ht="18.600000000000001" customHeight="1">
      <c r="A73" s="25" t="s">
        <v>360</v>
      </c>
      <c r="B73" s="26" t="s">
        <v>82</v>
      </c>
      <c r="C73" s="126" t="s">
        <v>23</v>
      </c>
      <c r="D73" s="141">
        <f t="shared" ca="1" si="4"/>
        <v>72</v>
      </c>
      <c r="E73" s="30">
        <f ca="1">VLOOKUP(A73,Rankings!B1:H651,6,FALSE)+(RAND()*0.00001)</f>
        <v>298.16667110593551</v>
      </c>
      <c r="F73" s="30">
        <f ca="1">E73-VLOOKUP(Settings!$K$6,D$2:E$139,2,FALSE)</f>
        <v>-12.883329822065889</v>
      </c>
      <c r="G73" s="141">
        <f t="shared" ca="1" si="5"/>
        <v>72</v>
      </c>
      <c r="H73" s="30">
        <f ca="1">VLOOKUP(A73,Rankings!B1:H651,7,FALSE)+(RAND()*0.00001)</f>
        <v>-0.17167642126279448</v>
      </c>
      <c r="I73" s="30">
        <f ca="1">H73-VLOOKUP(Settings!$K$6,G$2:H$139,2,FALSE)</f>
        <v>-0.29039694979866687</v>
      </c>
    </row>
    <row r="74" spans="1:9" ht="18.600000000000001" customHeight="1">
      <c r="A74" s="25" t="s">
        <v>358</v>
      </c>
      <c r="B74" s="26" t="s">
        <v>119</v>
      </c>
      <c r="C74" s="126" t="s">
        <v>23</v>
      </c>
      <c r="D74" s="141">
        <f t="shared" ca="1" si="4"/>
        <v>73</v>
      </c>
      <c r="E74" s="30">
        <f ca="1">VLOOKUP(A74,Rankings!B1:H651,6,FALSE)+(RAND()*0.00001)</f>
        <v>295.21667148700288</v>
      </c>
      <c r="F74" s="30">
        <f ca="1">E74-VLOOKUP(Settings!$K$6,D$2:E$139,2,FALSE)</f>
        <v>-15.833329440998511</v>
      </c>
      <c r="G74" s="141">
        <f t="shared" ca="1" si="5"/>
        <v>71</v>
      </c>
      <c r="H74" s="30">
        <f ca="1">VLOOKUP(A74,Rankings!B1:H651,7,FALSE)+(RAND()*0.00001)</f>
        <v>-0.12605794401171547</v>
      </c>
      <c r="I74" s="30">
        <f ca="1">H74-VLOOKUP(Settings!$K$6,G$2:H$139,2,FALSE)</f>
        <v>-0.24477847254758783</v>
      </c>
    </row>
    <row r="75" spans="1:9" ht="18.600000000000001" customHeight="1">
      <c r="A75" s="25" t="s">
        <v>398</v>
      </c>
      <c r="B75" s="26" t="s">
        <v>72</v>
      </c>
      <c r="C75" s="126" t="s">
        <v>23</v>
      </c>
      <c r="D75" s="141">
        <f t="shared" ca="1" si="4"/>
        <v>74</v>
      </c>
      <c r="E75" s="30">
        <f ca="1">VLOOKUP(A75,Rankings!B1:H651,6,FALSE)+(RAND()*0.00001)</f>
        <v>290.36667210133794</v>
      </c>
      <c r="F75" s="30">
        <f ca="1">E75-VLOOKUP(Settings!$K$6,D$2:E$139,2,FALSE)</f>
        <v>-20.683328826663455</v>
      </c>
      <c r="G75" s="141">
        <f t="shared" ca="1" si="5"/>
        <v>83</v>
      </c>
      <c r="H75" s="30">
        <f ca="1">VLOOKUP(A75,Rankings!B1:H651,7,FALSE)+(RAND()*0.00001)</f>
        <v>-0.81860304701975839</v>
      </c>
      <c r="I75" s="30">
        <f ca="1">H75-VLOOKUP(Settings!$K$6,G$2:H$139,2,FALSE)</f>
        <v>-0.93732357555563073</v>
      </c>
    </row>
    <row r="76" spans="1:9" ht="18.600000000000001" customHeight="1">
      <c r="A76" s="25" t="s">
        <v>330</v>
      </c>
      <c r="B76" s="26" t="s">
        <v>260</v>
      </c>
      <c r="C76" s="126" t="s">
        <v>23</v>
      </c>
      <c r="D76" s="141">
        <f t="shared" ca="1" si="4"/>
        <v>75</v>
      </c>
      <c r="E76" s="30">
        <f ca="1">VLOOKUP(A76,Rankings!B1:H651,6,FALSE)+(RAND()*0.00001)</f>
        <v>290.18334224314856</v>
      </c>
      <c r="F76" s="30">
        <f ca="1">E76-VLOOKUP(Settings!$K$6,D$2:E$139,2,FALSE)</f>
        <v>-20.866658684852837</v>
      </c>
      <c r="G76" s="141">
        <f t="shared" ca="1" si="5"/>
        <v>68</v>
      </c>
      <c r="H76" s="30">
        <f ca="1">VLOOKUP(A76,Rankings!B1:H651,7,FALSE)+(RAND()*0.00001)</f>
        <v>0.11872052853587238</v>
      </c>
      <c r="I76" s="30">
        <f ca="1">H76-VLOOKUP(Settings!$K$6,G$2:H$139,2,FALSE)</f>
        <v>0</v>
      </c>
    </row>
    <row r="77" spans="1:9" ht="18.600000000000001" customHeight="1">
      <c r="A77" s="25" t="s">
        <v>366</v>
      </c>
      <c r="B77" s="26" t="s">
        <v>74</v>
      </c>
      <c r="C77" s="126" t="s">
        <v>23</v>
      </c>
      <c r="D77" s="141">
        <f t="shared" ca="1" si="4"/>
        <v>76</v>
      </c>
      <c r="E77" s="30">
        <f ca="1">VLOOKUP(A77,Rankings!B1:H651,6,FALSE)+(RAND()*0.00001)</f>
        <v>287.72500011158689</v>
      </c>
      <c r="F77" s="30">
        <f ca="1">E77-VLOOKUP(Settings!$K$6,D$2:E$139,2,FALSE)</f>
        <v>-23.325000816414502</v>
      </c>
      <c r="G77" s="141">
        <f t="shared" ca="1" si="5"/>
        <v>73</v>
      </c>
      <c r="H77" s="30">
        <f ca="1">VLOOKUP(A77,Rankings!B1:H651,7,FALSE)+(RAND()*0.00001)</f>
        <v>-0.4210888320640882</v>
      </c>
      <c r="I77" s="30">
        <f ca="1">H77-VLOOKUP(Settings!$K$6,G$2:H$139,2,FALSE)</f>
        <v>-0.53980936059996054</v>
      </c>
    </row>
    <row r="78" spans="1:9" ht="18.600000000000001" customHeight="1">
      <c r="A78" s="25" t="s">
        <v>376</v>
      </c>
      <c r="B78" s="26" t="s">
        <v>260</v>
      </c>
      <c r="C78" s="126" t="s">
        <v>23</v>
      </c>
      <c r="D78" s="141">
        <f t="shared" ca="1" si="4"/>
        <v>77</v>
      </c>
      <c r="E78" s="30">
        <f ca="1">VLOOKUP(A78,Rankings!B1:H651,6,FALSE)+(RAND()*0.00001)</f>
        <v>282.98333713838275</v>
      </c>
      <c r="F78" s="30">
        <f ca="1">E78-VLOOKUP(Settings!$K$6,D$2:E$139,2,FALSE)</f>
        <v>-28.066663789618644</v>
      </c>
      <c r="G78" s="141">
        <f t="shared" ca="1" si="5"/>
        <v>78</v>
      </c>
      <c r="H78" s="30">
        <f ca="1">VLOOKUP(A78,Rankings!B1:H651,7,FALSE)+(RAND()*0.00001)</f>
        <v>-0.55681099843409332</v>
      </c>
      <c r="I78" s="30">
        <f ca="1">H78-VLOOKUP(Settings!$K$6,G$2:H$139,2,FALSE)</f>
        <v>-0.67553152696996566</v>
      </c>
    </row>
    <row r="79" spans="1:9" ht="18.600000000000001" customHeight="1">
      <c r="A79" s="25" t="s">
        <v>404</v>
      </c>
      <c r="B79" s="26" t="s">
        <v>99</v>
      </c>
      <c r="C79" s="126" t="s">
        <v>23</v>
      </c>
      <c r="D79" s="141">
        <f t="shared" ca="1" si="4"/>
        <v>78</v>
      </c>
      <c r="E79" s="30">
        <f ca="1">VLOOKUP(A79,Rankings!B1:H651,6,FALSE)+(RAND()*0.00001)</f>
        <v>280.26667650862191</v>
      </c>
      <c r="F79" s="30">
        <f ca="1">E79-VLOOKUP(Settings!$K$6,D$2:E$139,2,FALSE)</f>
        <v>-30.783324419379483</v>
      </c>
      <c r="G79" s="141">
        <f t="shared" ca="1" si="5"/>
        <v>87</v>
      </c>
      <c r="H79" s="30">
        <f ca="1">VLOOKUP(A79,Rankings!B1:H651,7,FALSE)+(RAND()*0.00001)</f>
        <v>-0.88969084954035016</v>
      </c>
      <c r="I79" s="30">
        <f ca="1">H79-VLOOKUP(Settings!$K$6,G$2:H$139,2,FALSE)</f>
        <v>-1.0084113780762225</v>
      </c>
    </row>
    <row r="80" spans="1:9" ht="18.600000000000001" customHeight="1">
      <c r="A80" s="25" t="s">
        <v>375</v>
      </c>
      <c r="B80" s="26" t="s">
        <v>79</v>
      </c>
      <c r="C80" s="126" t="s">
        <v>23</v>
      </c>
      <c r="D80" s="141">
        <f t="shared" ca="1" si="4"/>
        <v>79</v>
      </c>
      <c r="E80" s="30">
        <f ca="1">VLOOKUP(A80,Rankings!B1:H651,6,FALSE)+(RAND()*0.00001)</f>
        <v>278.71667310206203</v>
      </c>
      <c r="F80" s="30">
        <f ca="1">E80-VLOOKUP(Settings!$K$6,D$2:E$139,2,FALSE)</f>
        <v>-32.333327825939364</v>
      </c>
      <c r="G80" s="141">
        <f t="shared" ca="1" si="5"/>
        <v>77</v>
      </c>
      <c r="H80" s="30">
        <f ca="1">VLOOKUP(A80,Rankings!B1:H651,7,FALSE)+(RAND()*0.00001)</f>
        <v>-0.54912909910639851</v>
      </c>
      <c r="I80" s="30">
        <f ca="1">H80-VLOOKUP(Settings!$K$6,G$2:H$139,2,FALSE)</f>
        <v>-0.66784962764227085</v>
      </c>
    </row>
    <row r="81" spans="1:9" ht="18.600000000000001" customHeight="1">
      <c r="A81" s="25" t="s">
        <v>423</v>
      </c>
      <c r="B81" s="26" t="s">
        <v>139</v>
      </c>
      <c r="C81" s="126" t="s">
        <v>23</v>
      </c>
      <c r="D81" s="141">
        <f t="shared" ca="1" si="4"/>
        <v>80</v>
      </c>
      <c r="E81" s="30">
        <f ca="1">VLOOKUP(A81,Rankings!B1:H651,6,FALSE)+(RAND()*0.00001)</f>
        <v>277.58334193925458</v>
      </c>
      <c r="F81" s="30">
        <f ca="1">E81-VLOOKUP(Settings!$K$6,D$2:E$139,2,FALSE)</f>
        <v>-33.466658988746815</v>
      </c>
      <c r="G81" s="141">
        <f t="shared" ca="1" si="5"/>
        <v>92</v>
      </c>
      <c r="H81" s="30">
        <f ca="1">VLOOKUP(A81,Rankings!B1:H651,7,FALSE)+(RAND()*0.00001)</f>
        <v>-1.3986332386766516</v>
      </c>
      <c r="I81" s="30">
        <f ca="1">H81-VLOOKUP(Settings!$K$6,G$2:H$139,2,FALSE)</f>
        <v>-1.5173537672125239</v>
      </c>
    </row>
    <row r="82" spans="1:9" ht="18.600000000000001" customHeight="1">
      <c r="A82" s="25" t="s">
        <v>395</v>
      </c>
      <c r="B82" s="26" t="s">
        <v>74</v>
      </c>
      <c r="C82" s="126" t="s">
        <v>23</v>
      </c>
      <c r="D82" s="141">
        <f t="shared" ca="1" si="4"/>
        <v>81</v>
      </c>
      <c r="E82" s="30">
        <f ca="1">VLOOKUP(A82,Rankings!B1:H651,6,FALSE)+(RAND()*0.00001)</f>
        <v>277.25000480365634</v>
      </c>
      <c r="F82" s="30">
        <f ca="1">E82-VLOOKUP(Settings!$K$6,D$2:E$139,2,FALSE)</f>
        <v>-33.799996124345057</v>
      </c>
      <c r="G82" s="141">
        <f t="shared" ca="1" si="5"/>
        <v>82</v>
      </c>
      <c r="H82" s="30">
        <f ca="1">VLOOKUP(A82,Rankings!B1:H651,7,FALSE)+(RAND()*0.00001)</f>
        <v>-0.74392356683612804</v>
      </c>
      <c r="I82" s="30">
        <f ca="1">H82-VLOOKUP(Settings!$K$6,G$2:H$139,2,FALSE)</f>
        <v>-0.86264409537200037</v>
      </c>
    </row>
    <row r="83" spans="1:9" ht="18.600000000000001" customHeight="1">
      <c r="A83" s="25" t="s">
        <v>416</v>
      </c>
      <c r="B83" s="26"/>
      <c r="C83" s="126" t="s">
        <v>23</v>
      </c>
      <c r="D83" s="141">
        <f t="shared" ca="1" si="4"/>
        <v>82</v>
      </c>
      <c r="E83" s="30">
        <f ca="1">VLOOKUP(A83,Rankings!B1:H651,6,FALSE)+(RAND()*0.00001)</f>
        <v>275.93333914369492</v>
      </c>
      <c r="F83" s="30">
        <f ca="1">E83-VLOOKUP(Settings!$K$6,D$2:E$139,2,FALSE)</f>
        <v>-35.116661784306473</v>
      </c>
      <c r="G83" s="141">
        <f t="shared" ca="1" si="5"/>
        <v>89</v>
      </c>
      <c r="H83" s="30">
        <f ca="1">VLOOKUP(A83,Rankings!B1:H651,7,FALSE)+(RAND()*0.00001)</f>
        <v>-1.2187457697937703</v>
      </c>
      <c r="I83" s="30">
        <f ca="1">H83-VLOOKUP(Settings!$K$6,G$2:H$139,2,FALSE)</f>
        <v>-1.3374662983296426</v>
      </c>
    </row>
    <row r="84" spans="1:9" ht="20.100000000000001" customHeight="1">
      <c r="A84" s="25" t="s">
        <v>347</v>
      </c>
      <c r="B84" s="26" t="s">
        <v>99</v>
      </c>
      <c r="C84" s="126" t="s">
        <v>23</v>
      </c>
      <c r="D84" s="141">
        <f t="shared" ca="1" si="4"/>
        <v>83</v>
      </c>
      <c r="E84" s="30">
        <f ca="1">VLOOKUP(A84,Rankings!B1:H651,6,FALSE)+(RAND()*0.00001)</f>
        <v>272.92500150560613</v>
      </c>
      <c r="F84" s="30">
        <f ca="1">E84-VLOOKUP(Settings!$K$6,D$2:E$139,2,FALSE)</f>
        <v>-38.124999422395263</v>
      </c>
      <c r="G84" s="141">
        <f t="shared" ca="1" si="5"/>
        <v>70</v>
      </c>
      <c r="H84" s="30">
        <f ca="1">VLOOKUP(A84,Rankings!B1:H651,7,FALSE)+(RAND()*0.00001)</f>
        <v>-6.3374102504559953E-3</v>
      </c>
      <c r="I84" s="30">
        <f ca="1">H84-VLOOKUP(Settings!$K$6,G$2:H$139,2,FALSE)</f>
        <v>-0.12505793878632837</v>
      </c>
    </row>
    <row r="85" spans="1:9" ht="18.600000000000001" customHeight="1">
      <c r="A85" s="25" t="s">
        <v>372</v>
      </c>
      <c r="B85" s="26" t="s">
        <v>119</v>
      </c>
      <c r="C85" s="126" t="s">
        <v>23</v>
      </c>
      <c r="D85" s="141">
        <f t="shared" ca="1" si="4"/>
        <v>84</v>
      </c>
      <c r="E85" s="30">
        <f ca="1">VLOOKUP(A85,Rankings!B1:H651,6,FALSE)+(RAND()*0.00001)</f>
        <v>272.81667090850993</v>
      </c>
      <c r="F85" s="30">
        <f ca="1">E85-VLOOKUP(Settings!$K$6,D$2:E$139,2,FALSE)</f>
        <v>-38.233330019491461</v>
      </c>
      <c r="G85" s="141">
        <f t="shared" ca="1" si="5"/>
        <v>75</v>
      </c>
      <c r="H85" s="30">
        <f ca="1">VLOOKUP(A85,Rankings!B1:H651,7,FALSE)+(RAND()*0.00001)</f>
        <v>-0.48785908792624499</v>
      </c>
      <c r="I85" s="30">
        <f ca="1">H85-VLOOKUP(Settings!$K$6,G$2:H$139,2,FALSE)</f>
        <v>-0.60657961646211733</v>
      </c>
    </row>
    <row r="86" spans="1:9" ht="18.600000000000001" customHeight="1">
      <c r="A86" s="25" t="s">
        <v>419</v>
      </c>
      <c r="B86" s="26" t="s">
        <v>225</v>
      </c>
      <c r="C86" s="126" t="s">
        <v>23</v>
      </c>
      <c r="D86" s="141">
        <f t="shared" ca="1" si="4"/>
        <v>85</v>
      </c>
      <c r="E86" s="30">
        <f ca="1">VLOOKUP(A86,Rankings!B1:H651,6,FALSE)+(RAND()*0.00001)</f>
        <v>269.58333515493598</v>
      </c>
      <c r="F86" s="30">
        <f ca="1">E86-VLOOKUP(Settings!$K$6,D$2:E$139,2,FALSE)</f>
        <v>-41.466665773065415</v>
      </c>
      <c r="G86" s="141">
        <f t="shared" ca="1" si="5"/>
        <v>90</v>
      </c>
      <c r="H86" s="30">
        <f ca="1">VLOOKUP(A86,Rankings!B1:H651,7,FALSE)+(RAND()*0.00001)</f>
        <v>-1.3572080348941931</v>
      </c>
      <c r="I86" s="30">
        <f ca="1">H86-VLOOKUP(Settings!$K$6,G$2:H$139,2,FALSE)</f>
        <v>-1.4759285634300654</v>
      </c>
    </row>
    <row r="87" spans="1:9" ht="18.600000000000001" customHeight="1">
      <c r="A87" s="25" t="s">
        <v>382</v>
      </c>
      <c r="B87" s="26" t="s">
        <v>92</v>
      </c>
      <c r="C87" s="126" t="s">
        <v>23</v>
      </c>
      <c r="D87" s="141">
        <f t="shared" ca="1" si="4"/>
        <v>86</v>
      </c>
      <c r="E87" s="30">
        <f ca="1">VLOOKUP(A87,Rankings!B1:H651,6,FALSE)+(RAND()*0.00001)</f>
        <v>264.76667400800613</v>
      </c>
      <c r="F87" s="30">
        <f ca="1">E87-VLOOKUP(Settings!$K$6,D$2:E$139,2,FALSE)</f>
        <v>-46.283326919995261</v>
      </c>
      <c r="G87" s="141">
        <f t="shared" ca="1" si="5"/>
        <v>79</v>
      </c>
      <c r="H87" s="30">
        <f ca="1">VLOOKUP(A87,Rankings!B1:H651,7,FALSE)+(RAND()*0.00001)</f>
        <v>-0.60420950282596253</v>
      </c>
      <c r="I87" s="30">
        <f ca="1">H87-VLOOKUP(Settings!$K$6,G$2:H$139,2,FALSE)</f>
        <v>-0.72293003136183487</v>
      </c>
    </row>
    <row r="88" spans="1:9" ht="18.600000000000001" customHeight="1">
      <c r="A88" s="25" t="s">
        <v>422</v>
      </c>
      <c r="B88" s="26" t="s">
        <v>105</v>
      </c>
      <c r="C88" s="126" t="s">
        <v>23</v>
      </c>
      <c r="D88" s="141">
        <f t="shared" ca="1" si="4"/>
        <v>87</v>
      </c>
      <c r="E88" s="30">
        <f ca="1">VLOOKUP(A88,Rankings!B1:H651,6,FALSE)+(RAND()*0.00001)</f>
        <v>264.53333945201018</v>
      </c>
      <c r="F88" s="30">
        <f ca="1">E88-VLOOKUP(Settings!$K$6,D$2:E$139,2,FALSE)</f>
        <v>-46.516661475991214</v>
      </c>
      <c r="G88" s="141">
        <f t="shared" ca="1" si="5"/>
        <v>91</v>
      </c>
      <c r="H88" s="30">
        <f ca="1">VLOOKUP(A88,Rankings!B1:H651,7,FALSE)+(RAND()*0.00001)</f>
        <v>-1.3967358906731966</v>
      </c>
      <c r="I88" s="30">
        <f ca="1">H88-VLOOKUP(Settings!$K$6,G$2:H$139,2,FALSE)</f>
        <v>-1.5154564192090689</v>
      </c>
    </row>
    <row r="89" spans="1:9" ht="18.600000000000001" customHeight="1">
      <c r="A89" s="25" t="s">
        <v>390</v>
      </c>
      <c r="B89" s="26" t="s">
        <v>87</v>
      </c>
      <c r="C89" s="126" t="s">
        <v>23</v>
      </c>
      <c r="D89" s="141">
        <f t="shared" ca="1" si="4"/>
        <v>88</v>
      </c>
      <c r="E89" s="30">
        <f ca="1">VLOOKUP(A89,Rankings!B1:H651,6,FALSE)+(RAND()*0.00001)</f>
        <v>264.51667125588995</v>
      </c>
      <c r="F89" s="30">
        <f ca="1">E89-VLOOKUP(Settings!$K$6,D$2:E$139,2,FALSE)</f>
        <v>-46.533329672111449</v>
      </c>
      <c r="G89" s="141">
        <f t="shared" ca="1" si="5"/>
        <v>81</v>
      </c>
      <c r="H89" s="30">
        <f ca="1">VLOOKUP(A89,Rankings!B1:H651,7,FALSE)+(RAND()*0.00001)</f>
        <v>-0.69033473487977703</v>
      </c>
      <c r="I89" s="30">
        <f ca="1">H89-VLOOKUP(Settings!$K$6,G$2:H$139,2,FALSE)</f>
        <v>-0.80905526341564937</v>
      </c>
    </row>
    <row r="90" spans="1:9" ht="18.600000000000001" customHeight="1">
      <c r="A90" s="25" t="s">
        <v>472</v>
      </c>
      <c r="B90" s="26"/>
      <c r="C90" s="126" t="s">
        <v>23</v>
      </c>
      <c r="D90" s="141">
        <f t="shared" ca="1" si="4"/>
        <v>89</v>
      </c>
      <c r="E90" s="30">
        <f ca="1">VLOOKUP(A90,Rankings!B1:H651,6,FALSE)+(RAND()*0.00001)</f>
        <v>263.68333698128822</v>
      </c>
      <c r="F90" s="30">
        <f ca="1">E90-VLOOKUP(Settings!$K$6,D$2:E$139,2,FALSE)</f>
        <v>-47.366663946713174</v>
      </c>
      <c r="G90" s="141">
        <f t="shared" ca="1" si="5"/>
        <v>105</v>
      </c>
      <c r="H90" s="30">
        <f ca="1">VLOOKUP(A90,Rankings!B1:H651,7,FALSE)+(RAND()*0.00001)</f>
        <v>-2.0240072080730478</v>
      </c>
      <c r="I90" s="30">
        <f ca="1">H90-VLOOKUP(Settings!$K$6,G$2:H$139,2,FALSE)</f>
        <v>-2.1427277366089204</v>
      </c>
    </row>
    <row r="91" spans="1:9" ht="18.600000000000001" customHeight="1">
      <c r="A91" s="25" t="s">
        <v>345</v>
      </c>
      <c r="B91" s="26" t="s">
        <v>103</v>
      </c>
      <c r="C91" s="126" t="s">
        <v>23</v>
      </c>
      <c r="D91" s="141">
        <f t="shared" ca="1" si="4"/>
        <v>90</v>
      </c>
      <c r="E91" s="30">
        <f ca="1">VLOOKUP(A91,Rankings!B1:H651,6,FALSE)+(RAND()*0.00001)</f>
        <v>261.58333869370847</v>
      </c>
      <c r="F91" s="30">
        <f ca="1">E91-VLOOKUP(Settings!$K$6,D$2:E$139,2,FALSE)</f>
        <v>-49.466662234292926</v>
      </c>
      <c r="G91" s="141">
        <f t="shared" ca="1" si="5"/>
        <v>69</v>
      </c>
      <c r="H91" s="30">
        <f ca="1">VLOOKUP(A91,Rankings!B1:H651,7,FALSE)+(RAND()*0.00001)</f>
        <v>2.3747374316162931E-3</v>
      </c>
      <c r="I91" s="30">
        <f ca="1">H91-VLOOKUP(Settings!$K$6,G$2:H$139,2,FALSE)</f>
        <v>-0.11634579110425608</v>
      </c>
    </row>
    <row r="92" spans="1:9" ht="18.600000000000001" customHeight="1">
      <c r="A92" s="25" t="s">
        <v>371</v>
      </c>
      <c r="B92" s="26" t="s">
        <v>119</v>
      </c>
      <c r="C92" s="126" t="s">
        <v>23</v>
      </c>
      <c r="D92" s="141">
        <f t="shared" ca="1" si="4"/>
        <v>91</v>
      </c>
      <c r="E92" s="30">
        <f ca="1">VLOOKUP(A92,Rankings!B1:H651,6,FALSE)+(RAND()*0.00001)</f>
        <v>258.78333681305764</v>
      </c>
      <c r="F92" s="30">
        <f ca="1">E92-VLOOKUP(Settings!$K$6,D$2:E$139,2,FALSE)</f>
        <v>-52.266664114943751</v>
      </c>
      <c r="G92" s="141">
        <f t="shared" ca="1" si="5"/>
        <v>74</v>
      </c>
      <c r="H92" s="30">
        <f ca="1">VLOOKUP(A92,Rankings!B1:H651,7,FALSE)+(RAND()*0.00001)</f>
        <v>-0.48270706653795004</v>
      </c>
      <c r="I92" s="30">
        <f ca="1">H92-VLOOKUP(Settings!$K$6,G$2:H$139,2,FALSE)</f>
        <v>-0.60142759507382237</v>
      </c>
    </row>
    <row r="93" spans="1:9" ht="18.600000000000001" customHeight="1">
      <c r="A93" s="25" t="s">
        <v>415</v>
      </c>
      <c r="B93" s="26" t="s">
        <v>125</v>
      </c>
      <c r="C93" s="126" t="s">
        <v>23</v>
      </c>
      <c r="D93" s="141">
        <f t="shared" ca="1" si="4"/>
        <v>92</v>
      </c>
      <c r="E93" s="30">
        <f ca="1">VLOOKUP(A93,Rankings!B1:H651,6,FALSE)+(RAND()*0.00001)</f>
        <v>255.25000541484962</v>
      </c>
      <c r="F93" s="30">
        <f ca="1">E93-VLOOKUP(Settings!$K$6,D$2:E$139,2,FALSE)</f>
        <v>-55.799995513151771</v>
      </c>
      <c r="G93" s="141">
        <f t="shared" ca="1" si="5"/>
        <v>88</v>
      </c>
      <c r="H93" s="30">
        <f ca="1">VLOOKUP(A93,Rankings!B1:H651,7,FALSE)+(RAND()*0.00001)</f>
        <v>-1.1961240678322624</v>
      </c>
      <c r="I93" s="30">
        <f ca="1">H93-VLOOKUP(Settings!$K$6,G$2:H$139,2,FALSE)</f>
        <v>-1.3148445963681348</v>
      </c>
    </row>
    <row r="94" spans="1:9" ht="18.600000000000001" customHeight="1">
      <c r="A94" s="25" t="s">
        <v>401</v>
      </c>
      <c r="B94" s="26" t="s">
        <v>178</v>
      </c>
      <c r="C94" s="126" t="s">
        <v>23</v>
      </c>
      <c r="D94" s="141">
        <f t="shared" ca="1" si="4"/>
        <v>93</v>
      </c>
      <c r="E94" s="30">
        <f ca="1">VLOOKUP(A94,Rankings!B1:H651,6,FALSE)+(RAND()*0.00001)</f>
        <v>253.05000378337024</v>
      </c>
      <c r="F94" s="30">
        <f ca="1">E94-VLOOKUP(Settings!$K$6,D$2:E$139,2,FALSE)</f>
        <v>-57.999997144631152</v>
      </c>
      <c r="G94" s="141">
        <f t="shared" ca="1" si="5"/>
        <v>86</v>
      </c>
      <c r="H94" s="30">
        <f ca="1">VLOOKUP(A94,Rankings!B1:H651,7,FALSE)+(RAND()*0.00001)</f>
        <v>-0.85447505245639266</v>
      </c>
      <c r="I94" s="30">
        <f ca="1">H94-VLOOKUP(Settings!$K$6,G$2:H$139,2,FALSE)</f>
        <v>-0.973195580992265</v>
      </c>
    </row>
    <row r="95" spans="1:9" ht="18.600000000000001" customHeight="1">
      <c r="A95" s="25" t="s">
        <v>428</v>
      </c>
      <c r="B95" s="26" t="s">
        <v>116</v>
      </c>
      <c r="C95" s="126" t="s">
        <v>23</v>
      </c>
      <c r="D95" s="141">
        <f t="shared" ca="1" si="4"/>
        <v>94</v>
      </c>
      <c r="E95" s="30">
        <f ca="1">VLOOKUP(A95,Rankings!B1:H651,6,FALSE)+(RAND()*0.00001)</f>
        <v>250.76667554835217</v>
      </c>
      <c r="F95" s="30">
        <f ca="1">E95-VLOOKUP(Settings!$K$6,D$2:E$139,2,FALSE)</f>
        <v>-60.283325379649227</v>
      </c>
      <c r="G95" s="141">
        <f t="shared" ca="1" si="5"/>
        <v>93</v>
      </c>
      <c r="H95" s="30">
        <f ca="1">VLOOKUP(A95,Rankings!B1:H651,7,FALSE)+(RAND()*0.00001)</f>
        <v>-1.4621605429174209</v>
      </c>
      <c r="I95" s="30">
        <f ca="1">H95-VLOOKUP(Settings!$K$6,G$2:H$139,2,FALSE)</f>
        <v>-1.5808810714532933</v>
      </c>
    </row>
    <row r="96" spans="1:9" ht="18.600000000000001" customHeight="1">
      <c r="A96" s="25" t="s">
        <v>400</v>
      </c>
      <c r="B96" s="26" t="s">
        <v>116</v>
      </c>
      <c r="C96" s="126" t="s">
        <v>23</v>
      </c>
      <c r="D96" s="141">
        <f t="shared" ca="1" si="4"/>
        <v>95</v>
      </c>
      <c r="E96" s="30">
        <f ca="1">VLOOKUP(A96,Rankings!B1:H651,6,FALSE)+(RAND()*0.00001)</f>
        <v>244.0500090443403</v>
      </c>
      <c r="F96" s="30">
        <f ca="1">E96-VLOOKUP(Settings!$K$6,D$2:E$139,2,FALSE)</f>
        <v>-66.999991883661096</v>
      </c>
      <c r="G96" s="141">
        <f t="shared" ca="1" si="5"/>
        <v>85</v>
      </c>
      <c r="H96" s="30">
        <f ca="1">VLOOKUP(A96,Rankings!B1:H651,7,FALSE)+(RAND()*0.00001)</f>
        <v>-0.83628585566279701</v>
      </c>
      <c r="I96" s="30">
        <f ca="1">H96-VLOOKUP(Settings!$K$6,G$2:H$139,2,FALSE)</f>
        <v>-0.95500638419866934</v>
      </c>
    </row>
    <row r="97" spans="1:9" ht="18.600000000000001" customHeight="1">
      <c r="A97" s="25" t="s">
        <v>465</v>
      </c>
      <c r="B97" s="26" t="s">
        <v>97</v>
      </c>
      <c r="C97" s="126" t="s">
        <v>23</v>
      </c>
      <c r="D97" s="141">
        <f t="shared" ca="1" si="4"/>
        <v>96</v>
      </c>
      <c r="E97" s="30">
        <f ca="1">VLOOKUP(A97,Rankings!B1:H651,6,FALSE)+(RAND()*0.00001)</f>
        <v>240.91666688307353</v>
      </c>
      <c r="F97" s="30">
        <f ca="1">E97-VLOOKUP(Settings!$K$6,D$2:E$139,2,FALSE)</f>
        <v>-70.133334044927864</v>
      </c>
      <c r="G97" s="141">
        <f t="shared" ca="1" si="5"/>
        <v>104</v>
      </c>
      <c r="H97" s="30">
        <f ca="1">VLOOKUP(A97,Rankings!B1:H651,7,FALSE)+(RAND()*0.00001)</f>
        <v>-1.9170771457441367</v>
      </c>
      <c r="I97" s="30">
        <f ca="1">H97-VLOOKUP(Settings!$K$6,G$2:H$139,2,FALSE)</f>
        <v>-2.0357976742800092</v>
      </c>
    </row>
    <row r="98" spans="1:9" ht="20.100000000000001" customHeight="1">
      <c r="A98" s="25" t="s">
        <v>461</v>
      </c>
      <c r="B98" s="26" t="s">
        <v>309</v>
      </c>
      <c r="C98" s="126" t="s">
        <v>23</v>
      </c>
      <c r="D98" s="141">
        <f t="shared" ref="D98:D129" ca="1" si="6">RANK(E98,E$2:E$139)</f>
        <v>97</v>
      </c>
      <c r="E98" s="30">
        <f ca="1">VLOOKUP(A98,Rankings!B1:H651,6,FALSE)+(RAND()*0.00001)</f>
        <v>238.88333668790801</v>
      </c>
      <c r="F98" s="30">
        <f ca="1">E98-VLOOKUP(Settings!$K$6,D$2:E$139,2,FALSE)</f>
        <v>-72.166664240093382</v>
      </c>
      <c r="G98" s="141">
        <f t="shared" ref="G98:G129" ca="1" si="7">RANK(H98,H$2:H$139)</f>
        <v>101</v>
      </c>
      <c r="H98" s="30">
        <f ca="1">VLOOKUP(A98,Rankings!B1:H651,7,FALSE)+(RAND()*0.00001)</f>
        <v>-1.8928920830216858</v>
      </c>
      <c r="I98" s="30">
        <f ca="1">H98-VLOOKUP(Settings!$K$6,G$2:H$139,2,FALSE)</f>
        <v>-2.0116126115575583</v>
      </c>
    </row>
    <row r="99" spans="1:9" ht="18.600000000000001" customHeight="1">
      <c r="A99" s="25" t="s">
        <v>459</v>
      </c>
      <c r="B99" s="26" t="s">
        <v>82</v>
      </c>
      <c r="C99" s="126" t="s">
        <v>23</v>
      </c>
      <c r="D99" s="141">
        <f t="shared" ca="1" si="6"/>
        <v>98</v>
      </c>
      <c r="E99" s="30">
        <f ca="1">VLOOKUP(A99,Rankings!B1:H651,6,FALSE)+(RAND()*0.00001)</f>
        <v>236.18333385255514</v>
      </c>
      <c r="F99" s="30">
        <f ca="1">E99-VLOOKUP(Settings!$K$6,D$2:E$139,2,FALSE)</f>
        <v>-74.866667075446259</v>
      </c>
      <c r="G99" s="141">
        <f t="shared" ca="1" si="7"/>
        <v>100</v>
      </c>
      <c r="H99" s="30">
        <f ca="1">VLOOKUP(A99,Rankings!B1:H651,7,FALSE)+(RAND()*0.00001)</f>
        <v>-1.8654387629483233</v>
      </c>
      <c r="I99" s="30">
        <f ca="1">H99-VLOOKUP(Settings!$K$6,G$2:H$139,2,FALSE)</f>
        <v>-1.9841592914841957</v>
      </c>
    </row>
    <row r="100" spans="1:9" ht="20.100000000000001" customHeight="1">
      <c r="A100" s="25" t="s">
        <v>455</v>
      </c>
      <c r="B100" s="26" t="s">
        <v>101</v>
      </c>
      <c r="C100" s="126" t="s">
        <v>23</v>
      </c>
      <c r="D100" s="141">
        <f t="shared" ca="1" si="6"/>
        <v>99</v>
      </c>
      <c r="E100" s="30">
        <f ca="1">VLOOKUP(A100,Rankings!B1:H651,6,FALSE)+(RAND()*0.00001)</f>
        <v>235.85000245201024</v>
      </c>
      <c r="F100" s="30">
        <f ca="1">E100-VLOOKUP(Settings!$K$6,D$2:E$139,2,FALSE)</f>
        <v>-75.199998475991151</v>
      </c>
      <c r="G100" s="141">
        <f t="shared" ca="1" si="7"/>
        <v>99</v>
      </c>
      <c r="H100" s="30">
        <f ca="1">VLOOKUP(A100,Rankings!B1:H651,7,FALSE)+(RAND()*0.00001)</f>
        <v>-1.8444206549640667</v>
      </c>
      <c r="I100" s="30">
        <f ca="1">H100-VLOOKUP(Settings!$K$6,G$2:H$139,2,FALSE)</f>
        <v>-1.963141183499939</v>
      </c>
    </row>
    <row r="101" spans="1:9" ht="18.600000000000001" customHeight="1">
      <c r="A101" s="25" t="s">
        <v>438</v>
      </c>
      <c r="B101" s="26" t="s">
        <v>69</v>
      </c>
      <c r="C101" s="126" t="s">
        <v>23</v>
      </c>
      <c r="D101" s="141">
        <f t="shared" ca="1" si="6"/>
        <v>100</v>
      </c>
      <c r="E101" s="30">
        <f ca="1">VLOOKUP(A101,Rankings!B1:H651,6,FALSE)+(RAND()*0.00001)</f>
        <v>234.66667430069924</v>
      </c>
      <c r="F101" s="30">
        <f ca="1">E101-VLOOKUP(Settings!$K$6,D$2:E$139,2,FALSE)</f>
        <v>-76.383326627302154</v>
      </c>
      <c r="G101" s="141">
        <f t="shared" ca="1" si="7"/>
        <v>96</v>
      </c>
      <c r="H101" s="30">
        <f ca="1">VLOOKUP(A101,Rankings!B1:H651,7,FALSE)+(RAND()*0.00001)</f>
        <v>-1.6313407033191911</v>
      </c>
      <c r="I101" s="30">
        <f ca="1">H101-VLOOKUP(Settings!$K$6,G$2:H$139,2,FALSE)</f>
        <v>-1.7500612318550635</v>
      </c>
    </row>
    <row r="102" spans="1:9" ht="18.600000000000001" customHeight="1">
      <c r="A102" s="25" t="s">
        <v>475</v>
      </c>
      <c r="B102" s="26" t="s">
        <v>72</v>
      </c>
      <c r="C102" s="126" t="s">
        <v>23</v>
      </c>
      <c r="D102" s="141">
        <f t="shared" ca="1" si="6"/>
        <v>101</v>
      </c>
      <c r="E102" s="30">
        <f ca="1">VLOOKUP(A102,Rankings!B1:H651,6,FALSE)+(RAND()*0.00001)</f>
        <v>232.27500062523464</v>
      </c>
      <c r="F102" s="30">
        <f ca="1">E102-VLOOKUP(Settings!$K$6,D$2:E$139,2,FALSE)</f>
        <v>-78.775000302766756</v>
      </c>
      <c r="G102" s="141">
        <f t="shared" ca="1" si="7"/>
        <v>106</v>
      </c>
      <c r="H102" s="30">
        <f ca="1">VLOOKUP(A102,Rankings!B1:H651,7,FALSE)+(RAND()*0.00001)</f>
        <v>-2.0363160940642366</v>
      </c>
      <c r="I102" s="30">
        <f ca="1">H102-VLOOKUP(Settings!$K$6,G$2:H$139,2,FALSE)</f>
        <v>-2.1550366226001092</v>
      </c>
    </row>
    <row r="103" spans="1:9" ht="18.600000000000001" customHeight="1">
      <c r="A103" s="25" t="s">
        <v>433</v>
      </c>
      <c r="B103" s="26" t="s">
        <v>158</v>
      </c>
      <c r="C103" s="126" t="s">
        <v>23</v>
      </c>
      <c r="D103" s="141">
        <f t="shared" ca="1" si="6"/>
        <v>102</v>
      </c>
      <c r="E103" s="30">
        <f ca="1">VLOOKUP(A103,Rankings!B1:H651,6,FALSE)+(RAND()*0.00001)</f>
        <v>231.68334044517815</v>
      </c>
      <c r="F103" s="30">
        <f ca="1">E103-VLOOKUP(Settings!$K$6,D$2:E$139,2,FALSE)</f>
        <v>-79.366660482823249</v>
      </c>
      <c r="G103" s="141">
        <f t="shared" ca="1" si="7"/>
        <v>95</v>
      </c>
      <c r="H103" s="30">
        <f ca="1">VLOOKUP(A103,Rankings!B1:H651,7,FALSE)+(RAND()*0.00001)</f>
        <v>-1.5500084711867144</v>
      </c>
      <c r="I103" s="30">
        <f ca="1">H103-VLOOKUP(Settings!$K$6,G$2:H$139,2,FALSE)</f>
        <v>-1.6687289997225867</v>
      </c>
    </row>
    <row r="104" spans="1:9" ht="20.100000000000001" customHeight="1">
      <c r="A104" s="25" t="s">
        <v>572</v>
      </c>
      <c r="B104" s="26" t="s">
        <v>69</v>
      </c>
      <c r="C104" s="126" t="s">
        <v>23</v>
      </c>
      <c r="D104" s="141">
        <f t="shared" ca="1" si="6"/>
        <v>103</v>
      </c>
      <c r="E104" s="30">
        <f ca="1">VLOOKUP(A104,Rankings!B1:H651,6,FALSE)+(RAND()*0.00001)</f>
        <v>227.46666972108147</v>
      </c>
      <c r="F104" s="30">
        <f ca="1">E104-VLOOKUP(Settings!$K$6,D$2:E$139,2,FALSE)</f>
        <v>-83.583331206919922</v>
      </c>
      <c r="G104" s="141">
        <f t="shared" ca="1" si="7"/>
        <v>116</v>
      </c>
      <c r="H104" s="30">
        <f ca="1">VLOOKUP(A104,Rankings!B1:H651,7,FALSE)+(RAND()*0.00001)</f>
        <v>-3.2141763429910473</v>
      </c>
      <c r="I104" s="30">
        <f ca="1">H104-VLOOKUP(Settings!$K$6,G$2:H$139,2,FALSE)</f>
        <v>-3.3328968715269198</v>
      </c>
    </row>
    <row r="105" spans="1:9" ht="18.600000000000001" customHeight="1">
      <c r="A105" s="25" t="s">
        <v>486</v>
      </c>
      <c r="B105" s="26" t="s">
        <v>95</v>
      </c>
      <c r="C105" s="126" t="s">
        <v>23</v>
      </c>
      <c r="D105" s="141">
        <f t="shared" ca="1" si="6"/>
        <v>104</v>
      </c>
      <c r="E105" s="30">
        <f ca="1">VLOOKUP(A105,Rankings!B1:H651,6,FALSE)+(RAND()*0.00001)</f>
        <v>225.26667053635205</v>
      </c>
      <c r="F105" s="30">
        <f ca="1">E105-VLOOKUP(Settings!$K$6,D$2:E$139,2,FALSE)</f>
        <v>-85.783330391649343</v>
      </c>
      <c r="G105" s="141">
        <f t="shared" ca="1" si="7"/>
        <v>108</v>
      </c>
      <c r="H105" s="30">
        <f ca="1">VLOOKUP(A105,Rankings!B1:H651,7,FALSE)+(RAND()*0.00001)</f>
        <v>-2.1927357156344622</v>
      </c>
      <c r="I105" s="30">
        <f ca="1">H105-VLOOKUP(Settings!$K$6,G$2:H$139,2,FALSE)</f>
        <v>-2.3114562441703348</v>
      </c>
    </row>
    <row r="106" spans="1:9" ht="18.600000000000001" customHeight="1">
      <c r="A106" s="25" t="s">
        <v>547</v>
      </c>
      <c r="B106" s="26" t="s">
        <v>260</v>
      </c>
      <c r="C106" s="126" t="s">
        <v>23</v>
      </c>
      <c r="D106" s="141">
        <f t="shared" ca="1" si="6"/>
        <v>105</v>
      </c>
      <c r="E106" s="30">
        <f ca="1">VLOOKUP(A106,Rankings!B1:H651,6,FALSE)+(RAND()*0.00001)</f>
        <v>221.81666679721022</v>
      </c>
      <c r="F106" s="30">
        <f ca="1">E106-VLOOKUP(Settings!$K$6,D$2:E$139,2,FALSE)</f>
        <v>-89.233334130791178</v>
      </c>
      <c r="G106" s="141">
        <f t="shared" ca="1" si="7"/>
        <v>113</v>
      </c>
      <c r="H106" s="30">
        <f ca="1">VLOOKUP(A106,Rankings!B1:H651,7,FALSE)+(RAND()*0.00001)</f>
        <v>-2.8680210070656993</v>
      </c>
      <c r="I106" s="30">
        <f ca="1">H106-VLOOKUP(Settings!$K$6,G$2:H$139,2,FALSE)</f>
        <v>-2.9867415356015719</v>
      </c>
    </row>
    <row r="107" spans="1:9" ht="18.600000000000001" customHeight="1">
      <c r="A107" s="25" t="s">
        <v>464</v>
      </c>
      <c r="B107" s="26" t="s">
        <v>309</v>
      </c>
      <c r="C107" s="126" t="s">
        <v>23</v>
      </c>
      <c r="D107" s="141">
        <f t="shared" ca="1" si="6"/>
        <v>106</v>
      </c>
      <c r="E107" s="30">
        <f ca="1">VLOOKUP(A107,Rankings!B1:H651,6,FALSE)+(RAND()*0.00001)</f>
        <v>221.56667481095866</v>
      </c>
      <c r="F107" s="30">
        <f ca="1">E107-VLOOKUP(Settings!$K$6,D$2:E$139,2,FALSE)</f>
        <v>-89.483326117042736</v>
      </c>
      <c r="G107" s="141">
        <f t="shared" ca="1" si="7"/>
        <v>103</v>
      </c>
      <c r="H107" s="30">
        <f ca="1">VLOOKUP(A107,Rankings!B1:H651,7,FALSE)+(RAND()*0.00001)</f>
        <v>-1.8959337025789913</v>
      </c>
      <c r="I107" s="30">
        <f ca="1">H107-VLOOKUP(Settings!$K$6,G$2:H$139,2,FALSE)</f>
        <v>-2.0146542311148639</v>
      </c>
    </row>
    <row r="108" spans="1:9" ht="18.600000000000001" customHeight="1">
      <c r="A108" s="25" t="s">
        <v>502</v>
      </c>
      <c r="B108" s="26" t="s">
        <v>158</v>
      </c>
      <c r="C108" s="126" t="s">
        <v>23</v>
      </c>
      <c r="D108" s="141">
        <f t="shared" ca="1" si="6"/>
        <v>107</v>
      </c>
      <c r="E108" s="30">
        <f ca="1">VLOOKUP(A108,Rankings!B1:H651,6,FALSE)+(RAND()*0.00001)</f>
        <v>215.55000175703964</v>
      </c>
      <c r="F108" s="30">
        <f ca="1">E108-VLOOKUP(Settings!$K$6,D$2:E$139,2,FALSE)</f>
        <v>-95.499999170961757</v>
      </c>
      <c r="G108" s="141">
        <f t="shared" ca="1" si="7"/>
        <v>110</v>
      </c>
      <c r="H108" s="30">
        <f ca="1">VLOOKUP(A108,Rankings!B1:H651,7,FALSE)+(RAND()*0.00001)</f>
        <v>-2.3750956614765451</v>
      </c>
      <c r="I108" s="30">
        <f ca="1">H108-VLOOKUP(Settings!$K$6,G$2:H$139,2,FALSE)</f>
        <v>-2.4938161900124176</v>
      </c>
    </row>
    <row r="109" spans="1:9" ht="18.600000000000001" customHeight="1">
      <c r="A109" s="25" t="s">
        <v>480</v>
      </c>
      <c r="B109" s="26" t="s">
        <v>260</v>
      </c>
      <c r="C109" s="126" t="s">
        <v>23</v>
      </c>
      <c r="D109" s="141">
        <f t="shared" ca="1" si="6"/>
        <v>108</v>
      </c>
      <c r="E109" s="30">
        <f ca="1">VLOOKUP(A109,Rankings!B1:H651,6,FALSE)+(RAND()*0.00001)</f>
        <v>197.91666681391695</v>
      </c>
      <c r="F109" s="30">
        <f ca="1">E109-VLOOKUP(Settings!$K$6,D$2:E$139,2,FALSE)</f>
        <v>-113.13333411408445</v>
      </c>
      <c r="G109" s="141">
        <f t="shared" ca="1" si="7"/>
        <v>107</v>
      </c>
      <c r="H109" s="30">
        <f ca="1">VLOOKUP(A109,Rankings!B1:H651,7,FALSE)+(RAND()*0.00001)</f>
        <v>-2.1051141305369838</v>
      </c>
      <c r="I109" s="30">
        <f ca="1">H109-VLOOKUP(Settings!$K$6,G$2:H$139,2,FALSE)</f>
        <v>-2.2238346590728564</v>
      </c>
    </row>
    <row r="110" spans="1:9" ht="18.600000000000001" customHeight="1">
      <c r="A110" s="25" t="s">
        <v>451</v>
      </c>
      <c r="B110" s="26" t="s">
        <v>139</v>
      </c>
      <c r="C110" s="126" t="s">
        <v>23</v>
      </c>
      <c r="D110" s="141">
        <f t="shared" ca="1" si="6"/>
        <v>109</v>
      </c>
      <c r="E110" s="30">
        <f ca="1">VLOOKUP(A110,Rankings!B1:H651,6,FALSE)+(RAND()*0.00001)</f>
        <v>197.90000219762018</v>
      </c>
      <c r="F110" s="30">
        <f ca="1">E110-VLOOKUP(Settings!$K$6,D$2:E$139,2,FALSE)</f>
        <v>-113.14999873038121</v>
      </c>
      <c r="G110" s="141">
        <f t="shared" ca="1" si="7"/>
        <v>98</v>
      </c>
      <c r="H110" s="30">
        <f ca="1">VLOOKUP(A110,Rankings!B1:H651,7,FALSE)+(RAND()*0.00001)</f>
        <v>-1.7898380453010549</v>
      </c>
      <c r="I110" s="30">
        <f ca="1">H110-VLOOKUP(Settings!$K$6,G$2:H$139,2,FALSE)</f>
        <v>-1.9085585738369273</v>
      </c>
    </row>
    <row r="111" spans="1:9" ht="18.600000000000001" customHeight="1">
      <c r="A111" s="25" t="s">
        <v>463</v>
      </c>
      <c r="B111" s="26" t="s">
        <v>219</v>
      </c>
      <c r="C111" s="126" t="s">
        <v>23</v>
      </c>
      <c r="D111" s="141">
        <f t="shared" ca="1" si="6"/>
        <v>110</v>
      </c>
      <c r="E111" s="30">
        <f ca="1">VLOOKUP(A111,Rankings!B1:H651,6,FALSE)+(RAND()*0.00001)</f>
        <v>194.93333535161491</v>
      </c>
      <c r="F111" s="30">
        <f ca="1">E111-VLOOKUP(Settings!$K$6,D$2:E$139,2,FALSE)</f>
        <v>-116.11666557638648</v>
      </c>
      <c r="G111" s="141">
        <f t="shared" ca="1" si="7"/>
        <v>102</v>
      </c>
      <c r="H111" s="30">
        <f ca="1">VLOOKUP(A111,Rankings!B1:H651,7,FALSE)+(RAND()*0.00001)</f>
        <v>-1.894182082150127</v>
      </c>
      <c r="I111" s="30">
        <f ca="1">H111-VLOOKUP(Settings!$K$6,G$2:H$139,2,FALSE)</f>
        <v>-2.0129026106859995</v>
      </c>
    </row>
    <row r="112" spans="1:9" ht="18.600000000000001" customHeight="1">
      <c r="A112" s="25" t="s">
        <v>570</v>
      </c>
      <c r="B112" s="26" t="s">
        <v>136</v>
      </c>
      <c r="C112" s="126" t="s">
        <v>23</v>
      </c>
      <c r="D112" s="141">
        <f t="shared" ca="1" si="6"/>
        <v>111</v>
      </c>
      <c r="E112" s="30">
        <f ca="1">VLOOKUP(A112,Rankings!B1:H651,6,FALSE)+(RAND()*0.00001)</f>
        <v>192.53333395797506</v>
      </c>
      <c r="F112" s="30">
        <f ca="1">E112-VLOOKUP(Settings!$K$6,D$2:E$139,2,FALSE)</f>
        <v>-118.51666697002634</v>
      </c>
      <c r="G112" s="141">
        <f t="shared" ca="1" si="7"/>
        <v>115</v>
      </c>
      <c r="H112" s="30">
        <f ca="1">VLOOKUP(A112,Rankings!B1:H651,7,FALSE)+(RAND()*0.00001)</f>
        <v>-3.1591323024509412</v>
      </c>
      <c r="I112" s="30">
        <f ca="1">H112-VLOOKUP(Settings!$K$6,G$2:H$139,2,FALSE)</f>
        <v>-3.2778528309868138</v>
      </c>
    </row>
    <row r="113" spans="1:9" ht="18.600000000000001" customHeight="1">
      <c r="A113" s="25" t="s">
        <v>493</v>
      </c>
      <c r="B113" s="26" t="s">
        <v>77</v>
      </c>
      <c r="C113" s="126" t="s">
        <v>23</v>
      </c>
      <c r="D113" s="141">
        <f t="shared" ca="1" si="6"/>
        <v>112</v>
      </c>
      <c r="E113" s="30">
        <f ca="1">VLOOKUP(A113,Rankings!B1:H651,6,FALSE)+(RAND()*0.00001)</f>
        <v>185.26667542536353</v>
      </c>
      <c r="F113" s="30">
        <f ca="1">E113-VLOOKUP(Settings!$K$6,D$2:E$139,2,FALSE)</f>
        <v>-125.78332550263787</v>
      </c>
      <c r="G113" s="141">
        <f t="shared" ca="1" si="7"/>
        <v>109</v>
      </c>
      <c r="H113" s="30">
        <f ca="1">VLOOKUP(A113,Rankings!B1:H651,7,FALSE)+(RAND()*0.00001)</f>
        <v>-2.2563397991992882</v>
      </c>
      <c r="I113" s="30">
        <f ca="1">H113-VLOOKUP(Settings!$K$6,G$2:H$139,2,FALSE)</f>
        <v>-2.3750603277351607</v>
      </c>
    </row>
    <row r="114" spans="1:9" ht="18.600000000000001" customHeight="1">
      <c r="A114" s="25" t="s">
        <v>565</v>
      </c>
      <c r="B114" s="26" t="s">
        <v>139</v>
      </c>
      <c r="C114" s="126" t="s">
        <v>23</v>
      </c>
      <c r="D114" s="141">
        <f t="shared" ca="1" si="6"/>
        <v>113</v>
      </c>
      <c r="E114" s="30">
        <f ca="1">VLOOKUP(A114,Rankings!B1:H651,6,FALSE)+(RAND()*0.00001)</f>
        <v>185.1666741889446</v>
      </c>
      <c r="F114" s="30">
        <f ca="1">E114-VLOOKUP(Settings!$K$6,D$2:E$139,2,FALSE)</f>
        <v>-125.8833267390568</v>
      </c>
      <c r="G114" s="141">
        <f t="shared" ca="1" si="7"/>
        <v>114</v>
      </c>
      <c r="H114" s="30">
        <f ca="1">VLOOKUP(A114,Rankings!B1:H651,7,FALSE)+(RAND()*0.00001)</f>
        <v>-3.075712590491479</v>
      </c>
      <c r="I114" s="30">
        <f ca="1">H114-VLOOKUP(Settings!$K$6,G$2:H$139,2,FALSE)</f>
        <v>-3.1944331190273516</v>
      </c>
    </row>
    <row r="115" spans="1:9" ht="18.600000000000001" customHeight="1">
      <c r="A115" s="25" t="s">
        <v>609</v>
      </c>
      <c r="B115" s="26" t="s">
        <v>309</v>
      </c>
      <c r="C115" s="126" t="s">
        <v>23</v>
      </c>
      <c r="D115" s="141">
        <f t="shared" ca="1" si="6"/>
        <v>114</v>
      </c>
      <c r="E115" s="30">
        <f ca="1">VLOOKUP(A115,Rankings!B1:H651,6,FALSE)+(RAND()*0.00001)</f>
        <v>178.85000628682255</v>
      </c>
      <c r="F115" s="30">
        <f ca="1">E115-VLOOKUP(Settings!$K$6,D$2:E$139,2,FALSE)</f>
        <v>-132.19999464117885</v>
      </c>
      <c r="G115" s="141">
        <f t="shared" ca="1" si="7"/>
        <v>117</v>
      </c>
      <c r="H115" s="30">
        <f ca="1">VLOOKUP(A115,Rankings!B1:H651,7,FALSE)+(RAND()*0.00001)</f>
        <v>-3.6240216227236113</v>
      </c>
      <c r="I115" s="30">
        <f ca="1">H115-VLOOKUP(Settings!$K$6,G$2:H$139,2,FALSE)</f>
        <v>-3.7427421512594838</v>
      </c>
    </row>
    <row r="116" spans="1:9" ht="18.600000000000001" customHeight="1">
      <c r="A116" s="25" t="s">
        <v>508</v>
      </c>
      <c r="B116" s="26" t="s">
        <v>178</v>
      </c>
      <c r="C116" s="126" t="s">
        <v>23</v>
      </c>
      <c r="D116" s="141">
        <f t="shared" ca="1" si="6"/>
        <v>115</v>
      </c>
      <c r="E116" s="30">
        <f ca="1">VLOOKUP(A116,Rankings!B1:H651,6,FALSE)+(RAND()*0.00001)</f>
        <v>176.65000170855916</v>
      </c>
      <c r="F116" s="30">
        <f ca="1">E116-VLOOKUP(Settings!$K$6,D$2:E$139,2,FALSE)</f>
        <v>-134.39999921944224</v>
      </c>
      <c r="G116" s="141">
        <f t="shared" ca="1" si="7"/>
        <v>111</v>
      </c>
      <c r="H116" s="30">
        <f ca="1">VLOOKUP(A116,Rankings!B1:H651,7,FALSE)+(RAND()*0.00001)</f>
        <v>-2.5018423973403698</v>
      </c>
      <c r="I116" s="30">
        <f ca="1">H116-VLOOKUP(Settings!$K$6,G$2:H$139,2,FALSE)</f>
        <v>-2.6205629258762424</v>
      </c>
    </row>
    <row r="117" spans="1:9" ht="20.100000000000001" customHeight="1">
      <c r="A117" s="25" t="s">
        <v>442</v>
      </c>
      <c r="B117" s="26" t="s">
        <v>87</v>
      </c>
      <c r="C117" s="126" t="s">
        <v>23</v>
      </c>
      <c r="D117" s="141">
        <f t="shared" ca="1" si="6"/>
        <v>116</v>
      </c>
      <c r="E117" s="30">
        <f ca="1">VLOOKUP(A117,Rankings!B1:H651,6,FALSE)+(RAND()*0.00001)</f>
        <v>172.21667646831222</v>
      </c>
      <c r="F117" s="30">
        <f ca="1">E117-VLOOKUP(Settings!$K$6,D$2:E$139,2,FALSE)</f>
        <v>-138.83332445968918</v>
      </c>
      <c r="G117" s="141">
        <f t="shared" ca="1" si="7"/>
        <v>97</v>
      </c>
      <c r="H117" s="30">
        <f ca="1">VLOOKUP(A117,Rankings!B1:H651,7,FALSE)+(RAND()*0.00001)</f>
        <v>-1.6707272279586596</v>
      </c>
      <c r="I117" s="30">
        <f ca="1">H117-VLOOKUP(Settings!$K$6,G$2:H$139,2,FALSE)</f>
        <v>-1.7894477564945319</v>
      </c>
    </row>
    <row r="118" spans="1:9" ht="20.100000000000001" customHeight="1">
      <c r="A118" s="25" t="s">
        <v>518</v>
      </c>
      <c r="B118" s="26" t="s">
        <v>119</v>
      </c>
      <c r="C118" s="126" t="s">
        <v>23</v>
      </c>
      <c r="D118" s="141">
        <f t="shared" ca="1" si="6"/>
        <v>117</v>
      </c>
      <c r="E118" s="30">
        <f ca="1">VLOOKUP(A118,Rankings!B1:H651,6,FALSE)+(RAND()*0.00001)</f>
        <v>167.41667011522347</v>
      </c>
      <c r="F118" s="30">
        <f ca="1">E118-VLOOKUP(Settings!$K$6,D$2:E$139,2,FALSE)</f>
        <v>-143.63333081277793</v>
      </c>
      <c r="G118" s="141">
        <f t="shared" ca="1" si="7"/>
        <v>112</v>
      </c>
      <c r="H118" s="30">
        <f ca="1">VLOOKUP(A118,Rankings!B1:H651,7,FALSE)+(RAND()*0.00001)</f>
        <v>-2.6044951537407415</v>
      </c>
      <c r="I118" s="30">
        <f ca="1">H118-VLOOKUP(Settings!$K$6,G$2:H$139,2,FALSE)</f>
        <v>-2.723215682276614</v>
      </c>
    </row>
    <row r="119" spans="1:9" ht="18.600000000000001" customHeight="1">
      <c r="A119" s="25" t="s">
        <v>615</v>
      </c>
      <c r="B119" s="26" t="s">
        <v>64</v>
      </c>
      <c r="C119" s="126" t="s">
        <v>23</v>
      </c>
      <c r="D119" s="141">
        <f t="shared" ca="1" si="6"/>
        <v>118</v>
      </c>
      <c r="E119" s="30">
        <f ca="1">VLOOKUP(A119,Rankings!B1:H651,6,FALSE)+(RAND()*0.00001)</f>
        <v>155.16667226088251</v>
      </c>
      <c r="F119" s="30">
        <f ca="1">E119-VLOOKUP(Settings!$K$6,D$2:E$139,2,FALSE)</f>
        <v>-155.88332866711889</v>
      </c>
      <c r="G119" s="141">
        <f t="shared" ca="1" si="7"/>
        <v>119</v>
      </c>
      <c r="H119" s="30">
        <f ca="1">VLOOKUP(A119,Rankings!B1:H651,7,FALSE)+(RAND()*0.00001)</f>
        <v>-3.6772987131530992</v>
      </c>
      <c r="I119" s="30">
        <f ca="1">H119-VLOOKUP(Settings!$K$6,G$2:H$139,2,FALSE)</f>
        <v>-3.7960192416889718</v>
      </c>
    </row>
    <row r="120" spans="1:9" ht="18.600000000000001" customHeight="1">
      <c r="A120" s="25" t="s">
        <v>672</v>
      </c>
      <c r="B120" s="26" t="s">
        <v>160</v>
      </c>
      <c r="C120" s="126" t="s">
        <v>23</v>
      </c>
      <c r="D120" s="141">
        <f t="shared" ca="1" si="6"/>
        <v>119</v>
      </c>
      <c r="E120" s="30">
        <f ca="1">VLOOKUP(A120,Rankings!B1:H651,6,FALSE)+(RAND()*0.00001)</f>
        <v>148.31667145656803</v>
      </c>
      <c r="F120" s="30">
        <f ca="1">E120-VLOOKUP(Settings!$K$6,D$2:E$139,2,FALSE)</f>
        <v>-162.73332947143336</v>
      </c>
      <c r="G120" s="141">
        <f t="shared" ca="1" si="7"/>
        <v>127</v>
      </c>
      <c r="H120" s="30">
        <f ca="1">VLOOKUP(A120,Rankings!B1:H651,7,FALSE)+(RAND()*0.00001)</f>
        <v>-4.6851585171069416</v>
      </c>
      <c r="I120" s="30">
        <f ca="1">H120-VLOOKUP(Settings!$K$6,G$2:H$139,2,FALSE)</f>
        <v>-4.8038790456428142</v>
      </c>
    </row>
    <row r="121" spans="1:9" ht="18.600000000000001" customHeight="1">
      <c r="A121" s="25" t="s">
        <v>611</v>
      </c>
      <c r="B121" s="26" t="s">
        <v>178</v>
      </c>
      <c r="C121" s="126" t="s">
        <v>23</v>
      </c>
      <c r="D121" s="141">
        <f t="shared" ca="1" si="6"/>
        <v>120</v>
      </c>
      <c r="E121" s="30">
        <f ca="1">VLOOKUP(A121,Rankings!B1:H651,6,FALSE)+(RAND()*0.00001)</f>
        <v>145.65000234974525</v>
      </c>
      <c r="F121" s="30">
        <f ca="1">E121-VLOOKUP(Settings!$K$6,D$2:E$139,2,FALSE)</f>
        <v>-165.39999857825615</v>
      </c>
      <c r="G121" s="141">
        <f t="shared" ca="1" si="7"/>
        <v>118</v>
      </c>
      <c r="H121" s="30">
        <f ca="1">VLOOKUP(A121,Rankings!B1:H651,7,FALSE)+(RAND()*0.00001)</f>
        <v>-3.6454787852537258</v>
      </c>
      <c r="I121" s="30">
        <f ca="1">H121-VLOOKUP(Settings!$K$6,G$2:H$139,2,FALSE)</f>
        <v>-3.7641993137895984</v>
      </c>
    </row>
    <row r="122" spans="1:9" ht="18.600000000000001" customHeight="1">
      <c r="A122" s="25" t="s">
        <v>635</v>
      </c>
      <c r="B122" s="26" t="s">
        <v>79</v>
      </c>
      <c r="C122" s="126" t="s">
        <v>23</v>
      </c>
      <c r="D122" s="141">
        <f t="shared" ca="1" si="6"/>
        <v>121</v>
      </c>
      <c r="E122" s="30">
        <f ca="1">VLOOKUP(A122,Rankings!B1:H651,6,FALSE)+(RAND()*0.00001)</f>
        <v>144.95000115105424</v>
      </c>
      <c r="F122" s="30">
        <f ca="1">E122-VLOOKUP(Settings!$K$6,D$2:E$139,2,FALSE)</f>
        <v>-166.09999977694716</v>
      </c>
      <c r="G122" s="141">
        <f t="shared" ca="1" si="7"/>
        <v>122</v>
      </c>
      <c r="H122" s="30">
        <f ca="1">VLOOKUP(A122,Rankings!B1:H651,7,FALSE)+(RAND()*0.00001)</f>
        <v>-3.9940002911722949</v>
      </c>
      <c r="I122" s="30">
        <f ca="1">H122-VLOOKUP(Settings!$K$6,G$2:H$139,2,FALSE)</f>
        <v>-4.1127208197081675</v>
      </c>
    </row>
    <row r="123" spans="1:9" ht="18.600000000000001" customHeight="1">
      <c r="A123" s="25" t="s">
        <v>664</v>
      </c>
      <c r="B123" s="26" t="s">
        <v>103</v>
      </c>
      <c r="C123" s="126" t="s">
        <v>23</v>
      </c>
      <c r="D123" s="141">
        <f t="shared" ca="1" si="6"/>
        <v>122</v>
      </c>
      <c r="E123" s="30">
        <f ca="1">VLOOKUP(A123,Rankings!B1:H651,6,FALSE)+(RAND()*0.00001)</f>
        <v>141.56666898637766</v>
      </c>
      <c r="F123" s="30">
        <f ca="1">E123-VLOOKUP(Settings!$K$6,D$2:E$139,2,FALSE)</f>
        <v>-169.48333194162373</v>
      </c>
      <c r="G123" s="141">
        <f t="shared" ca="1" si="7"/>
        <v>125</v>
      </c>
      <c r="H123" s="30">
        <f ca="1">VLOOKUP(A123,Rankings!B1:H651,7,FALSE)+(RAND()*0.00001)</f>
        <v>-4.5271658431346591</v>
      </c>
      <c r="I123" s="30">
        <f ca="1">H123-VLOOKUP(Settings!$K$6,G$2:H$139,2,FALSE)</f>
        <v>-4.6458863716705316</v>
      </c>
    </row>
    <row r="124" spans="1:9" ht="18.600000000000001" customHeight="1">
      <c r="A124" s="25" t="s">
        <v>626</v>
      </c>
      <c r="B124" s="26" t="s">
        <v>309</v>
      </c>
      <c r="C124" s="126" t="s">
        <v>23</v>
      </c>
      <c r="D124" s="141">
        <f t="shared" ca="1" si="6"/>
        <v>123</v>
      </c>
      <c r="E124" s="30">
        <f ca="1">VLOOKUP(A124,Rankings!B1:H651,6,FALSE)+(RAND()*0.00001)</f>
        <v>140.75000296644734</v>
      </c>
      <c r="F124" s="30">
        <f ca="1">E124-VLOOKUP(Settings!$K$6,D$2:E$139,2,FALSE)</f>
        <v>-170.29999796155406</v>
      </c>
      <c r="G124" s="141">
        <f t="shared" ca="1" si="7"/>
        <v>120</v>
      </c>
      <c r="H124" s="30">
        <f ca="1">VLOOKUP(A124,Rankings!B1:H651,7,FALSE)+(RAND()*0.00001)</f>
        <v>-3.766079418349864</v>
      </c>
      <c r="I124" s="30">
        <f ca="1">H124-VLOOKUP(Settings!$K$6,G$2:H$139,2,FALSE)</f>
        <v>-3.8847999468857366</v>
      </c>
    </row>
    <row r="125" spans="1:9" ht="18.600000000000001" customHeight="1">
      <c r="A125" s="25" t="s">
        <v>680</v>
      </c>
      <c r="B125" s="26" t="s">
        <v>225</v>
      </c>
      <c r="C125" s="126" t="s">
        <v>23</v>
      </c>
      <c r="D125" s="141">
        <f t="shared" ca="1" si="6"/>
        <v>124</v>
      </c>
      <c r="E125" s="30">
        <f ca="1">VLOOKUP(A125,Rankings!B1:H651,6,FALSE)+(RAND()*0.00001)</f>
        <v>138.51667568947906</v>
      </c>
      <c r="F125" s="30">
        <f ca="1">E125-VLOOKUP(Settings!$K$6,D$2:E$139,2,FALSE)</f>
        <v>-172.53332523852234</v>
      </c>
      <c r="G125" s="141">
        <f t="shared" ca="1" si="7"/>
        <v>130</v>
      </c>
      <c r="H125" s="30">
        <f ca="1">VLOOKUP(A125,Rankings!B1:H651,7,FALSE)+(RAND()*0.00001)</f>
        <v>-4.7566334654785667</v>
      </c>
      <c r="I125" s="30">
        <f ca="1">H125-VLOOKUP(Settings!$K$6,G$2:H$139,2,FALSE)</f>
        <v>-4.8753539940144393</v>
      </c>
    </row>
    <row r="126" spans="1:9" ht="18.600000000000001" customHeight="1">
      <c r="A126" s="25" t="s">
        <v>648</v>
      </c>
      <c r="B126" s="26" t="s">
        <v>122</v>
      </c>
      <c r="C126" s="126" t="s">
        <v>23</v>
      </c>
      <c r="D126" s="141">
        <f t="shared" ca="1" si="6"/>
        <v>125</v>
      </c>
      <c r="E126" s="30">
        <f ca="1">VLOOKUP(A126,Rankings!B1:H651,6,FALSE)+(RAND()*0.00001)</f>
        <v>138.45000023447415</v>
      </c>
      <c r="F126" s="30">
        <f ca="1">E126-VLOOKUP(Settings!$K$6,D$2:E$139,2,FALSE)</f>
        <v>-172.60000069352725</v>
      </c>
      <c r="G126" s="141">
        <f t="shared" ca="1" si="7"/>
        <v>123</v>
      </c>
      <c r="H126" s="30">
        <f ca="1">VLOOKUP(A126,Rankings!B1:H651,7,FALSE)+(RAND()*0.00001)</f>
        <v>-4.206916964491918</v>
      </c>
      <c r="I126" s="30">
        <f ca="1">H126-VLOOKUP(Settings!$K$6,G$2:H$139,2,FALSE)</f>
        <v>-4.3256374930277905</v>
      </c>
    </row>
    <row r="127" spans="1:9" ht="18.600000000000001" customHeight="1">
      <c r="A127" s="25" t="s">
        <v>710</v>
      </c>
      <c r="B127" s="26" t="s">
        <v>74</v>
      </c>
      <c r="C127" s="126" t="s">
        <v>23</v>
      </c>
      <c r="D127" s="141">
        <f t="shared" ca="1" si="6"/>
        <v>126</v>
      </c>
      <c r="E127" s="30">
        <f ca="1">VLOOKUP(A127,Rankings!B1:H651,6,FALSE)+(RAND()*0.00001)</f>
        <v>135.36667525855799</v>
      </c>
      <c r="F127" s="30">
        <f ca="1">E127-VLOOKUP(Settings!$K$6,D$2:E$139,2,FALSE)</f>
        <v>-175.68332566944341</v>
      </c>
      <c r="G127" s="141">
        <f t="shared" ca="1" si="7"/>
        <v>135</v>
      </c>
      <c r="H127" s="30">
        <f ca="1">VLOOKUP(A127,Rankings!B1:H651,7,FALSE)+(RAND()*0.00001)</f>
        <v>-5.7940165300751785</v>
      </c>
      <c r="I127" s="30">
        <f ca="1">H127-VLOOKUP(Settings!$K$6,G$2:H$139,2,FALSE)</f>
        <v>-5.912737058611051</v>
      </c>
    </row>
    <row r="128" spans="1:9" ht="18.600000000000001" customHeight="1">
      <c r="A128" s="25" t="s">
        <v>693</v>
      </c>
      <c r="B128" s="26" t="s">
        <v>158</v>
      </c>
      <c r="C128" s="126" t="s">
        <v>23</v>
      </c>
      <c r="D128" s="141">
        <f t="shared" ca="1" si="6"/>
        <v>127</v>
      </c>
      <c r="E128" s="30">
        <f ca="1">VLOOKUP(A128,Rankings!B1:H651,6,FALSE)+(RAND()*0.00001)</f>
        <v>128.81667050412128</v>
      </c>
      <c r="F128" s="30">
        <f ca="1">E128-VLOOKUP(Settings!$K$6,D$2:E$139,2,FALSE)</f>
        <v>-182.23333042388012</v>
      </c>
      <c r="G128" s="141">
        <f t="shared" ca="1" si="7"/>
        <v>132</v>
      </c>
      <c r="H128" s="30">
        <f ca="1">VLOOKUP(A128,Rankings!B1:H651,7,FALSE)+(RAND()*0.00001)</f>
        <v>-5.2259383337509053</v>
      </c>
      <c r="I128" s="30">
        <f ca="1">H128-VLOOKUP(Settings!$K$6,G$2:H$139,2,FALSE)</f>
        <v>-5.3446588622867779</v>
      </c>
    </row>
    <row r="129" spans="1:9" ht="18.600000000000001" customHeight="1">
      <c r="A129" s="25" t="s">
        <v>657</v>
      </c>
      <c r="B129" s="26" t="s">
        <v>142</v>
      </c>
      <c r="C129" s="126" t="s">
        <v>23</v>
      </c>
      <c r="D129" s="141">
        <f t="shared" ca="1" si="6"/>
        <v>128</v>
      </c>
      <c r="E129" s="30">
        <f ca="1">VLOOKUP(A129,Rankings!B1:H651,6,FALSE)+(RAND()*0.00001)</f>
        <v>126.88333509077047</v>
      </c>
      <c r="F129" s="30">
        <f ca="1">E129-VLOOKUP(Settings!$K$6,D$2:E$139,2,FALSE)</f>
        <v>-184.16666583723094</v>
      </c>
      <c r="G129" s="141">
        <f t="shared" ca="1" si="7"/>
        <v>124</v>
      </c>
      <c r="H129" s="30">
        <f ca="1">VLOOKUP(A129,Rankings!B1:H651,7,FALSE)+(RAND()*0.00001)</f>
        <v>-4.4269436207393449</v>
      </c>
      <c r="I129" s="30">
        <f ca="1">H129-VLOOKUP(Settings!$K$6,G$2:H$139,2,FALSE)</f>
        <v>-4.5456641492752174</v>
      </c>
    </row>
    <row r="130" spans="1:9" ht="18.600000000000001" customHeight="1">
      <c r="A130" s="25" t="s">
        <v>627</v>
      </c>
      <c r="B130" s="26" t="s">
        <v>105</v>
      </c>
      <c r="C130" s="126" t="s">
        <v>23</v>
      </c>
      <c r="D130" s="141">
        <f t="shared" ref="D130:D139" ca="1" si="8">RANK(E130,E$2:E$139)</f>
        <v>129</v>
      </c>
      <c r="E130" s="30">
        <f ca="1">VLOOKUP(A130,Rankings!B1:H651,6,FALSE)+(RAND()*0.00001)</f>
        <v>125.08334316612172</v>
      </c>
      <c r="F130" s="30">
        <f ca="1">E130-VLOOKUP(Settings!$K$6,D$2:E$139,2,FALSE)</f>
        <v>-185.96665776187967</v>
      </c>
      <c r="G130" s="141">
        <f t="shared" ref="G130:G139" ca="1" si="9">RANK(H130,H$2:H$139)</f>
        <v>121</v>
      </c>
      <c r="H130" s="30">
        <f ca="1">VLOOKUP(A130,Rankings!B1:H651,7,FALSE)+(RAND()*0.00001)</f>
        <v>-3.8043250112866196</v>
      </c>
      <c r="I130" s="30">
        <f ca="1">H130-VLOOKUP(Settings!$K$6,G$2:H$139,2,FALSE)</f>
        <v>-3.9230455398224922</v>
      </c>
    </row>
    <row r="131" spans="1:9" ht="18.600000000000001" customHeight="1">
      <c r="A131" s="25" t="s">
        <v>679</v>
      </c>
      <c r="B131" s="26" t="s">
        <v>72</v>
      </c>
      <c r="C131" s="126" t="s">
        <v>23</v>
      </c>
      <c r="D131" s="141">
        <f t="shared" ca="1" si="8"/>
        <v>130</v>
      </c>
      <c r="E131" s="30">
        <f ca="1">VLOOKUP(A131,Rankings!B1:H651,6,FALSE)+(RAND()*0.00001)</f>
        <v>117.36666961845089</v>
      </c>
      <c r="F131" s="30">
        <f ca="1">E131-VLOOKUP(Settings!$K$6,D$2:E$139,2,FALSE)</f>
        <v>-193.68333130955051</v>
      </c>
      <c r="G131" s="141">
        <f t="shared" ca="1" si="9"/>
        <v>129</v>
      </c>
      <c r="H131" s="30">
        <f ca="1">VLOOKUP(A131,Rankings!B1:H651,7,FALSE)+(RAND()*0.00001)</f>
        <v>-4.7563733472444847</v>
      </c>
      <c r="I131" s="30">
        <f ca="1">H131-VLOOKUP(Settings!$K$6,G$2:H$139,2,FALSE)</f>
        <v>-4.8750938757803572</v>
      </c>
    </row>
    <row r="132" spans="1:9" ht="18.600000000000001" customHeight="1">
      <c r="A132" s="25" t="s">
        <v>667</v>
      </c>
      <c r="B132" s="26" t="s">
        <v>64</v>
      </c>
      <c r="C132" s="126" t="s">
        <v>23</v>
      </c>
      <c r="D132" s="141">
        <f t="shared" ca="1" si="8"/>
        <v>131</v>
      </c>
      <c r="E132" s="30">
        <f ca="1">VLOOKUP(A132,Rankings!B1:H651,6,FALSE)+(RAND()*0.00001)</f>
        <v>115.58333996287308</v>
      </c>
      <c r="F132" s="30">
        <f ca="1">E132-VLOOKUP(Settings!$K$6,D$2:E$139,2,FALSE)</f>
        <v>-195.46666096512831</v>
      </c>
      <c r="G132" s="141">
        <f t="shared" ca="1" si="9"/>
        <v>126</v>
      </c>
      <c r="H132" s="30">
        <f ca="1">VLOOKUP(A132,Rankings!B1:H651,7,FALSE)+(RAND()*0.00001)</f>
        <v>-4.5930921039868071</v>
      </c>
      <c r="I132" s="30">
        <f ca="1">H132-VLOOKUP(Settings!$K$6,G$2:H$139,2,FALSE)</f>
        <v>-4.7118126325226797</v>
      </c>
    </row>
    <row r="133" spans="1:9" ht="20.100000000000001" customHeight="1">
      <c r="A133" s="25" t="s">
        <v>726</v>
      </c>
      <c r="B133" s="26" t="s">
        <v>142</v>
      </c>
      <c r="C133" s="126" t="s">
        <v>23</v>
      </c>
      <c r="D133" s="141">
        <f t="shared" ca="1" si="8"/>
        <v>132</v>
      </c>
      <c r="E133" s="30">
        <f ca="1">VLOOKUP(A133,Rankings!B1:H651,6,FALSE)+(RAND()*0.00001)</f>
        <v>112.4500016771084</v>
      </c>
      <c r="F133" s="30">
        <f ca="1">E133-VLOOKUP(Settings!$K$6,D$2:E$139,2,FALSE)</f>
        <v>-198.59999925089301</v>
      </c>
      <c r="G133" s="141">
        <f t="shared" ca="1" si="9"/>
        <v>136</v>
      </c>
      <c r="H133" s="30">
        <f ca="1">VLOOKUP(A133,Rankings!B1:H651,7,FALSE)+(RAND()*0.00001)</f>
        <v>-6.6186608602502357</v>
      </c>
      <c r="I133" s="30">
        <f ca="1">H133-VLOOKUP(Settings!$K$6,G$2:H$139,2,FALSE)</f>
        <v>-6.7373813887861083</v>
      </c>
    </row>
    <row r="134" spans="1:9" ht="18.600000000000001" customHeight="1">
      <c r="A134" s="25" t="s">
        <v>694</v>
      </c>
      <c r="B134" s="26" t="s">
        <v>105</v>
      </c>
      <c r="C134" s="126" t="s">
        <v>23</v>
      </c>
      <c r="D134" s="141">
        <f t="shared" ca="1" si="8"/>
        <v>133</v>
      </c>
      <c r="E134" s="30">
        <f ca="1">VLOOKUP(A134,Rankings!B1:H651,6,FALSE)+(RAND()*0.00001)</f>
        <v>108.33334078466828</v>
      </c>
      <c r="F134" s="30">
        <f ca="1">E134-VLOOKUP(Settings!$K$6,D$2:E$139,2,FALSE)</f>
        <v>-202.71666014333312</v>
      </c>
      <c r="G134" s="141">
        <f t="shared" ca="1" si="9"/>
        <v>133</v>
      </c>
      <c r="H134" s="30">
        <f ca="1">VLOOKUP(A134,Rankings!B1:H651,7,FALSE)+(RAND()*0.00001)</f>
        <v>-5.243649038354862</v>
      </c>
      <c r="I134" s="30">
        <f ca="1">H134-VLOOKUP(Settings!$K$6,G$2:H$139,2,FALSE)</f>
        <v>-5.3623695668907345</v>
      </c>
    </row>
    <row r="135" spans="1:9" ht="20.100000000000001" customHeight="1">
      <c r="A135" s="25" t="s">
        <v>676</v>
      </c>
      <c r="B135" s="26" t="s">
        <v>225</v>
      </c>
      <c r="C135" s="126" t="s">
        <v>23</v>
      </c>
      <c r="D135" s="141">
        <f t="shared" ca="1" si="8"/>
        <v>134</v>
      </c>
      <c r="E135" s="30">
        <f ca="1">VLOOKUP(A135,Rankings!B1:H651,6,FALSE)+(RAND()*0.00001)</f>
        <v>105.00000346738979</v>
      </c>
      <c r="F135" s="30">
        <f ca="1">E135-VLOOKUP(Settings!$K$6,D$2:E$139,2,FALSE)</f>
        <v>-206.04999746061162</v>
      </c>
      <c r="G135" s="141">
        <f t="shared" ca="1" si="9"/>
        <v>128</v>
      </c>
      <c r="H135" s="30">
        <f ca="1">VLOOKUP(A135,Rankings!B1:H651,7,FALSE)+(RAND()*0.00001)</f>
        <v>-4.7344188160488887</v>
      </c>
      <c r="I135" s="30">
        <f ca="1">H135-VLOOKUP(Settings!$K$6,G$2:H$139,2,FALSE)</f>
        <v>-4.8531393445847613</v>
      </c>
    </row>
    <row r="136" spans="1:9" ht="18.600000000000001" customHeight="1">
      <c r="A136" s="25" t="s">
        <v>735</v>
      </c>
      <c r="B136" s="26" t="s">
        <v>136</v>
      </c>
      <c r="C136" s="126" t="s">
        <v>23</v>
      </c>
      <c r="D136" s="141">
        <f t="shared" ca="1" si="8"/>
        <v>135</v>
      </c>
      <c r="E136" s="30">
        <f ca="1">VLOOKUP(A136,Rankings!B1:H651,6,FALSE)+(RAND()*0.00001)</f>
        <v>104.86667497983902</v>
      </c>
      <c r="F136" s="30">
        <f ca="1">E136-VLOOKUP(Settings!$K$6,D$2:E$139,2,FALSE)</f>
        <v>-206.18332594816238</v>
      </c>
      <c r="G136" s="141">
        <f t="shared" ca="1" si="9"/>
        <v>138</v>
      </c>
      <c r="H136" s="30">
        <f ca="1">VLOOKUP(A136,Rankings!B1:H651,7,FALSE)+(RAND()*0.00001)</f>
        <v>-7.5563414195065572</v>
      </c>
      <c r="I136" s="30">
        <f ca="1">H136-VLOOKUP(Settings!$K$6,G$2:H$139,2,FALSE)</f>
        <v>-7.6750619480424298</v>
      </c>
    </row>
    <row r="137" spans="1:9" ht="18.600000000000001" customHeight="1">
      <c r="A137" s="25" t="s">
        <v>686</v>
      </c>
      <c r="B137" s="26" t="s">
        <v>122</v>
      </c>
      <c r="C137" s="126" t="s">
        <v>23</v>
      </c>
      <c r="D137" s="141">
        <f t="shared" ca="1" si="8"/>
        <v>136</v>
      </c>
      <c r="E137" s="30">
        <f ca="1">VLOOKUP(A137,Rankings!B1:H651,6,FALSE)+(RAND()*0.00001)</f>
        <v>104.60000315938186</v>
      </c>
      <c r="F137" s="30">
        <f ca="1">E137-VLOOKUP(Settings!$K$6,D$2:E$139,2,FALSE)</f>
        <v>-206.44999776861954</v>
      </c>
      <c r="G137" s="141">
        <f t="shared" ca="1" si="9"/>
        <v>131</v>
      </c>
      <c r="H137" s="30">
        <f ca="1">VLOOKUP(A137,Rankings!B1:H651,7,FALSE)+(RAND()*0.00001)</f>
        <v>-5.0108459465393507</v>
      </c>
      <c r="I137" s="30">
        <f ca="1">H137-VLOOKUP(Settings!$K$6,G$2:H$139,2,FALSE)</f>
        <v>-5.1295664750752232</v>
      </c>
    </row>
    <row r="138" spans="1:9" ht="18.600000000000001" customHeight="1">
      <c r="A138" s="25" t="s">
        <v>703</v>
      </c>
      <c r="B138" s="26" t="s">
        <v>178</v>
      </c>
      <c r="C138" s="126" t="s">
        <v>23</v>
      </c>
      <c r="D138" s="141">
        <f t="shared" ca="1" si="8"/>
        <v>137</v>
      </c>
      <c r="E138" s="30">
        <f ca="1">VLOOKUP(A138,Rankings!B1:H651,6,FALSE)+(RAND()*0.00001)</f>
        <v>102.03333483446816</v>
      </c>
      <c r="F138" s="30">
        <f ca="1">E138-VLOOKUP(Settings!$K$6,D$2:E$139,2,FALSE)</f>
        <v>-209.01666609353322</v>
      </c>
      <c r="G138" s="141">
        <f t="shared" ca="1" si="9"/>
        <v>134</v>
      </c>
      <c r="H138" s="30">
        <f ca="1">VLOOKUP(A138,Rankings!B1:H651,7,FALSE)+(RAND()*0.00001)</f>
        <v>-5.4569580055852436</v>
      </c>
      <c r="I138" s="30">
        <f ca="1">H138-VLOOKUP(Settings!$K$6,G$2:H$139,2,FALSE)</f>
        <v>-5.5756785341211161</v>
      </c>
    </row>
    <row r="139" spans="1:9" ht="18.600000000000001" customHeight="1">
      <c r="A139" s="134" t="s">
        <v>730</v>
      </c>
      <c r="B139" s="135" t="s">
        <v>139</v>
      </c>
      <c r="C139" s="126" t="s">
        <v>23</v>
      </c>
      <c r="D139" s="141">
        <f t="shared" ca="1" si="8"/>
        <v>138</v>
      </c>
      <c r="E139" s="30">
        <f ca="1">VLOOKUP(A139,Rankings!B1:H651,6,FALSE)+(RAND()*0.00001)</f>
        <v>71.40000219351505</v>
      </c>
      <c r="F139" s="30">
        <f ca="1">E139-VLOOKUP(Settings!$K$6,D$2:E$139,2,FALSE)</f>
        <v>-239.64999873448636</v>
      </c>
      <c r="G139" s="141">
        <f t="shared" ca="1" si="9"/>
        <v>137</v>
      </c>
      <c r="H139" s="30">
        <f ca="1">VLOOKUP(A139,Rankings!B1:H651,7,FALSE)+(RAND()*0.00001)</f>
        <v>-7.0400735026525156</v>
      </c>
      <c r="I139" s="30">
        <f ca="1">H139-VLOOKUP(Settings!$K$6,G$2:H$139,2,FALSE)</f>
        <v>-7.1587940311883882</v>
      </c>
    </row>
  </sheetData>
  <autoFilter ref="A1:I139" xr:uid="{00000000-0001-0000-0900-000000000000}">
    <sortState xmlns:xlrd2="http://schemas.microsoft.com/office/spreadsheetml/2017/richdata2" ref="A2:I139">
      <sortCondition ref="D1:D139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45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9" width="7.140625" style="1" customWidth="1"/>
    <col min="10" max="10" width="16.28515625" style="1" customWidth="1"/>
    <col min="11" max="16384" width="16.28515625" style="1"/>
  </cols>
  <sheetData>
    <row r="1" spans="1:9" ht="36" customHeight="1">
      <c r="A1" s="138" t="s">
        <v>59</v>
      </c>
      <c r="B1" s="139" t="s">
        <v>60</v>
      </c>
      <c r="C1" s="139" t="s">
        <v>752</v>
      </c>
      <c r="D1" s="140" t="s">
        <v>753</v>
      </c>
      <c r="E1" s="139" t="s">
        <v>63</v>
      </c>
      <c r="F1" s="139" t="s">
        <v>65</v>
      </c>
      <c r="G1" s="140" t="s">
        <v>754</v>
      </c>
      <c r="H1" s="139" t="s">
        <v>64</v>
      </c>
      <c r="I1" s="139" t="s">
        <v>65</v>
      </c>
    </row>
    <row r="2" spans="1:9" ht="18.600000000000001" customHeight="1">
      <c r="A2" s="25" t="s">
        <v>91</v>
      </c>
      <c r="B2" s="26" t="s">
        <v>92</v>
      </c>
      <c r="C2" s="127" t="s">
        <v>27</v>
      </c>
      <c r="D2" s="141">
        <f t="shared" ref="D2:D45" ca="1" si="0">RANK(E2,E$2:E$45)</f>
        <v>1</v>
      </c>
      <c r="E2" s="30">
        <f ca="1">VLOOKUP(A2,Rankings!B1:H651,6,FALSE)+(RAND()*0.00001)</f>
        <v>571.36667623392054</v>
      </c>
      <c r="F2" s="30">
        <f ca="1">E2-VLOOKUP(Settings!$K$7,D$2:E$45,2,FALSE)</f>
        <v>215.38333489311771</v>
      </c>
      <c r="G2" s="141">
        <f t="shared" ref="G2:G45" ca="1" si="1">RANK(H2,H$2:H$45)</f>
        <v>1</v>
      </c>
      <c r="H2" s="30">
        <f ca="1">VLOOKUP(A2,Rankings!B1:H651,7,FALSE)+(RAND()*0.00001)</f>
        <v>10.07043881185318</v>
      </c>
      <c r="I2" s="30">
        <f ca="1">H2-VLOOKUP(Settings!$K$7,G$2:H$45,2,FALSE)</f>
        <v>7.0660098594574023</v>
      </c>
    </row>
    <row r="3" spans="1:9" ht="18.600000000000001" customHeight="1">
      <c r="A3" s="25" t="s">
        <v>126</v>
      </c>
      <c r="B3" s="26" t="s">
        <v>95</v>
      </c>
      <c r="C3" s="127" t="s">
        <v>27</v>
      </c>
      <c r="D3" s="141">
        <f t="shared" ca="1" si="0"/>
        <v>2</v>
      </c>
      <c r="E3" s="30">
        <f ca="1">VLOOKUP(A3,Rankings!B1:H651,6,FALSE)+(RAND()*0.00001)</f>
        <v>534.30000745534153</v>
      </c>
      <c r="F3" s="30">
        <f ca="1">E3-VLOOKUP(Settings!$K$7,D$2:E$45,2,FALSE)</f>
        <v>178.31666611453869</v>
      </c>
      <c r="G3" s="141">
        <f t="shared" ca="1" si="1"/>
        <v>3</v>
      </c>
      <c r="H3" s="30">
        <f ca="1">VLOOKUP(A3,Rankings!B1:H651,7,FALSE)+(RAND()*0.00001)</f>
        <v>8.2964931653575817</v>
      </c>
      <c r="I3" s="30">
        <f ca="1">H3-VLOOKUP(Settings!$K$7,G$2:H$45,2,FALSE)</f>
        <v>5.2920642129618045</v>
      </c>
    </row>
    <row r="4" spans="1:9" ht="18.600000000000001" customHeight="1">
      <c r="A4" s="25" t="s">
        <v>118</v>
      </c>
      <c r="B4" s="26" t="s">
        <v>119</v>
      </c>
      <c r="C4" s="127" t="s">
        <v>27</v>
      </c>
      <c r="D4" s="141">
        <f t="shared" ca="1" si="0"/>
        <v>3</v>
      </c>
      <c r="E4" s="30">
        <f ca="1">VLOOKUP(A4,Rankings!B1:H651,6,FALSE)+(RAND()*0.00001)</f>
        <v>531.13333612976305</v>
      </c>
      <c r="F4" s="30">
        <f ca="1">E4-VLOOKUP(Settings!$K$7,D$2:E$45,2,FALSE)</f>
        <v>175.14999478896021</v>
      </c>
      <c r="G4" s="141">
        <f t="shared" ca="1" si="1"/>
        <v>2</v>
      </c>
      <c r="H4" s="30">
        <f ca="1">VLOOKUP(A4,Rankings!B1:H651,7,FALSE)+(RAND()*0.00001)</f>
        <v>8.6386726988944424</v>
      </c>
      <c r="I4" s="30">
        <f ca="1">H4-VLOOKUP(Settings!$K$7,G$2:H$45,2,FALSE)</f>
        <v>5.6342437464986652</v>
      </c>
    </row>
    <row r="5" spans="1:9" ht="18.600000000000001" customHeight="1">
      <c r="A5" s="25" t="s">
        <v>213</v>
      </c>
      <c r="B5" s="26" t="s">
        <v>87</v>
      </c>
      <c r="C5" s="127" t="s">
        <v>27</v>
      </c>
      <c r="D5" s="141">
        <f t="shared" ca="1" si="0"/>
        <v>4</v>
      </c>
      <c r="E5" s="30">
        <f ca="1">VLOOKUP(A5,Rankings!B1:H651,6,FALSE)+(RAND()*0.00001)</f>
        <v>505.68333599444293</v>
      </c>
      <c r="F5" s="30">
        <f ca="1">E5-VLOOKUP(Settings!$K$7,D$2:E$45,2,FALSE)</f>
        <v>149.69999465364009</v>
      </c>
      <c r="G5" s="141">
        <f t="shared" ca="1" si="1"/>
        <v>9</v>
      </c>
      <c r="H5" s="30">
        <f ca="1">VLOOKUP(A5,Rankings!B1:H651,7,FALSE)+(RAND()*0.00001)</f>
        <v>5.2733624463496502</v>
      </c>
      <c r="I5" s="30">
        <f ca="1">H5-VLOOKUP(Settings!$K$7,G$2:H$45,2,FALSE)</f>
        <v>2.2689334939538734</v>
      </c>
    </row>
    <row r="6" spans="1:9" ht="18.600000000000001" customHeight="1">
      <c r="A6" s="25" t="s">
        <v>128</v>
      </c>
      <c r="B6" s="26" t="s">
        <v>64</v>
      </c>
      <c r="C6" s="127" t="s">
        <v>27</v>
      </c>
      <c r="D6" s="141">
        <f t="shared" ca="1" si="0"/>
        <v>5</v>
      </c>
      <c r="E6" s="30">
        <f ca="1">VLOOKUP(A6,Rankings!B1:H651,6,FALSE)+(RAND()*0.00001)</f>
        <v>499.56667361476343</v>
      </c>
      <c r="F6" s="30">
        <f ca="1">E6-VLOOKUP(Settings!$K$7,D$2:E$45,2,FALSE)</f>
        <v>143.58333227396059</v>
      </c>
      <c r="G6" s="141">
        <f t="shared" ca="1" si="1"/>
        <v>4</v>
      </c>
      <c r="H6" s="30">
        <f ca="1">VLOOKUP(A6,Rankings!B1:H651,7,FALSE)+(RAND()*0.00001)</f>
        <v>8.1545584254429286</v>
      </c>
      <c r="I6" s="30">
        <f ca="1">H6-VLOOKUP(Settings!$K$7,G$2:H$45,2,FALSE)</f>
        <v>5.1501294730471514</v>
      </c>
    </row>
    <row r="7" spans="1:9" ht="18.600000000000001" customHeight="1">
      <c r="A7" s="25" t="s">
        <v>204</v>
      </c>
      <c r="B7" s="26" t="s">
        <v>97</v>
      </c>
      <c r="C7" s="127" t="s">
        <v>27</v>
      </c>
      <c r="D7" s="141">
        <f t="shared" ca="1" si="0"/>
        <v>6</v>
      </c>
      <c r="E7" s="30">
        <f ca="1">VLOOKUP(A7,Rankings!B1:H651,6,FALSE)+(RAND()*0.00001)</f>
        <v>492.73333853665298</v>
      </c>
      <c r="F7" s="30">
        <f ca="1">E7-VLOOKUP(Settings!$K$7,D$2:E$45,2,FALSE)</f>
        <v>136.74999719585014</v>
      </c>
      <c r="G7" s="141">
        <f t="shared" ca="1" si="1"/>
        <v>6</v>
      </c>
      <c r="H7" s="30">
        <f ca="1">VLOOKUP(A7,Rankings!B1:H651,7,FALSE)+(RAND()*0.00001)</f>
        <v>5.5712045010166964</v>
      </c>
      <c r="I7" s="30">
        <f ca="1">H7-VLOOKUP(Settings!$K$7,G$2:H$45,2,FALSE)</f>
        <v>2.5667755486209196</v>
      </c>
    </row>
    <row r="8" spans="1:9" ht="18.600000000000001" customHeight="1">
      <c r="A8" s="25" t="s">
        <v>228</v>
      </c>
      <c r="B8" s="26" t="s">
        <v>64</v>
      </c>
      <c r="C8" s="127" t="s">
        <v>27</v>
      </c>
      <c r="D8" s="141">
        <f t="shared" ca="1" si="0"/>
        <v>7</v>
      </c>
      <c r="E8" s="30">
        <f ca="1">VLOOKUP(A8,Rankings!B1:H651,6,FALSE)+(RAND()*0.00001)</f>
        <v>472.86666948086042</v>
      </c>
      <c r="F8" s="30">
        <f ca="1">E8-VLOOKUP(Settings!$K$7,D$2:E$45,2,FALSE)</f>
        <v>116.88332814005759</v>
      </c>
      <c r="G8" s="141">
        <f t="shared" ca="1" si="1"/>
        <v>10</v>
      </c>
      <c r="H8" s="30">
        <f ca="1">VLOOKUP(A8,Rankings!B1:H651,7,FALSE)+(RAND()*0.00001)</f>
        <v>4.9944504810752202</v>
      </c>
      <c r="I8" s="30">
        <f ca="1">H8-VLOOKUP(Settings!$K$7,G$2:H$45,2,FALSE)</f>
        <v>1.9900215286794434</v>
      </c>
    </row>
    <row r="9" spans="1:9" ht="18.600000000000001" customHeight="1">
      <c r="A9" s="25" t="s">
        <v>211</v>
      </c>
      <c r="B9" s="26" t="s">
        <v>160</v>
      </c>
      <c r="C9" s="127" t="s">
        <v>27</v>
      </c>
      <c r="D9" s="141">
        <f t="shared" ca="1" si="0"/>
        <v>8</v>
      </c>
      <c r="E9" s="30">
        <f ca="1">VLOOKUP(A9,Rankings!B1:H651,6,FALSE)+(RAND()*0.00001)</f>
        <v>461.50000790740899</v>
      </c>
      <c r="F9" s="30">
        <f ca="1">E9-VLOOKUP(Settings!$K$7,D$2:E$45,2,FALSE)</f>
        <v>105.51666656660615</v>
      </c>
      <c r="G9" s="141">
        <f t="shared" ca="1" si="1"/>
        <v>8</v>
      </c>
      <c r="H9" s="30">
        <f ca="1">VLOOKUP(A9,Rankings!B1:H651,7,FALSE)+(RAND()*0.00001)</f>
        <v>5.2991009822692767</v>
      </c>
      <c r="I9" s="30">
        <f ca="1">H9-VLOOKUP(Settings!$K$7,G$2:H$45,2,FALSE)</f>
        <v>2.2946720298734999</v>
      </c>
    </row>
    <row r="10" spans="1:9" ht="18.600000000000001" customHeight="1">
      <c r="A10" s="25" t="s">
        <v>245</v>
      </c>
      <c r="B10" s="26" t="s">
        <v>99</v>
      </c>
      <c r="C10" s="127" t="s">
        <v>27</v>
      </c>
      <c r="D10" s="141">
        <f t="shared" ca="1" si="0"/>
        <v>9</v>
      </c>
      <c r="E10" s="30">
        <f ca="1">VLOOKUP(A10,Rankings!B1:H651,6,FALSE)+(RAND()*0.00001)</f>
        <v>459.56667126839301</v>
      </c>
      <c r="F10" s="30">
        <f ca="1">E10-VLOOKUP(Settings!$K$7,D$2:E$45,2,FALSE)</f>
        <v>103.58332992759017</v>
      </c>
      <c r="G10" s="141">
        <f t="shared" ca="1" si="1"/>
        <v>11</v>
      </c>
      <c r="H10" s="30">
        <f ca="1">VLOOKUP(A10,Rankings!B1:H651,7,FALSE)+(RAND()*0.00001)</f>
        <v>4.5941964936247137</v>
      </c>
      <c r="I10" s="30">
        <f ca="1">H10-VLOOKUP(Settings!$K$7,G$2:H$45,2,FALSE)</f>
        <v>1.5897675412289369</v>
      </c>
    </row>
    <row r="11" spans="1:9" ht="18.600000000000001" customHeight="1">
      <c r="A11" s="25" t="s">
        <v>275</v>
      </c>
      <c r="B11" s="26" t="s">
        <v>103</v>
      </c>
      <c r="C11" s="127" t="s">
        <v>27</v>
      </c>
      <c r="D11" s="141">
        <f t="shared" ca="1" si="0"/>
        <v>10</v>
      </c>
      <c r="E11" s="30">
        <f ca="1">VLOOKUP(A11,Rankings!B1:H651,6,FALSE)+(RAND()*0.00001)</f>
        <v>455.21667529799959</v>
      </c>
      <c r="F11" s="30">
        <f ca="1">E11-VLOOKUP(Settings!$K$7,D$2:E$45,2,FALSE)</f>
        <v>99.233333957196749</v>
      </c>
      <c r="G11" s="141">
        <f t="shared" ca="1" si="1"/>
        <v>13</v>
      </c>
      <c r="H11" s="30">
        <f ca="1">VLOOKUP(A11,Rankings!B1:H651,7,FALSE)+(RAND()*0.00001)</f>
        <v>3.9415638795319148</v>
      </c>
      <c r="I11" s="30">
        <f ca="1">H11-VLOOKUP(Settings!$K$7,G$2:H$45,2,FALSE)</f>
        <v>0.937134927136138</v>
      </c>
    </row>
    <row r="12" spans="1:9" ht="18.600000000000001" customHeight="1">
      <c r="A12" s="25" t="s">
        <v>208</v>
      </c>
      <c r="B12" s="26" t="s">
        <v>139</v>
      </c>
      <c r="C12" s="127" t="s">
        <v>27</v>
      </c>
      <c r="D12" s="141">
        <f t="shared" ca="1" si="0"/>
        <v>11</v>
      </c>
      <c r="E12" s="30">
        <f ca="1">VLOOKUP(A12,Rankings!B1:H651,6,FALSE)+(RAND()*0.00001)</f>
        <v>451.35000222030044</v>
      </c>
      <c r="F12" s="30">
        <f ca="1">E12-VLOOKUP(Settings!$K$7,D$2:E$45,2,FALSE)</f>
        <v>95.366660879497601</v>
      </c>
      <c r="G12" s="141">
        <f t="shared" ca="1" si="1"/>
        <v>7</v>
      </c>
      <c r="H12" s="30">
        <f ca="1">VLOOKUP(A12,Rankings!B1:H651,7,FALSE)+(RAND()*0.00001)</f>
        <v>5.4043966331974422</v>
      </c>
      <c r="I12" s="30">
        <f ca="1">H12-VLOOKUP(Settings!$K$7,G$2:H$45,2,FALSE)</f>
        <v>2.3999676808016654</v>
      </c>
    </row>
    <row r="13" spans="1:9" ht="18.600000000000001" customHeight="1">
      <c r="A13" s="25" t="s">
        <v>293</v>
      </c>
      <c r="B13" s="26" t="s">
        <v>158</v>
      </c>
      <c r="C13" s="127" t="s">
        <v>27</v>
      </c>
      <c r="D13" s="141">
        <f t="shared" ca="1" si="0"/>
        <v>12</v>
      </c>
      <c r="E13" s="30">
        <f ca="1">VLOOKUP(A13,Rankings!B1:H651,6,FALSE)+(RAND()*0.00001)</f>
        <v>443.05000661338175</v>
      </c>
      <c r="F13" s="30">
        <f ca="1">E13-VLOOKUP(Settings!$K$7,D$2:E$45,2,FALSE)</f>
        <v>87.066665272578916</v>
      </c>
      <c r="G13" s="141">
        <f t="shared" ca="1" si="1"/>
        <v>14</v>
      </c>
      <c r="H13" s="30">
        <f ca="1">VLOOKUP(A13,Rankings!B1:H651,7,FALSE)+(RAND()*0.00001)</f>
        <v>3.5457521227097795</v>
      </c>
      <c r="I13" s="30">
        <f ca="1">H13-VLOOKUP(Settings!$K$7,G$2:H$45,2,FALSE)</f>
        <v>0.54132317031400268</v>
      </c>
    </row>
    <row r="14" spans="1:9" ht="18.600000000000001" customHeight="1">
      <c r="A14" s="25" t="s">
        <v>185</v>
      </c>
      <c r="B14" s="26" t="s">
        <v>116</v>
      </c>
      <c r="C14" s="127" t="s">
        <v>27</v>
      </c>
      <c r="D14" s="141">
        <f t="shared" ca="1" si="0"/>
        <v>13</v>
      </c>
      <c r="E14" s="30">
        <f ca="1">VLOOKUP(A14,Rankings!B1:H651,6,FALSE)+(RAND()*0.00001)</f>
        <v>442.71666752173883</v>
      </c>
      <c r="F14" s="30">
        <f ca="1">E14-VLOOKUP(Settings!$K$7,D$2:E$45,2,FALSE)</f>
        <v>86.73332618093599</v>
      </c>
      <c r="G14" s="141">
        <f t="shared" ca="1" si="1"/>
        <v>5</v>
      </c>
      <c r="H14" s="30">
        <f ca="1">VLOOKUP(A14,Rankings!B1:H651,7,FALSE)+(RAND()*0.00001)</f>
        <v>6.2668969227346123</v>
      </c>
      <c r="I14" s="30">
        <f ca="1">H14-VLOOKUP(Settings!$K$7,G$2:H$45,2,FALSE)</f>
        <v>3.2624679703388355</v>
      </c>
    </row>
    <row r="15" spans="1:9" ht="18.600000000000001" customHeight="1">
      <c r="A15" s="25" t="s">
        <v>248</v>
      </c>
      <c r="B15" s="26" t="s">
        <v>77</v>
      </c>
      <c r="C15" s="127" t="s">
        <v>27</v>
      </c>
      <c r="D15" s="141">
        <f t="shared" ca="1" si="0"/>
        <v>14</v>
      </c>
      <c r="E15" s="30">
        <f ca="1">VLOOKUP(A15,Rankings!B1:H651,6,FALSE)+(RAND()*0.00001)</f>
        <v>428.70000244227361</v>
      </c>
      <c r="F15" s="30">
        <f ca="1">E15-VLOOKUP(Settings!$K$7,D$2:E$45,2,FALSE)</f>
        <v>72.716661101470777</v>
      </c>
      <c r="G15" s="141">
        <f t="shared" ca="1" si="1"/>
        <v>12</v>
      </c>
      <c r="H15" s="30">
        <f ca="1">VLOOKUP(A15,Rankings!B1:H651,7,FALSE)+(RAND()*0.00001)</f>
        <v>4.4713208512130649</v>
      </c>
      <c r="I15" s="30">
        <f ca="1">H15-VLOOKUP(Settings!$K$7,G$2:H$45,2,FALSE)</f>
        <v>1.4668918988172881</v>
      </c>
    </row>
    <row r="16" spans="1:9" ht="18.600000000000001" customHeight="1">
      <c r="A16" s="25" t="s">
        <v>303</v>
      </c>
      <c r="B16" s="26" t="s">
        <v>79</v>
      </c>
      <c r="C16" s="127" t="s">
        <v>27</v>
      </c>
      <c r="D16" s="141">
        <f t="shared" ca="1" si="0"/>
        <v>15</v>
      </c>
      <c r="E16" s="30">
        <f ca="1">VLOOKUP(A16,Rankings!B1:H651,6,FALSE)+(RAND()*0.00001)</f>
        <v>393.05000722092956</v>
      </c>
      <c r="F16" s="30">
        <f ca="1">E16-VLOOKUP(Settings!$K$7,D$2:E$45,2,FALSE)</f>
        <v>37.06666588012672</v>
      </c>
      <c r="G16" s="141">
        <f t="shared" ca="1" si="1"/>
        <v>15</v>
      </c>
      <c r="H16" s="30">
        <f ca="1">VLOOKUP(A16,Rankings!B1:H651,7,FALSE)+(RAND()*0.00001)</f>
        <v>3.4037262847666994</v>
      </c>
      <c r="I16" s="30">
        <f ca="1">H16-VLOOKUP(Settings!$K$7,G$2:H$45,2,FALSE)</f>
        <v>0.39929733237092258</v>
      </c>
    </row>
    <row r="17" spans="1:9" ht="18.600000000000001" customHeight="1">
      <c r="A17" s="25" t="s">
        <v>335</v>
      </c>
      <c r="B17" s="26" t="s">
        <v>260</v>
      </c>
      <c r="C17" s="127" t="s">
        <v>27</v>
      </c>
      <c r="D17" s="141">
        <f t="shared" ca="1" si="0"/>
        <v>16</v>
      </c>
      <c r="E17" s="30">
        <f ca="1">VLOOKUP(A17,Rankings!B1:H651,6,FALSE)+(RAND()*0.00001)</f>
        <v>382.50000602939241</v>
      </c>
      <c r="F17" s="30">
        <f ca="1">E17-VLOOKUP(Settings!$K$7,D$2:E$45,2,FALSE)</f>
        <v>26.516664688589572</v>
      </c>
      <c r="G17" s="141">
        <f t="shared" ca="1" si="1"/>
        <v>18</v>
      </c>
      <c r="H17" s="30">
        <f ca="1">VLOOKUP(A17,Rankings!B1:H651,7,FALSE)+(RAND()*0.00001)</f>
        <v>3.0044289523957768</v>
      </c>
      <c r="I17" s="30">
        <f ca="1">H17-VLOOKUP(Settings!$K$7,G$2:H$45,2,FALSE)</f>
        <v>0</v>
      </c>
    </row>
    <row r="18" spans="1:9" ht="18.600000000000001" customHeight="1">
      <c r="A18" s="25" t="s">
        <v>323</v>
      </c>
      <c r="B18" s="26" t="s">
        <v>160</v>
      </c>
      <c r="C18" s="127" t="s">
        <v>27</v>
      </c>
      <c r="D18" s="141">
        <f t="shared" ca="1" si="0"/>
        <v>17</v>
      </c>
      <c r="E18" s="30">
        <f ca="1">VLOOKUP(A18,Rankings!B1:H651,6,FALSE)+(RAND()*0.00001)</f>
        <v>381.31667440601575</v>
      </c>
      <c r="F18" s="30">
        <f ca="1">E18-VLOOKUP(Settings!$K$7,D$2:E$45,2,FALSE)</f>
        <v>25.333333065212912</v>
      </c>
      <c r="G18" s="141">
        <f t="shared" ca="1" si="1"/>
        <v>16</v>
      </c>
      <c r="H18" s="30">
        <f ca="1">VLOOKUP(A18,Rankings!B1:H651,7,FALSE)+(RAND()*0.00001)</f>
        <v>3.1598416891741237</v>
      </c>
      <c r="I18" s="30">
        <f ca="1">H18-VLOOKUP(Settings!$K$7,G$2:H$45,2,FALSE)</f>
        <v>0.15541273677834688</v>
      </c>
    </row>
    <row r="19" spans="1:9" ht="18.600000000000001" customHeight="1">
      <c r="A19" s="25" t="s">
        <v>595</v>
      </c>
      <c r="B19" s="26" t="s">
        <v>72</v>
      </c>
      <c r="C19" s="127" t="s">
        <v>27</v>
      </c>
      <c r="D19" s="141">
        <f t="shared" ca="1" si="0"/>
        <v>18</v>
      </c>
      <c r="E19" s="30">
        <f ca="1">VLOOKUP(A19,Rankings!B1:H651,6,FALSE)+(RAND()*0.00001)</f>
        <v>355.98334134080284</v>
      </c>
      <c r="F19" s="30">
        <f ca="1">E19-VLOOKUP(Settings!$K$7,D$2:E$45,2,FALSE)</f>
        <v>0</v>
      </c>
      <c r="G19" s="141">
        <f t="shared" ca="1" si="1"/>
        <v>26</v>
      </c>
      <c r="H19" s="30">
        <f ca="1">VLOOKUP(A19,Rankings!B1:H651,7,FALSE)+(RAND()*0.00001)</f>
        <v>-0.54668710790552011</v>
      </c>
      <c r="I19" s="30">
        <f ca="1">H19-VLOOKUP(Settings!$K$7,G$2:H$45,2,FALSE)</f>
        <v>-3.5511160603012968</v>
      </c>
    </row>
    <row r="20" spans="1:9" ht="18.600000000000001" customHeight="1">
      <c r="A20" s="25" t="s">
        <v>357</v>
      </c>
      <c r="B20" s="26" t="s">
        <v>178</v>
      </c>
      <c r="C20" s="127" t="s">
        <v>27</v>
      </c>
      <c r="D20" s="141">
        <f t="shared" ca="1" si="0"/>
        <v>19</v>
      </c>
      <c r="E20" s="30">
        <f ca="1">VLOOKUP(A20,Rankings!B1:H651,6,FALSE)+(RAND()*0.00001)</f>
        <v>355.05000919268593</v>
      </c>
      <c r="F20" s="30">
        <f ca="1">E20-VLOOKUP(Settings!$K$7,D$2:E$45,2,FALSE)</f>
        <v>-0.93333214811690368</v>
      </c>
      <c r="G20" s="141">
        <f t="shared" ca="1" si="1"/>
        <v>19</v>
      </c>
      <c r="H20" s="30">
        <f ca="1">VLOOKUP(A20,Rankings!B1:H651,7,FALSE)+(RAND()*0.00001)</f>
        <v>2.7637291732536324</v>
      </c>
      <c r="I20" s="30">
        <f ca="1">H20-VLOOKUP(Settings!$K$7,G$2:H$45,2,FALSE)</f>
        <v>-0.24069977914214435</v>
      </c>
    </row>
    <row r="21" spans="1:9" ht="18.600000000000001" customHeight="1">
      <c r="A21" s="25" t="s">
        <v>512</v>
      </c>
      <c r="B21" s="26" t="s">
        <v>219</v>
      </c>
      <c r="C21" s="127" t="s">
        <v>27</v>
      </c>
      <c r="D21" s="141">
        <f t="shared" ca="1" si="0"/>
        <v>20</v>
      </c>
      <c r="E21" s="30">
        <f ca="1">VLOOKUP(A21,Rankings!B1:H651,6,FALSE)+(RAND()*0.00001)</f>
        <v>327.38334227439219</v>
      </c>
      <c r="F21" s="30">
        <f ca="1">E21-VLOOKUP(Settings!$K$7,D$2:E$45,2,FALSE)</f>
        <v>-28.599999066410646</v>
      </c>
      <c r="G21" s="141">
        <f t="shared" ca="1" si="1"/>
        <v>22</v>
      </c>
      <c r="H21" s="30">
        <f ca="1">VLOOKUP(A21,Rankings!B1:H651,7,FALSE)+(RAND()*0.00001)</f>
        <v>0.33940810046525116</v>
      </c>
      <c r="I21" s="30">
        <f ca="1">H21-VLOOKUP(Settings!$K$7,G$2:H$45,2,FALSE)</f>
        <v>-2.6650208519305254</v>
      </c>
    </row>
    <row r="22" spans="1:9" ht="18.600000000000001" customHeight="1">
      <c r="A22" s="25" t="s">
        <v>329</v>
      </c>
      <c r="B22" s="26" t="s">
        <v>105</v>
      </c>
      <c r="C22" s="127" t="s">
        <v>27</v>
      </c>
      <c r="D22" s="141">
        <f t="shared" ca="1" si="0"/>
        <v>21</v>
      </c>
      <c r="E22" s="30">
        <f ca="1">VLOOKUP(A22,Rankings!B1:H651,6,FALSE)+(RAND()*0.00001)</f>
        <v>321.46666757349004</v>
      </c>
      <c r="F22" s="30">
        <f ca="1">E22-VLOOKUP(Settings!$K$7,D$2:E$45,2,FALSE)</f>
        <v>-34.516673767312795</v>
      </c>
      <c r="G22" s="141">
        <f t="shared" ca="1" si="1"/>
        <v>17</v>
      </c>
      <c r="H22" s="30">
        <f ca="1">VLOOKUP(A22,Rankings!B1:H651,7,FALSE)+(RAND()*0.00001)</f>
        <v>3.0448538255356294</v>
      </c>
      <c r="I22" s="30">
        <f ca="1">H22-VLOOKUP(Settings!$K$7,G$2:H$45,2,FALSE)</f>
        <v>4.0424873139852657E-2</v>
      </c>
    </row>
    <row r="23" spans="1:9" ht="18.600000000000001" customHeight="1">
      <c r="A23" s="25" t="s">
        <v>477</v>
      </c>
      <c r="B23" s="26" t="s">
        <v>309</v>
      </c>
      <c r="C23" s="127" t="s">
        <v>27</v>
      </c>
      <c r="D23" s="141">
        <f t="shared" ca="1" si="0"/>
        <v>22</v>
      </c>
      <c r="E23" s="30">
        <f ca="1">VLOOKUP(A23,Rankings!B1:H651,6,FALSE)+(RAND()*0.00001)</f>
        <v>315.93333347500499</v>
      </c>
      <c r="F23" s="30">
        <f ca="1">E23-VLOOKUP(Settings!$K$7,D$2:E$45,2,FALSE)</f>
        <v>-40.050007865797852</v>
      </c>
      <c r="G23" s="141">
        <f t="shared" ca="1" si="1"/>
        <v>21</v>
      </c>
      <c r="H23" s="30">
        <f ca="1">VLOOKUP(A23,Rankings!B1:H651,7,FALSE)+(RAND()*0.00001)</f>
        <v>0.82919108476964842</v>
      </c>
      <c r="I23" s="30">
        <f ca="1">H23-VLOOKUP(Settings!$K$7,G$2:H$45,2,FALSE)</f>
        <v>-2.1752378676261284</v>
      </c>
    </row>
    <row r="24" spans="1:9" ht="18.600000000000001" customHeight="1">
      <c r="A24" s="25" t="s">
        <v>532</v>
      </c>
      <c r="B24" s="26" t="s">
        <v>85</v>
      </c>
      <c r="C24" s="127" t="s">
        <v>27</v>
      </c>
      <c r="D24" s="141">
        <f t="shared" ca="1" si="0"/>
        <v>23</v>
      </c>
      <c r="E24" s="30">
        <f ca="1">VLOOKUP(A24,Rankings!B1:H651,6,FALSE)+(RAND()*0.00001)</f>
        <v>309.71667380540191</v>
      </c>
      <c r="F24" s="30">
        <f ca="1">E24-VLOOKUP(Settings!$K$7,D$2:E$45,2,FALSE)</f>
        <v>-46.266667535400927</v>
      </c>
      <c r="G24" s="141">
        <f t="shared" ca="1" si="1"/>
        <v>23</v>
      </c>
      <c r="H24" s="30">
        <f ca="1">VLOOKUP(A24,Rankings!B1:H651,7,FALSE)+(RAND()*0.00001)</f>
        <v>0.15436508308110386</v>
      </c>
      <c r="I24" s="30">
        <f ca="1">H24-VLOOKUP(Settings!$K$7,G$2:H$45,2,FALSE)</f>
        <v>-2.8500638693146731</v>
      </c>
    </row>
    <row r="25" spans="1:9" ht="18.600000000000001" customHeight="1">
      <c r="A25" s="25" t="s">
        <v>556</v>
      </c>
      <c r="B25" s="26"/>
      <c r="C25" s="127" t="s">
        <v>27</v>
      </c>
      <c r="D25" s="141">
        <f t="shared" ca="1" si="0"/>
        <v>24</v>
      </c>
      <c r="E25" s="30">
        <f ca="1">VLOOKUP(A25,Rankings!B1:H651,6,FALSE)+(RAND()*0.00001)</f>
        <v>305.08334070516884</v>
      </c>
      <c r="F25" s="30">
        <f ca="1">E25-VLOOKUP(Settings!$K$7,D$2:E$45,2,FALSE)</f>
        <v>-50.900000635634001</v>
      </c>
      <c r="G25" s="141">
        <f t="shared" ca="1" si="1"/>
        <v>24</v>
      </c>
      <c r="H25" s="30">
        <f ca="1">VLOOKUP(A25,Rankings!B1:H651,7,FALSE)+(RAND()*0.00001)</f>
        <v>-5.0186715338761609E-2</v>
      </c>
      <c r="I25" s="30">
        <f ca="1">H25-VLOOKUP(Settings!$K$7,G$2:H$45,2,FALSE)</f>
        <v>-3.0546156677345384</v>
      </c>
    </row>
    <row r="26" spans="1:9" ht="18.600000000000001" customHeight="1">
      <c r="A26" s="25" t="s">
        <v>429</v>
      </c>
      <c r="B26" s="26" t="s">
        <v>225</v>
      </c>
      <c r="C26" s="127" t="s">
        <v>27</v>
      </c>
      <c r="D26" s="141">
        <f t="shared" ca="1" si="0"/>
        <v>25</v>
      </c>
      <c r="E26" s="30">
        <f ca="1">VLOOKUP(A26,Rankings!B1:H651,6,FALSE)+(RAND()*0.00001)</f>
        <v>294.55000570335972</v>
      </c>
      <c r="F26" s="30">
        <f ca="1">E26-VLOOKUP(Settings!$K$7,D$2:E$45,2,FALSE)</f>
        <v>-61.433335637443122</v>
      </c>
      <c r="G26" s="141">
        <f t="shared" ca="1" si="1"/>
        <v>20</v>
      </c>
      <c r="H26" s="30">
        <f ca="1">VLOOKUP(A26,Rankings!B1:H651,7,FALSE)+(RAND()*0.00001)</f>
        <v>1.4214613451717599</v>
      </c>
      <c r="I26" s="30">
        <f ca="1">H26-VLOOKUP(Settings!$K$7,G$2:H$45,2,FALSE)</f>
        <v>-1.5829676072240169</v>
      </c>
    </row>
    <row r="27" spans="1:9" ht="18.600000000000001" customHeight="1">
      <c r="A27" s="25" t="s">
        <v>670</v>
      </c>
      <c r="B27" s="26" t="s">
        <v>225</v>
      </c>
      <c r="C27" s="127" t="s">
        <v>27</v>
      </c>
      <c r="D27" s="141">
        <f t="shared" ca="1" si="0"/>
        <v>26</v>
      </c>
      <c r="E27" s="30">
        <f ca="1">VLOOKUP(A27,Rankings!B1:H651,6,FALSE)+(RAND()*0.00001)</f>
        <v>257.45000302898524</v>
      </c>
      <c r="F27" s="30">
        <f ca="1">E27-VLOOKUP(Settings!$K$7,D$2:E$45,2,FALSE)</f>
        <v>-98.533338311817602</v>
      </c>
      <c r="G27" s="141">
        <f t="shared" ca="1" si="1"/>
        <v>31</v>
      </c>
      <c r="H27" s="30">
        <f ca="1">VLOOKUP(A27,Rankings!B1:H651,7,FALSE)+(RAND()*0.00001)</f>
        <v>-1.7589740586795226</v>
      </c>
      <c r="I27" s="30">
        <f ca="1">H27-VLOOKUP(Settings!$K$7,G$2:H$45,2,FALSE)</f>
        <v>-4.7634030110752992</v>
      </c>
    </row>
    <row r="28" spans="1:9" ht="18.600000000000001" customHeight="1">
      <c r="A28" s="25" t="s">
        <v>640</v>
      </c>
      <c r="B28" s="26" t="s">
        <v>99</v>
      </c>
      <c r="C28" s="127" t="s">
        <v>27</v>
      </c>
      <c r="D28" s="141">
        <f t="shared" ca="1" si="0"/>
        <v>27</v>
      </c>
      <c r="E28" s="30">
        <f ca="1">VLOOKUP(A28,Rankings!B1:H651,6,FALSE)+(RAND()*0.00001)</f>
        <v>254.15000076619216</v>
      </c>
      <c r="F28" s="30">
        <f ca="1">E28-VLOOKUP(Settings!$K$7,D$2:E$45,2,FALSE)</f>
        <v>-101.83334057461067</v>
      </c>
      <c r="G28" s="141">
        <f t="shared" ca="1" si="1"/>
        <v>27</v>
      </c>
      <c r="H28" s="30">
        <f ca="1">VLOOKUP(A28,Rankings!B1:H651,7,FALSE)+(RAND()*0.00001)</f>
        <v>-1.1932622554046348</v>
      </c>
      <c r="I28" s="30">
        <f ca="1">H28-VLOOKUP(Settings!$K$7,G$2:H$45,2,FALSE)</f>
        <v>-4.1976912078004114</v>
      </c>
    </row>
    <row r="29" spans="1:9" ht="18.600000000000001" customHeight="1">
      <c r="A29" s="25" t="s">
        <v>689</v>
      </c>
      <c r="B29" s="26" t="s">
        <v>122</v>
      </c>
      <c r="C29" s="127" t="s">
        <v>27</v>
      </c>
      <c r="D29" s="141">
        <f t="shared" ca="1" si="0"/>
        <v>28</v>
      </c>
      <c r="E29" s="30">
        <f ca="1">VLOOKUP(A29,Rankings!B1:H651,6,FALSE)+(RAND()*0.00001)</f>
        <v>251.81667072945262</v>
      </c>
      <c r="F29" s="30">
        <f ca="1">E29-VLOOKUP(Settings!$K$7,D$2:E$45,2,FALSE)</f>
        <v>-104.16667061135021</v>
      </c>
      <c r="G29" s="141">
        <f t="shared" ca="1" si="1"/>
        <v>34</v>
      </c>
      <c r="H29" s="30">
        <f ca="1">VLOOKUP(A29,Rankings!B1:H651,7,FALSE)+(RAND()*0.00001)</f>
        <v>-2.2035871679565942</v>
      </c>
      <c r="I29" s="30">
        <f ca="1">H29-VLOOKUP(Settings!$K$7,G$2:H$45,2,FALSE)</f>
        <v>-5.2080161203523705</v>
      </c>
    </row>
    <row r="30" spans="1:9" ht="18.600000000000001" customHeight="1">
      <c r="A30" s="25" t="s">
        <v>660</v>
      </c>
      <c r="B30" s="26" t="s">
        <v>82</v>
      </c>
      <c r="C30" s="127" t="s">
        <v>27</v>
      </c>
      <c r="D30" s="141">
        <f t="shared" ca="1" si="0"/>
        <v>29</v>
      </c>
      <c r="E30" s="30">
        <f ca="1">VLOOKUP(A30,Rankings!B1:H651,6,FALSE)+(RAND()*0.00001)</f>
        <v>245.18333774129445</v>
      </c>
      <c r="F30" s="30">
        <f ca="1">E30-VLOOKUP(Settings!$K$7,D$2:E$45,2,FALSE)</f>
        <v>-110.80000359950839</v>
      </c>
      <c r="G30" s="141">
        <f t="shared" ca="1" si="1"/>
        <v>29</v>
      </c>
      <c r="H30" s="30">
        <f ca="1">VLOOKUP(A30,Rankings!B1:H651,7,FALSE)+(RAND()*0.00001)</f>
        <v>-1.6118403611787839</v>
      </c>
      <c r="I30" s="30">
        <f ca="1">H30-VLOOKUP(Settings!$K$7,G$2:H$45,2,FALSE)</f>
        <v>-4.6162693135745609</v>
      </c>
    </row>
    <row r="31" spans="1:9" ht="18.600000000000001" customHeight="1">
      <c r="A31" s="25" t="s">
        <v>583</v>
      </c>
      <c r="B31" s="26" t="s">
        <v>69</v>
      </c>
      <c r="C31" s="127" t="s">
        <v>27</v>
      </c>
      <c r="D31" s="141">
        <f t="shared" ca="1" si="0"/>
        <v>30</v>
      </c>
      <c r="E31" s="30">
        <f ca="1">VLOOKUP(A31,Rankings!B1:H651,6,FALSE)+(RAND()*0.00001)</f>
        <v>239.1833348914777</v>
      </c>
      <c r="F31" s="30">
        <f ca="1">E31-VLOOKUP(Settings!$K$7,D$2:E$45,2,FALSE)</f>
        <v>-116.80000644932514</v>
      </c>
      <c r="G31" s="141">
        <f t="shared" ca="1" si="1"/>
        <v>25</v>
      </c>
      <c r="H31" s="30">
        <f ca="1">VLOOKUP(A31,Rankings!B1:H651,7,FALSE)+(RAND()*0.00001)</f>
        <v>-0.48788103893375129</v>
      </c>
      <c r="I31" s="30">
        <f ca="1">H31-VLOOKUP(Settings!$K$7,G$2:H$45,2,FALSE)</f>
        <v>-3.4923099913295279</v>
      </c>
    </row>
    <row r="32" spans="1:9" ht="18.600000000000001" customHeight="1">
      <c r="A32" s="25" t="s">
        <v>645</v>
      </c>
      <c r="B32" s="26"/>
      <c r="C32" s="127" t="s">
        <v>27</v>
      </c>
      <c r="D32" s="141">
        <f t="shared" ca="1" si="0"/>
        <v>31</v>
      </c>
      <c r="E32" s="30">
        <f ca="1">VLOOKUP(A32,Rankings!B1:H651,6,FALSE)+(RAND()*0.00001)</f>
        <v>235.11667527985043</v>
      </c>
      <c r="F32" s="30">
        <f ca="1">E32-VLOOKUP(Settings!$K$7,D$2:E$45,2,FALSE)</f>
        <v>-120.86666606095241</v>
      </c>
      <c r="G32" s="141">
        <f t="shared" ca="1" si="1"/>
        <v>28</v>
      </c>
      <c r="H32" s="30">
        <f ca="1">VLOOKUP(A32,Rankings!B1:H651,7,FALSE)+(RAND()*0.00001)</f>
        <v>-1.2786420205845361</v>
      </c>
      <c r="I32" s="30">
        <f ca="1">H32-VLOOKUP(Settings!$K$7,G$2:H$45,2,FALSE)</f>
        <v>-4.2830709729803127</v>
      </c>
    </row>
    <row r="33" spans="1:9" ht="18.600000000000001" customHeight="1">
      <c r="A33" s="25" t="s">
        <v>677</v>
      </c>
      <c r="B33" s="26" t="s">
        <v>158</v>
      </c>
      <c r="C33" s="127" t="s">
        <v>27</v>
      </c>
      <c r="D33" s="141">
        <f t="shared" ca="1" si="0"/>
        <v>32</v>
      </c>
      <c r="E33" s="30">
        <f ca="1">VLOOKUP(A33,Rankings!B1:H651,6,FALSE)+(RAND()*0.00001)</f>
        <v>230.48334026458062</v>
      </c>
      <c r="F33" s="30">
        <f ca="1">E33-VLOOKUP(Settings!$K$7,D$2:E$45,2,FALSE)</f>
        <v>-125.50000107622222</v>
      </c>
      <c r="G33" s="141">
        <f t="shared" ca="1" si="1"/>
        <v>32</v>
      </c>
      <c r="H33" s="30">
        <f ca="1">VLOOKUP(A33,Rankings!B1:H651,7,FALSE)+(RAND()*0.00001)</f>
        <v>-1.8612174114817646</v>
      </c>
      <c r="I33" s="30">
        <f ca="1">H33-VLOOKUP(Settings!$K$7,G$2:H$45,2,FALSE)</f>
        <v>-4.8656463638775413</v>
      </c>
    </row>
    <row r="34" spans="1:9" ht="18.600000000000001" customHeight="1">
      <c r="A34" s="25" t="s">
        <v>725</v>
      </c>
      <c r="B34" s="26" t="s">
        <v>142</v>
      </c>
      <c r="C34" s="127" t="s">
        <v>27</v>
      </c>
      <c r="D34" s="141">
        <f t="shared" ca="1" si="0"/>
        <v>33</v>
      </c>
      <c r="E34" s="30">
        <f ca="1">VLOOKUP(A34,Rankings!B1:H651,6,FALSE)+(RAND()*0.00001)</f>
        <v>221.91667610221336</v>
      </c>
      <c r="F34" s="30">
        <f ca="1">E34-VLOOKUP(Settings!$K$7,D$2:E$45,2,FALSE)</f>
        <v>-134.06666523858948</v>
      </c>
      <c r="G34" s="141">
        <f t="shared" ca="1" si="1"/>
        <v>38</v>
      </c>
      <c r="H34" s="30">
        <f ca="1">VLOOKUP(A34,Rankings!B1:H651,7,FALSE)+(RAND()*0.00001)</f>
        <v>-3.7159785071817169</v>
      </c>
      <c r="I34" s="30">
        <f ca="1">H34-VLOOKUP(Settings!$K$7,G$2:H$45,2,FALSE)</f>
        <v>-6.7204074595774941</v>
      </c>
    </row>
    <row r="35" spans="1:9" ht="18.600000000000001" customHeight="1">
      <c r="A35" s="25" t="s">
        <v>700</v>
      </c>
      <c r="B35" s="26" t="s">
        <v>69</v>
      </c>
      <c r="C35" s="127" t="s">
        <v>27</v>
      </c>
      <c r="D35" s="141">
        <f t="shared" ca="1" si="0"/>
        <v>34</v>
      </c>
      <c r="E35" s="30">
        <f ca="1">VLOOKUP(A35,Rankings!B1:H651,6,FALSE)+(RAND()*0.00001)</f>
        <v>202.45000884098968</v>
      </c>
      <c r="F35" s="30">
        <f ca="1">E35-VLOOKUP(Settings!$K$7,D$2:E$45,2,FALSE)</f>
        <v>-153.53333249981316</v>
      </c>
      <c r="G35" s="141">
        <f t="shared" ca="1" si="1"/>
        <v>36</v>
      </c>
      <c r="H35" s="30">
        <f ca="1">VLOOKUP(A35,Rankings!B1:H651,7,FALSE)+(RAND()*0.00001)</f>
        <v>-2.502946868255564</v>
      </c>
      <c r="I35" s="30">
        <f ca="1">H35-VLOOKUP(Settings!$K$7,G$2:H$45,2,FALSE)</f>
        <v>-5.5073758206513403</v>
      </c>
    </row>
    <row r="36" spans="1:9" ht="18.600000000000001" customHeight="1">
      <c r="A36" s="25" t="s">
        <v>661</v>
      </c>
      <c r="B36" s="26" t="s">
        <v>69</v>
      </c>
      <c r="C36" s="127" t="s">
        <v>27</v>
      </c>
      <c r="D36" s="141">
        <f t="shared" ca="1" si="0"/>
        <v>35</v>
      </c>
      <c r="E36" s="30">
        <f ca="1">VLOOKUP(A36,Rankings!B1:H651,6,FALSE)+(RAND()*0.00001)</f>
        <v>202.22500855145529</v>
      </c>
      <c r="F36" s="30">
        <f ca="1">E36-VLOOKUP(Settings!$K$7,D$2:E$45,2,FALSE)</f>
        <v>-153.75833278934755</v>
      </c>
      <c r="G36" s="141">
        <f t="shared" ca="1" si="1"/>
        <v>30</v>
      </c>
      <c r="H36" s="30">
        <f ca="1">VLOOKUP(A36,Rankings!B1:H651,7,FALSE)+(RAND()*0.00001)</f>
        <v>-1.6124925542091717</v>
      </c>
      <c r="I36" s="30">
        <f ca="1">H36-VLOOKUP(Settings!$K$7,G$2:H$45,2,FALSE)</f>
        <v>-4.6169215066049487</v>
      </c>
    </row>
    <row r="37" spans="1:9" ht="18.600000000000001" customHeight="1">
      <c r="A37" s="25" t="s">
        <v>691</v>
      </c>
      <c r="B37" s="26" t="s">
        <v>101</v>
      </c>
      <c r="C37" s="127" t="s">
        <v>27</v>
      </c>
      <c r="D37" s="141">
        <f t="shared" ca="1" si="0"/>
        <v>36</v>
      </c>
      <c r="E37" s="30">
        <f ca="1">VLOOKUP(A37,Rankings!B1:H651,6,FALSE)+(RAND()*0.00001)</f>
        <v>197.95000818710173</v>
      </c>
      <c r="F37" s="30">
        <f ca="1">E37-VLOOKUP(Settings!$K$7,D$2:E$45,2,FALSE)</f>
        <v>-158.03333315370111</v>
      </c>
      <c r="G37" s="141">
        <f t="shared" ca="1" si="1"/>
        <v>35</v>
      </c>
      <c r="H37" s="30">
        <f ca="1">VLOOKUP(A37,Rankings!B1:H651,7,FALSE)+(RAND()*0.00001)</f>
        <v>-2.2450398901876585</v>
      </c>
      <c r="I37" s="30">
        <f ca="1">H37-VLOOKUP(Settings!$K$7,G$2:H$45,2,FALSE)</f>
        <v>-5.2494688425834353</v>
      </c>
    </row>
    <row r="38" spans="1:9" ht="18.600000000000001" customHeight="1">
      <c r="A38" s="25" t="s">
        <v>713</v>
      </c>
      <c r="B38" s="26" t="s">
        <v>79</v>
      </c>
      <c r="C38" s="127" t="s">
        <v>27</v>
      </c>
      <c r="D38" s="141">
        <f t="shared" ca="1" si="0"/>
        <v>37</v>
      </c>
      <c r="E38" s="30">
        <f ca="1">VLOOKUP(A38,Rankings!B1:H651,6,FALSE)+(RAND()*0.00001)</f>
        <v>189.88333631439971</v>
      </c>
      <c r="F38" s="30">
        <f ca="1">E38-VLOOKUP(Settings!$K$7,D$2:E$45,2,FALSE)</f>
        <v>-166.10000502640312</v>
      </c>
      <c r="G38" s="141">
        <f t="shared" ca="1" si="1"/>
        <v>37</v>
      </c>
      <c r="H38" s="30">
        <f ca="1">VLOOKUP(A38,Rankings!B1:H651,7,FALSE)+(RAND()*0.00001)</f>
        <v>-3.0220885481753359</v>
      </c>
      <c r="I38" s="30">
        <f ca="1">H38-VLOOKUP(Settings!$K$7,G$2:H$45,2,FALSE)</f>
        <v>-6.0265175005711127</v>
      </c>
    </row>
    <row r="39" spans="1:9" ht="18.600000000000001" customHeight="1">
      <c r="A39" s="25" t="s">
        <v>687</v>
      </c>
      <c r="B39" s="26" t="s">
        <v>158</v>
      </c>
      <c r="C39" s="127" t="s">
        <v>27</v>
      </c>
      <c r="D39" s="141">
        <f t="shared" ca="1" si="0"/>
        <v>38</v>
      </c>
      <c r="E39" s="30">
        <f ca="1">VLOOKUP(A39,Rankings!B1:H651,6,FALSE)+(RAND()*0.00001)</f>
        <v>183.85000170091271</v>
      </c>
      <c r="F39" s="30">
        <f ca="1">E39-VLOOKUP(Settings!$K$7,D$2:E$45,2,FALSE)</f>
        <v>-172.13333963989012</v>
      </c>
      <c r="G39" s="141">
        <f t="shared" ca="1" si="1"/>
        <v>33</v>
      </c>
      <c r="H39" s="30">
        <f ca="1">VLOOKUP(A39,Rankings!B1:H651,7,FALSE)+(RAND()*0.00001)</f>
        <v>-2.1278522811157252</v>
      </c>
      <c r="I39" s="30">
        <f ca="1">H39-VLOOKUP(Settings!$K$7,G$2:H$45,2,FALSE)</f>
        <v>-5.1322812335115024</v>
      </c>
    </row>
    <row r="40" spans="1:9" ht="18.600000000000001" customHeight="1">
      <c r="A40" s="25" t="s">
        <v>743</v>
      </c>
      <c r="B40" s="26" t="s">
        <v>103</v>
      </c>
      <c r="C40" s="127" t="s">
        <v>27</v>
      </c>
      <c r="D40" s="141">
        <f t="shared" ca="1" si="0"/>
        <v>39</v>
      </c>
      <c r="E40" s="30">
        <f ca="1">VLOOKUP(A40,Rankings!B1:H651,6,FALSE)+(RAND()*0.00001)</f>
        <v>161.43333983939587</v>
      </c>
      <c r="F40" s="30">
        <f ca="1">E40-VLOOKUP(Settings!$K$7,D$2:E$45,2,FALSE)</f>
        <v>-194.55000150140697</v>
      </c>
      <c r="G40" s="141">
        <f t="shared" ca="1" si="1"/>
        <v>41</v>
      </c>
      <c r="H40" s="30">
        <f ca="1">VLOOKUP(A40,Rankings!B1:H651,7,FALSE)+(RAND()*0.00001)</f>
        <v>-5.7266294286307913</v>
      </c>
      <c r="I40" s="30">
        <f ca="1">H40-VLOOKUP(Settings!$K$7,G$2:H$45,2,FALSE)</f>
        <v>-8.7310583810265676</v>
      </c>
    </row>
    <row r="41" spans="1:9" ht="18.600000000000001" customHeight="1">
      <c r="A41" s="25" t="s">
        <v>742</v>
      </c>
      <c r="B41" s="26" t="s">
        <v>125</v>
      </c>
      <c r="C41" s="127" t="s">
        <v>27</v>
      </c>
      <c r="D41" s="141">
        <f t="shared" ca="1" si="0"/>
        <v>40</v>
      </c>
      <c r="E41" s="30">
        <f ca="1">VLOOKUP(A41,Rankings!B1:H651,6,FALSE)+(RAND()*0.00001)</f>
        <v>144.83333575567187</v>
      </c>
      <c r="F41" s="30">
        <f ca="1">E41-VLOOKUP(Settings!$K$7,D$2:E$45,2,FALSE)</f>
        <v>-211.15000558513097</v>
      </c>
      <c r="G41" s="141">
        <f t="shared" ca="1" si="1"/>
        <v>40</v>
      </c>
      <c r="H41" s="30">
        <f ca="1">VLOOKUP(A41,Rankings!B1:H651,7,FALSE)+(RAND()*0.00001)</f>
        <v>-5.634685589573869</v>
      </c>
      <c r="I41" s="30">
        <f ca="1">H41-VLOOKUP(Settings!$K$7,G$2:H$45,2,FALSE)</f>
        <v>-8.6391145419696453</v>
      </c>
    </row>
    <row r="42" spans="1:9" ht="18.600000000000001" customHeight="1">
      <c r="A42" s="25" t="s">
        <v>744</v>
      </c>
      <c r="B42" s="26" t="s">
        <v>122</v>
      </c>
      <c r="C42" s="127" t="s">
        <v>27</v>
      </c>
      <c r="D42" s="141">
        <f t="shared" ca="1" si="0"/>
        <v>41</v>
      </c>
      <c r="E42" s="30">
        <f ca="1">VLOOKUP(A42,Rankings!B1:H651,6,FALSE)+(RAND()*0.00001)</f>
        <v>123.20000084252655</v>
      </c>
      <c r="F42" s="30">
        <f ca="1">E42-VLOOKUP(Settings!$K$7,D$2:E$45,2,FALSE)</f>
        <v>-232.78334049827629</v>
      </c>
      <c r="G42" s="141">
        <f t="shared" ca="1" si="1"/>
        <v>42</v>
      </c>
      <c r="H42" s="30">
        <f ca="1">VLOOKUP(A42,Rankings!B1:H651,7,FALSE)+(RAND()*0.00001)</f>
        <v>-6.0447290695868743</v>
      </c>
      <c r="I42" s="30">
        <f ca="1">H42-VLOOKUP(Settings!$K$7,G$2:H$45,2,FALSE)</f>
        <v>-9.0491580219826506</v>
      </c>
    </row>
    <row r="43" spans="1:9" ht="18.600000000000001" customHeight="1">
      <c r="A43" s="25" t="s">
        <v>745</v>
      </c>
      <c r="B43" s="26" t="s">
        <v>260</v>
      </c>
      <c r="C43" s="127" t="s">
        <v>27</v>
      </c>
      <c r="D43" s="141">
        <f t="shared" ca="1" si="0"/>
        <v>42</v>
      </c>
      <c r="E43" s="30">
        <f ca="1">VLOOKUP(A43,Rankings!B1:H651,6,FALSE)+(RAND()*0.00001)</f>
        <v>86.333337801252242</v>
      </c>
      <c r="F43" s="30">
        <f ca="1">E43-VLOOKUP(Settings!$K$7,D$2:E$45,2,FALSE)</f>
        <v>-269.6500035395506</v>
      </c>
      <c r="G43" s="141">
        <f t="shared" ca="1" si="1"/>
        <v>43</v>
      </c>
      <c r="H43" s="30">
        <f ca="1">VLOOKUP(A43,Rankings!B1:H651,7,FALSE)+(RAND()*0.00001)</f>
        <v>-6.833609755146707</v>
      </c>
      <c r="I43" s="30">
        <f ca="1">H43-VLOOKUP(Settings!$K$7,G$2:H$45,2,FALSE)</f>
        <v>-9.8380387075424842</v>
      </c>
    </row>
    <row r="44" spans="1:9" ht="18.600000000000001" customHeight="1">
      <c r="A44" s="25" t="s">
        <v>741</v>
      </c>
      <c r="B44" s="26" t="s">
        <v>178</v>
      </c>
      <c r="C44" s="127" t="s">
        <v>27</v>
      </c>
      <c r="D44" s="141">
        <f t="shared" ca="1" si="0"/>
        <v>43</v>
      </c>
      <c r="E44" s="30">
        <f ca="1">VLOOKUP(A44,Rankings!B1:H651,6,FALSE)+(RAND()*0.00001)</f>
        <v>81.316667014424141</v>
      </c>
      <c r="F44" s="30">
        <f ca="1">E44-VLOOKUP(Settings!$K$7,D$2:E$45,2,FALSE)</f>
        <v>-274.66667432637871</v>
      </c>
      <c r="G44" s="141">
        <f t="shared" ca="1" si="1"/>
        <v>39</v>
      </c>
      <c r="H44" s="30">
        <f ca="1">VLOOKUP(A44,Rankings!B1:H651,7,FALSE)+(RAND()*0.00001)</f>
        <v>-5.2096856851727811</v>
      </c>
      <c r="I44" s="30">
        <f ca="1">H44-VLOOKUP(Settings!$K$7,G$2:H$45,2,FALSE)</f>
        <v>-8.2141146375685583</v>
      </c>
    </row>
    <row r="45" spans="1:9" ht="18.600000000000001" customHeight="1">
      <c r="A45" s="134" t="s">
        <v>746</v>
      </c>
      <c r="B45" s="135" t="s">
        <v>225</v>
      </c>
      <c r="C45" s="127"/>
      <c r="D45" s="141">
        <f t="shared" ca="1" si="0"/>
        <v>44</v>
      </c>
      <c r="E45" s="30">
        <f ca="1">VLOOKUP(A45,Rankings!B1:H651,6,FALSE)+(RAND()*0.00001)</f>
        <v>73.550009420584757</v>
      </c>
      <c r="F45" s="30">
        <f ca="1">E45-VLOOKUP(Settings!$K$7,D$2:E$45,2,FALSE)</f>
        <v>-282.43333192021805</v>
      </c>
      <c r="G45" s="141">
        <f t="shared" ca="1" si="1"/>
        <v>44</v>
      </c>
      <c r="H45" s="30">
        <f ca="1">VLOOKUP(A45,Rankings!B1:H651,7,FALSE)+(RAND()*0.00001)</f>
        <v>-7.3643701022220602</v>
      </c>
      <c r="I45" s="30">
        <f ca="1">H45-VLOOKUP(Settings!$K$7,G$2:H$45,2,FALSE)</f>
        <v>-10.368799054617837</v>
      </c>
    </row>
  </sheetData>
  <autoFilter ref="A1:I45" xr:uid="{00000000-0001-0000-0A00-000000000000}">
    <sortState xmlns:xlrd2="http://schemas.microsoft.com/office/spreadsheetml/2017/richdata2" ref="A2:I45">
      <sortCondition ref="D1:D45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104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9" width="7.140625" style="1" customWidth="1"/>
    <col min="10" max="10" width="16.28515625" style="1" customWidth="1"/>
    <col min="11" max="16384" width="16.28515625" style="1"/>
  </cols>
  <sheetData>
    <row r="1" spans="1:9" ht="36" customHeight="1">
      <c r="A1" s="138" t="s">
        <v>59</v>
      </c>
      <c r="B1" s="139" t="s">
        <v>60</v>
      </c>
      <c r="C1" s="139" t="s">
        <v>752</v>
      </c>
      <c r="D1" s="140" t="s">
        <v>753</v>
      </c>
      <c r="E1" s="139" t="s">
        <v>63</v>
      </c>
      <c r="F1" s="139" t="s">
        <v>65</v>
      </c>
      <c r="G1" s="140" t="s">
        <v>754</v>
      </c>
      <c r="H1" s="139" t="s">
        <v>64</v>
      </c>
      <c r="I1" s="139" t="s">
        <v>65</v>
      </c>
    </row>
    <row r="2" spans="1:9" ht="20.100000000000001" customHeight="1">
      <c r="A2" s="25" t="s">
        <v>76</v>
      </c>
      <c r="B2" s="26" t="s">
        <v>77</v>
      </c>
      <c r="C2" s="123" t="s">
        <v>15</v>
      </c>
      <c r="D2" s="141">
        <f t="shared" ref="D2:D33" ca="1" si="0">RANK(E2,E$2:E$104)</f>
        <v>1</v>
      </c>
      <c r="E2" s="30">
        <f ca="1">VLOOKUP(A2,Rankings!B1:H651,6,FALSE)+(RAND()*0.00001)</f>
        <v>639.91667168491665</v>
      </c>
      <c r="F2" s="30">
        <f ca="1">E2-VLOOKUP(Settings!$K$2+Settings!$K$4,D$2:E$94,2,FALSE)</f>
        <v>270.61666451362424</v>
      </c>
      <c r="G2" s="141">
        <f t="shared" ref="G2:G33" ca="1" si="1">RANK(H2,H$2:H$104)</f>
        <v>1</v>
      </c>
      <c r="H2" s="30">
        <f ca="1">VLOOKUP(A2,Rankings!B1:H651,7,FALSE)+(RAND()*0.00001)</f>
        <v>10.347424458508161</v>
      </c>
      <c r="I2" s="30">
        <f ca="1">H2-VLOOKUP(Settings!$K$2+Settings!$K$4,G$2:H$94,2,FALSE)</f>
        <v>8.4667621372500648</v>
      </c>
    </row>
    <row r="3" spans="1:9" ht="18.600000000000001" customHeight="1">
      <c r="A3" s="25" t="s">
        <v>94</v>
      </c>
      <c r="B3" s="26" t="s">
        <v>95</v>
      </c>
      <c r="C3" s="120" t="s">
        <v>7</v>
      </c>
      <c r="D3" s="141">
        <f t="shared" ca="1" si="0"/>
        <v>2</v>
      </c>
      <c r="E3" s="30">
        <f ca="1">VLOOKUP(A3,Rankings!B1:H651,6,FALSE)+(RAND()*0.00001)</f>
        <v>613.90000844427743</v>
      </c>
      <c r="F3" s="30">
        <f ca="1">E3-VLOOKUP(Settings!$K$2+Settings!$K$4,D$2:E$94,2,FALSE)</f>
        <v>244.60000127298503</v>
      </c>
      <c r="G3" s="141">
        <f t="shared" ca="1" si="1"/>
        <v>2</v>
      </c>
      <c r="H3" s="30">
        <f ca="1">VLOOKUP(A3,Rankings!B1:H651,7,FALSE)+(RAND()*0.00001)</f>
        <v>9.4681107258619619</v>
      </c>
      <c r="I3" s="30">
        <f ca="1">H3-VLOOKUP(Settings!$K$2+Settings!$K$4,G$2:H$94,2,FALSE)</f>
        <v>7.5874484046038644</v>
      </c>
    </row>
    <row r="4" spans="1:9" ht="18.600000000000001" customHeight="1">
      <c r="A4" s="25" t="s">
        <v>107</v>
      </c>
      <c r="B4" s="26" t="s">
        <v>82</v>
      </c>
      <c r="C4" s="120" t="s">
        <v>7</v>
      </c>
      <c r="D4" s="141">
        <f t="shared" ca="1" si="0"/>
        <v>3</v>
      </c>
      <c r="E4" s="30">
        <f ca="1">VLOOKUP(A4,Rankings!B1:H651,6,FALSE)+(RAND()*0.00001)</f>
        <v>603.45000626142371</v>
      </c>
      <c r="F4" s="30">
        <f ca="1">E4-VLOOKUP(Settings!$K$2+Settings!$K$4,D$2:E$94,2,FALSE)</f>
        <v>234.1499990901313</v>
      </c>
      <c r="G4" s="141">
        <f t="shared" ca="1" si="1"/>
        <v>3</v>
      </c>
      <c r="H4" s="30">
        <f ca="1">VLOOKUP(A4,Rankings!B1:H651,7,FALSE)+(RAND()*0.00001)</f>
        <v>8.9273229404740846</v>
      </c>
      <c r="I4" s="30">
        <f ca="1">H4-VLOOKUP(Settings!$K$2+Settings!$K$4,G$2:H$94,2,FALSE)</f>
        <v>7.0466606192159871</v>
      </c>
    </row>
    <row r="5" spans="1:9" ht="18.600000000000001" customHeight="1">
      <c r="A5" s="25" t="s">
        <v>89</v>
      </c>
      <c r="B5" s="26" t="s">
        <v>64</v>
      </c>
      <c r="C5" s="123" t="s">
        <v>15</v>
      </c>
      <c r="D5" s="141">
        <f t="shared" ca="1" si="0"/>
        <v>4</v>
      </c>
      <c r="E5" s="30">
        <f ca="1">VLOOKUP(A5,Rankings!B1:H651,6,FALSE)+(RAND()*0.00001)</f>
        <v>561.16666994408763</v>
      </c>
      <c r="F5" s="30">
        <f ca="1">E5-VLOOKUP(Settings!$K$2+Settings!$K$4,D$2:E$94,2,FALSE)</f>
        <v>191.86666277279522</v>
      </c>
      <c r="G5" s="141">
        <f t="shared" ca="1" si="1"/>
        <v>4</v>
      </c>
      <c r="H5" s="30">
        <f ca="1">VLOOKUP(A5,Rankings!B1:H651,7,FALSE)+(RAND()*0.00001)</f>
        <v>8.0309762328708505</v>
      </c>
      <c r="I5" s="30">
        <f ca="1">H5-VLOOKUP(Settings!$K$2+Settings!$K$4,G$2:H$94,2,FALSE)</f>
        <v>6.150313911612753</v>
      </c>
    </row>
    <row r="6" spans="1:9" ht="18.600000000000001" customHeight="1">
      <c r="A6" s="25" t="s">
        <v>129</v>
      </c>
      <c r="B6" s="26" t="s">
        <v>97</v>
      </c>
      <c r="C6" s="120" t="s">
        <v>7</v>
      </c>
      <c r="D6" s="141">
        <f t="shared" ca="1" si="0"/>
        <v>5</v>
      </c>
      <c r="E6" s="30">
        <f ca="1">VLOOKUP(A6,Rankings!B1:H651,6,FALSE)+(RAND()*0.00001)</f>
        <v>560.31666845962877</v>
      </c>
      <c r="F6" s="30">
        <f ca="1">E6-VLOOKUP(Settings!$K$2+Settings!$K$4,D$2:E$94,2,FALSE)</f>
        <v>191.01666128833637</v>
      </c>
      <c r="G6" s="141">
        <f t="shared" ca="1" si="1"/>
        <v>5</v>
      </c>
      <c r="H6" s="30">
        <f ca="1">VLOOKUP(A6,Rankings!B1:H651,7,FALSE)+(RAND()*0.00001)</f>
        <v>7.6621755375766334</v>
      </c>
      <c r="I6" s="30">
        <f ca="1">H6-VLOOKUP(Settings!$K$2+Settings!$K$4,G$2:H$94,2,FALSE)</f>
        <v>5.7815132163185359</v>
      </c>
    </row>
    <row r="7" spans="1:9" ht="18.600000000000001" customHeight="1">
      <c r="A7" s="25" t="s">
        <v>104</v>
      </c>
      <c r="B7" s="26" t="s">
        <v>105</v>
      </c>
      <c r="C7" s="123" t="s">
        <v>15</v>
      </c>
      <c r="D7" s="141">
        <f t="shared" ca="1" si="0"/>
        <v>6</v>
      </c>
      <c r="E7" s="30">
        <f ca="1">VLOOKUP(A7,Rankings!B1:H651,6,FALSE)+(RAND()*0.00001)</f>
        <v>550.26667052907226</v>
      </c>
      <c r="F7" s="30">
        <f ca="1">E7-VLOOKUP(Settings!$K$2+Settings!$K$4,D$2:E$94,2,FALSE)</f>
        <v>180.96666335777985</v>
      </c>
      <c r="G7" s="141">
        <f t="shared" ca="1" si="1"/>
        <v>7</v>
      </c>
      <c r="H7" s="30">
        <f ca="1">VLOOKUP(A7,Rankings!B1:H651,7,FALSE)+(RAND()*0.00001)</f>
        <v>7.256870867691922</v>
      </c>
      <c r="I7" s="30">
        <f ca="1">H7-VLOOKUP(Settings!$K$2+Settings!$K$4,G$2:H$94,2,FALSE)</f>
        <v>5.3762085464338245</v>
      </c>
    </row>
    <row r="8" spans="1:9" ht="18.600000000000001" customHeight="1">
      <c r="A8" s="25" t="s">
        <v>182</v>
      </c>
      <c r="B8" s="26" t="s">
        <v>74</v>
      </c>
      <c r="C8" s="120" t="s">
        <v>7</v>
      </c>
      <c r="D8" s="141">
        <f t="shared" ca="1" si="0"/>
        <v>7</v>
      </c>
      <c r="E8" s="30">
        <f ca="1">VLOOKUP(A8,Rankings!B1:H651,6,FALSE)+(RAND()*0.00001)</f>
        <v>543.15000561127965</v>
      </c>
      <c r="F8" s="30">
        <f ca="1">E8-VLOOKUP(Settings!$K$2+Settings!$K$4,D$2:E$94,2,FALSE)</f>
        <v>173.84999843998725</v>
      </c>
      <c r="G8" s="141">
        <f t="shared" ca="1" si="1"/>
        <v>10</v>
      </c>
      <c r="H8" s="30">
        <f ca="1">VLOOKUP(A8,Rankings!B1:H651,7,FALSE)+(RAND()*0.00001)</f>
        <v>5.9191992112672187</v>
      </c>
      <c r="I8" s="30">
        <f ca="1">H8-VLOOKUP(Settings!$K$2+Settings!$K$4,G$2:H$94,2,FALSE)</f>
        <v>4.0385368900091212</v>
      </c>
    </row>
    <row r="9" spans="1:9" ht="18.600000000000001" customHeight="1">
      <c r="A9" s="25" t="s">
        <v>134</v>
      </c>
      <c r="B9" s="26" t="s">
        <v>125</v>
      </c>
      <c r="C9" s="120" t="s">
        <v>7</v>
      </c>
      <c r="D9" s="141">
        <f t="shared" ca="1" si="0"/>
        <v>8</v>
      </c>
      <c r="E9" s="30">
        <f ca="1">VLOOKUP(A9,Rankings!B1:H651,6,FALSE)+(RAND()*0.00001)</f>
        <v>542.46667351766109</v>
      </c>
      <c r="F9" s="30">
        <f ca="1">E9-VLOOKUP(Settings!$K$2+Settings!$K$4,D$2:E$94,2,FALSE)</f>
        <v>173.16666634636869</v>
      </c>
      <c r="G9" s="141">
        <f t="shared" ca="1" si="1"/>
        <v>6</v>
      </c>
      <c r="H9" s="30">
        <f ca="1">VLOOKUP(A9,Rankings!B1:H651,7,FALSE)+(RAND()*0.00001)</f>
        <v>7.5539035679820472</v>
      </c>
      <c r="I9" s="30">
        <f ca="1">H9-VLOOKUP(Settings!$K$2+Settings!$K$4,G$2:H$94,2,FALSE)</f>
        <v>5.6732412467239497</v>
      </c>
    </row>
    <row r="10" spans="1:9" ht="18.600000000000001" customHeight="1">
      <c r="A10" s="25" t="s">
        <v>124</v>
      </c>
      <c r="B10" s="26" t="s">
        <v>125</v>
      </c>
      <c r="C10" s="123" t="s">
        <v>15</v>
      </c>
      <c r="D10" s="141">
        <f t="shared" ca="1" si="0"/>
        <v>9</v>
      </c>
      <c r="E10" s="30">
        <f ca="1">VLOOKUP(A10,Rankings!B1:H651,6,FALSE)+(RAND()*0.00001)</f>
        <v>538.48333781478459</v>
      </c>
      <c r="F10" s="30">
        <f ca="1">E10-VLOOKUP(Settings!$K$2+Settings!$K$4,D$2:E$94,2,FALSE)</f>
        <v>169.18333064349218</v>
      </c>
      <c r="G10" s="141">
        <f t="shared" ca="1" si="1"/>
        <v>9</v>
      </c>
      <c r="H10" s="30">
        <f ca="1">VLOOKUP(A10,Rankings!B1:H651,7,FALSE)+(RAND()*0.00001)</f>
        <v>6.1032992996991746</v>
      </c>
      <c r="I10" s="30">
        <f ca="1">H10-VLOOKUP(Settings!$K$2+Settings!$K$4,G$2:H$94,2,FALSE)</f>
        <v>4.2226369784410771</v>
      </c>
    </row>
    <row r="11" spans="1:9" ht="18.600000000000001" customHeight="1">
      <c r="A11" s="25" t="s">
        <v>108</v>
      </c>
      <c r="B11" s="26" t="s">
        <v>74</v>
      </c>
      <c r="C11" s="123" t="s">
        <v>15</v>
      </c>
      <c r="D11" s="141">
        <f t="shared" ca="1" si="0"/>
        <v>10</v>
      </c>
      <c r="E11" s="30">
        <f ca="1">VLOOKUP(A11,Rankings!B1:H651,6,FALSE)+(RAND()*0.00001)</f>
        <v>529.03334274770452</v>
      </c>
      <c r="F11" s="30">
        <f ca="1">E11-VLOOKUP(Settings!$K$2+Settings!$K$4,D$2:E$94,2,FALSE)</f>
        <v>159.73333557641212</v>
      </c>
      <c r="G11" s="141">
        <f t="shared" ca="1" si="1"/>
        <v>8</v>
      </c>
      <c r="H11" s="30">
        <f ca="1">VLOOKUP(A11,Rankings!B1:H651,7,FALSE)+(RAND()*0.00001)</f>
        <v>6.9812770008016169</v>
      </c>
      <c r="I11" s="30">
        <f ca="1">H11-VLOOKUP(Settings!$K$2+Settings!$K$4,G$2:H$94,2,FALSE)</f>
        <v>5.1006146795435194</v>
      </c>
    </row>
    <row r="12" spans="1:9" ht="18.600000000000001" customHeight="1">
      <c r="A12" s="25" t="s">
        <v>187</v>
      </c>
      <c r="B12" s="26" t="s">
        <v>79</v>
      </c>
      <c r="C12" s="123" t="s">
        <v>15</v>
      </c>
      <c r="D12" s="141">
        <f t="shared" ca="1" si="0"/>
        <v>11</v>
      </c>
      <c r="E12" s="30">
        <f ca="1">VLOOKUP(A12,Rankings!B1:H651,6,FALSE)+(RAND()*0.00001)</f>
        <v>502.73334048859016</v>
      </c>
      <c r="F12" s="30">
        <f ca="1">E12-VLOOKUP(Settings!$K$2+Settings!$K$4,D$2:E$94,2,FALSE)</f>
        <v>133.43333331729775</v>
      </c>
      <c r="G12" s="141">
        <f t="shared" ca="1" si="1"/>
        <v>14</v>
      </c>
      <c r="H12" s="30">
        <f ca="1">VLOOKUP(A12,Rankings!B1:H651,7,FALSE)+(RAND()*0.00001)</f>
        <v>3.9467905703193802</v>
      </c>
      <c r="I12" s="30">
        <f ca="1">H12-VLOOKUP(Settings!$K$2+Settings!$K$4,G$2:H$94,2,FALSE)</f>
        <v>2.0661282490612827</v>
      </c>
    </row>
    <row r="13" spans="1:9" ht="18.600000000000001" customHeight="1">
      <c r="A13" s="25" t="s">
        <v>223</v>
      </c>
      <c r="B13" s="26" t="s">
        <v>79</v>
      </c>
      <c r="C13" s="120" t="s">
        <v>7</v>
      </c>
      <c r="D13" s="141">
        <f t="shared" ca="1" si="0"/>
        <v>12</v>
      </c>
      <c r="E13" s="30">
        <f ca="1">VLOOKUP(A13,Rankings!B1:H651,6,FALSE)+(RAND()*0.00001)</f>
        <v>474.30000365846934</v>
      </c>
      <c r="F13" s="30">
        <f ca="1">E13-VLOOKUP(Settings!$K$2+Settings!$K$4,D$2:E$94,2,FALSE)</f>
        <v>104.99999648717693</v>
      </c>
      <c r="G13" s="141">
        <f t="shared" ca="1" si="1"/>
        <v>11</v>
      </c>
      <c r="H13" s="30">
        <f ca="1">VLOOKUP(A13,Rankings!B1:H651,7,FALSE)+(RAND()*0.00001)</f>
        <v>4.6947486246188115</v>
      </c>
      <c r="I13" s="30">
        <f ca="1">H13-VLOOKUP(Settings!$K$2+Settings!$K$4,G$2:H$94,2,FALSE)</f>
        <v>2.814086303360714</v>
      </c>
    </row>
    <row r="14" spans="1:9" ht="18.600000000000001" customHeight="1">
      <c r="A14" s="25" t="s">
        <v>267</v>
      </c>
      <c r="B14" s="26" t="s">
        <v>92</v>
      </c>
      <c r="C14" s="120" t="s">
        <v>7</v>
      </c>
      <c r="D14" s="141">
        <f t="shared" ca="1" si="0"/>
        <v>13</v>
      </c>
      <c r="E14" s="30">
        <f ca="1">VLOOKUP(A14,Rankings!B1:H651,6,FALSE)+(RAND()*0.00001)</f>
        <v>467.16667002016322</v>
      </c>
      <c r="F14" s="30">
        <f ca="1">E14-VLOOKUP(Settings!$K$2+Settings!$K$4,D$2:E$94,2,FALSE)</f>
        <v>97.866662848870817</v>
      </c>
      <c r="G14" s="141">
        <f t="shared" ca="1" si="1"/>
        <v>17</v>
      </c>
      <c r="H14" s="30">
        <f ca="1">VLOOKUP(A14,Rankings!B1:H651,7,FALSE)+(RAND()*0.00001)</f>
        <v>3.6526982384034556</v>
      </c>
      <c r="I14" s="30">
        <f ca="1">H14-VLOOKUP(Settings!$K$2+Settings!$K$4,G$2:H$94,2,FALSE)</f>
        <v>1.7720359171453581</v>
      </c>
    </row>
    <row r="15" spans="1:9" ht="18.600000000000001" customHeight="1">
      <c r="A15" s="25" t="s">
        <v>265</v>
      </c>
      <c r="B15" s="26" t="s">
        <v>122</v>
      </c>
      <c r="C15" s="120" t="s">
        <v>7</v>
      </c>
      <c r="D15" s="141">
        <f t="shared" ca="1" si="0"/>
        <v>14</v>
      </c>
      <c r="E15" s="30">
        <f ca="1">VLOOKUP(A15,Rankings!B1:H651,6,FALSE)+(RAND()*0.00001)</f>
        <v>462.05000338837965</v>
      </c>
      <c r="F15" s="30">
        <f ca="1">E15-VLOOKUP(Settings!$K$2+Settings!$K$4,D$2:E$94,2,FALSE)</f>
        <v>92.749996217087244</v>
      </c>
      <c r="G15" s="141">
        <f t="shared" ca="1" si="1"/>
        <v>16</v>
      </c>
      <c r="H15" s="30">
        <f ca="1">VLOOKUP(A15,Rankings!B1:H651,7,FALSE)+(RAND()*0.00001)</f>
        <v>3.6561638717712563</v>
      </c>
      <c r="I15" s="30">
        <f ca="1">H15-VLOOKUP(Settings!$K$2+Settings!$K$4,G$2:H$94,2,FALSE)</f>
        <v>1.7755015505131588</v>
      </c>
    </row>
    <row r="16" spans="1:9" ht="20.100000000000001" customHeight="1">
      <c r="A16" s="25" t="s">
        <v>262</v>
      </c>
      <c r="B16" s="26" t="s">
        <v>119</v>
      </c>
      <c r="C16" s="120" t="s">
        <v>7</v>
      </c>
      <c r="D16" s="141">
        <f t="shared" ca="1" si="0"/>
        <v>15</v>
      </c>
      <c r="E16" s="30">
        <f ca="1">VLOOKUP(A16,Rankings!B1:H651,6,FALSE)+(RAND()*0.00001)</f>
        <v>461.30000606312103</v>
      </c>
      <c r="F16" s="30">
        <f ca="1">E16-VLOOKUP(Settings!$K$2+Settings!$K$4,D$2:E$94,2,FALSE)</f>
        <v>91.999998891828625</v>
      </c>
      <c r="G16" s="141">
        <f t="shared" ca="1" si="1"/>
        <v>15</v>
      </c>
      <c r="H16" s="30">
        <f ca="1">VLOOKUP(A16,Rankings!B1:H651,7,FALSE)+(RAND()*0.00001)</f>
        <v>3.7790955130366686</v>
      </c>
      <c r="I16" s="30">
        <f ca="1">H16-VLOOKUP(Settings!$K$2+Settings!$K$4,G$2:H$94,2,FALSE)</f>
        <v>1.8984331917785711</v>
      </c>
    </row>
    <row r="17" spans="1:9" ht="18.600000000000001" customHeight="1">
      <c r="A17" s="25" t="s">
        <v>229</v>
      </c>
      <c r="B17" s="26" t="s">
        <v>178</v>
      </c>
      <c r="C17" s="120" t="s">
        <v>7</v>
      </c>
      <c r="D17" s="141">
        <f t="shared" ca="1" si="0"/>
        <v>16</v>
      </c>
      <c r="E17" s="30">
        <f ca="1">VLOOKUP(A17,Rankings!B1:H651,6,FALSE)+(RAND()*0.00001)</f>
        <v>456.95000389652967</v>
      </c>
      <c r="F17" s="30">
        <f ca="1">E17-VLOOKUP(Settings!$K$2+Settings!$K$4,D$2:E$94,2,FALSE)</f>
        <v>87.649996725237258</v>
      </c>
      <c r="G17" s="141">
        <f t="shared" ca="1" si="1"/>
        <v>12</v>
      </c>
      <c r="H17" s="30">
        <f ca="1">VLOOKUP(A17,Rankings!B1:H651,7,FALSE)+(RAND()*0.00001)</f>
        <v>4.5280346639514546</v>
      </c>
      <c r="I17" s="30">
        <f ca="1">H17-VLOOKUP(Settings!$K$2+Settings!$K$4,G$2:H$94,2,FALSE)</f>
        <v>2.6473723426933571</v>
      </c>
    </row>
    <row r="18" spans="1:9" ht="18.600000000000001" customHeight="1">
      <c r="A18" s="25" t="s">
        <v>235</v>
      </c>
      <c r="B18" s="26" t="s">
        <v>87</v>
      </c>
      <c r="C18" s="120" t="s">
        <v>7</v>
      </c>
      <c r="D18" s="141">
        <f t="shared" ca="1" si="0"/>
        <v>17</v>
      </c>
      <c r="E18" s="30">
        <f ca="1">VLOOKUP(A18,Rankings!B1:H651,6,FALSE)+(RAND()*0.00001)</f>
        <v>446.35000972385666</v>
      </c>
      <c r="F18" s="30">
        <f ca="1">E18-VLOOKUP(Settings!$K$2+Settings!$K$4,D$2:E$94,2,FALSE)</f>
        <v>77.050002552564251</v>
      </c>
      <c r="G18" s="141">
        <f t="shared" ca="1" si="1"/>
        <v>13</v>
      </c>
      <c r="H18" s="30">
        <f ca="1">VLOOKUP(A18,Rankings!B1:H651,7,FALSE)+(RAND()*0.00001)</f>
        <v>4.4354567192365772</v>
      </c>
      <c r="I18" s="30">
        <f ca="1">H18-VLOOKUP(Settings!$K$2+Settings!$K$4,G$2:H$94,2,FALSE)</f>
        <v>2.5547943979784797</v>
      </c>
    </row>
    <row r="19" spans="1:9" ht="18.600000000000001" customHeight="1">
      <c r="A19" s="25" t="s">
        <v>321</v>
      </c>
      <c r="B19" s="26" t="s">
        <v>77</v>
      </c>
      <c r="C19" s="120" t="s">
        <v>7</v>
      </c>
      <c r="D19" s="141">
        <f t="shared" ca="1" si="0"/>
        <v>18</v>
      </c>
      <c r="E19" s="30">
        <f ca="1">VLOOKUP(A19,Rankings!B1:H651,6,FALSE)+(RAND()*0.00001)</f>
        <v>444.30000758079126</v>
      </c>
      <c r="F19" s="30">
        <f ca="1">E19-VLOOKUP(Settings!$K$2+Settings!$K$4,D$2:E$94,2,FALSE)</f>
        <v>75.000000409498853</v>
      </c>
      <c r="G19" s="141">
        <f t="shared" ca="1" si="1"/>
        <v>23</v>
      </c>
      <c r="H19" s="30">
        <f ca="1">VLOOKUP(A19,Rankings!B1:H651,7,FALSE)+(RAND()*0.00001)</f>
        <v>2.7675151188177107</v>
      </c>
      <c r="I19" s="30">
        <f ca="1">H19-VLOOKUP(Settings!$K$2+Settings!$K$4,G$2:H$94,2,FALSE)</f>
        <v>0.88685279755961322</v>
      </c>
    </row>
    <row r="20" spans="1:9" ht="18.600000000000001" customHeight="1">
      <c r="A20" s="25" t="s">
        <v>286</v>
      </c>
      <c r="B20" s="26" t="s">
        <v>69</v>
      </c>
      <c r="C20" s="120" t="s">
        <v>7</v>
      </c>
      <c r="D20" s="141">
        <f t="shared" ca="1" si="0"/>
        <v>19</v>
      </c>
      <c r="E20" s="30">
        <f ca="1">VLOOKUP(A20,Rankings!B1:H651,6,FALSE)+(RAND()*0.00001)</f>
        <v>440.03333507124694</v>
      </c>
      <c r="F20" s="30">
        <f ca="1">E20-VLOOKUP(Settings!$K$2+Settings!$K$4,D$2:E$94,2,FALSE)</f>
        <v>70.733327899954531</v>
      </c>
      <c r="G20" s="141">
        <f t="shared" ca="1" si="1"/>
        <v>19</v>
      </c>
      <c r="H20" s="30">
        <f ca="1">VLOOKUP(A20,Rankings!B1:H651,7,FALSE)+(RAND()*0.00001)</f>
        <v>3.2794636305676157</v>
      </c>
      <c r="I20" s="30">
        <f ca="1">H20-VLOOKUP(Settings!$K$2+Settings!$K$4,G$2:H$94,2,FALSE)</f>
        <v>1.3988013093095182</v>
      </c>
    </row>
    <row r="21" spans="1:9" ht="20.100000000000001" customHeight="1">
      <c r="A21" s="25" t="s">
        <v>369</v>
      </c>
      <c r="B21" s="26" t="s">
        <v>82</v>
      </c>
      <c r="C21" s="120" t="s">
        <v>7</v>
      </c>
      <c r="D21" s="141">
        <f t="shared" ca="1" si="0"/>
        <v>20</v>
      </c>
      <c r="E21" s="30">
        <f ca="1">VLOOKUP(A21,Rankings!B1:H651,6,FALSE)+(RAND()*0.00001)</f>
        <v>435.88333476835135</v>
      </c>
      <c r="F21" s="30">
        <f ca="1">E21-VLOOKUP(Settings!$K$2+Settings!$K$4,D$2:E$94,2,FALSE)</f>
        <v>66.58332759705894</v>
      </c>
      <c r="G21" s="141">
        <f t="shared" ca="1" si="1"/>
        <v>34</v>
      </c>
      <c r="H21" s="30">
        <f ca="1">VLOOKUP(A21,Rankings!B1:H651,7,FALSE)+(RAND()*0.00001)</f>
        <v>2.0070307936502871</v>
      </c>
      <c r="I21" s="30">
        <f ca="1">H21-VLOOKUP(Settings!$K$2+Settings!$K$4,G$2:H$94,2,FALSE)</f>
        <v>0.12636847239218962</v>
      </c>
    </row>
    <row r="22" spans="1:9" ht="20.100000000000001" customHeight="1">
      <c r="A22" s="25" t="s">
        <v>287</v>
      </c>
      <c r="B22" s="26" t="s">
        <v>72</v>
      </c>
      <c r="C22" s="120" t="s">
        <v>7</v>
      </c>
      <c r="D22" s="141">
        <f t="shared" ca="1" si="0"/>
        <v>21</v>
      </c>
      <c r="E22" s="30">
        <f ca="1">VLOOKUP(A22,Rankings!B1:H651,6,FALSE)+(RAND()*0.00001)</f>
        <v>431.70000417008839</v>
      </c>
      <c r="F22" s="30">
        <f ca="1">E22-VLOOKUP(Settings!$K$2+Settings!$K$4,D$2:E$94,2,FALSE)</f>
        <v>62.399996998795984</v>
      </c>
      <c r="G22" s="141">
        <f t="shared" ca="1" si="1"/>
        <v>20</v>
      </c>
      <c r="H22" s="30">
        <f ca="1">VLOOKUP(A22,Rankings!B1:H651,7,FALSE)+(RAND()*0.00001)</f>
        <v>3.2727165592559335</v>
      </c>
      <c r="I22" s="30">
        <f ca="1">H22-VLOOKUP(Settings!$K$2+Settings!$K$4,G$2:H$94,2,FALSE)</f>
        <v>1.392054237997836</v>
      </c>
    </row>
    <row r="23" spans="1:9" ht="18.600000000000001" customHeight="1">
      <c r="A23" s="25" t="s">
        <v>215</v>
      </c>
      <c r="B23" s="26" t="s">
        <v>101</v>
      </c>
      <c r="C23" s="123" t="s">
        <v>15</v>
      </c>
      <c r="D23" s="141">
        <f t="shared" ca="1" si="0"/>
        <v>22</v>
      </c>
      <c r="E23" s="30">
        <f ca="1">VLOOKUP(A23,Rankings!B1:H651,6,FALSE)+(RAND()*0.00001)</f>
        <v>427.48334231027587</v>
      </c>
      <c r="F23" s="30">
        <f ca="1">E23-VLOOKUP(Settings!$K$2+Settings!$K$4,D$2:E$94,2,FALSE)</f>
        <v>58.183335138983466</v>
      </c>
      <c r="G23" s="141">
        <f t="shared" ca="1" si="1"/>
        <v>22</v>
      </c>
      <c r="H23" s="30">
        <f ca="1">VLOOKUP(A23,Rankings!B1:H651,7,FALSE)+(RAND()*0.00001)</f>
        <v>2.9510604421914137</v>
      </c>
      <c r="I23" s="30">
        <f ca="1">H23-VLOOKUP(Settings!$K$2+Settings!$K$4,G$2:H$94,2,FALSE)</f>
        <v>1.0703981209333162</v>
      </c>
    </row>
    <row r="24" spans="1:9" ht="18.600000000000001" customHeight="1">
      <c r="A24" s="25" t="s">
        <v>244</v>
      </c>
      <c r="B24" s="26" t="s">
        <v>95</v>
      </c>
      <c r="C24" s="123" t="s">
        <v>15</v>
      </c>
      <c r="D24" s="141">
        <f t="shared" ca="1" si="0"/>
        <v>23</v>
      </c>
      <c r="E24" s="30">
        <f ca="1">VLOOKUP(A24,Rankings!B1:H651,6,FALSE)+(RAND()*0.00001)</f>
        <v>424.25000676063985</v>
      </c>
      <c r="F24" s="30">
        <f ca="1">E24-VLOOKUP(Settings!$K$2+Settings!$K$4,D$2:E$94,2,FALSE)</f>
        <v>54.949999589347442</v>
      </c>
      <c r="G24" s="141">
        <f t="shared" ca="1" si="1"/>
        <v>28</v>
      </c>
      <c r="H24" s="30">
        <f ca="1">VLOOKUP(A24,Rankings!B1:H651,7,FALSE)+(RAND()*0.00001)</f>
        <v>2.3317814532571868</v>
      </c>
      <c r="I24" s="30">
        <f ca="1">H24-VLOOKUP(Settings!$K$2+Settings!$K$4,G$2:H$94,2,FALSE)</f>
        <v>0.45111913199908926</v>
      </c>
    </row>
    <row r="25" spans="1:9" ht="18.600000000000001" customHeight="1">
      <c r="A25" s="25" t="s">
        <v>205</v>
      </c>
      <c r="B25" s="26" t="s">
        <v>178</v>
      </c>
      <c r="C25" s="123" t="s">
        <v>15</v>
      </c>
      <c r="D25" s="141">
        <f t="shared" ca="1" si="0"/>
        <v>24</v>
      </c>
      <c r="E25" s="30">
        <f ca="1">VLOOKUP(A25,Rankings!B1:H651,6,FALSE)+(RAND()*0.00001)</f>
        <v>419.28334028219211</v>
      </c>
      <c r="F25" s="30">
        <f ca="1">E25-VLOOKUP(Settings!$K$2+Settings!$K$4,D$2:E$94,2,FALSE)</f>
        <v>49.983333110899707</v>
      </c>
      <c r="G25" s="141">
        <f t="shared" ca="1" si="1"/>
        <v>21</v>
      </c>
      <c r="H25" s="30">
        <f ca="1">VLOOKUP(A25,Rankings!B1:H651,7,FALSE)+(RAND()*0.00001)</f>
        <v>3.2214031669628409</v>
      </c>
      <c r="I25" s="30">
        <f ca="1">H25-VLOOKUP(Settings!$K$2+Settings!$K$4,G$2:H$94,2,FALSE)</f>
        <v>1.3407408457047434</v>
      </c>
    </row>
    <row r="26" spans="1:9" ht="18.600000000000001" customHeight="1">
      <c r="A26" s="25" t="s">
        <v>331</v>
      </c>
      <c r="B26" s="26" t="s">
        <v>116</v>
      </c>
      <c r="C26" s="120" t="s">
        <v>7</v>
      </c>
      <c r="D26" s="141">
        <f t="shared" ca="1" si="0"/>
        <v>25</v>
      </c>
      <c r="E26" s="30">
        <f ca="1">VLOOKUP(A26,Rankings!B1:H651,6,FALSE)+(RAND()*0.00001)</f>
        <v>418.90000165469866</v>
      </c>
      <c r="F26" s="30">
        <f ca="1">E26-VLOOKUP(Settings!$K$2+Settings!$K$4,D$2:E$94,2,FALSE)</f>
        <v>49.599994483406249</v>
      </c>
      <c r="G26" s="141">
        <f t="shared" ca="1" si="1"/>
        <v>25</v>
      </c>
      <c r="H26" s="30">
        <f ca="1">VLOOKUP(A26,Rankings!B1:H651,7,FALSE)+(RAND()*0.00001)</f>
        <v>2.5795348275119849</v>
      </c>
      <c r="I26" s="30">
        <f ca="1">H26-VLOOKUP(Settings!$K$2+Settings!$K$4,G$2:H$94,2,FALSE)</f>
        <v>0.69887250625388742</v>
      </c>
    </row>
    <row r="27" spans="1:9" ht="18.600000000000001" customHeight="1">
      <c r="A27" s="25" t="s">
        <v>274</v>
      </c>
      <c r="B27" s="26" t="s">
        <v>101</v>
      </c>
      <c r="C27" s="120" t="s">
        <v>7</v>
      </c>
      <c r="D27" s="141">
        <f t="shared" ca="1" si="0"/>
        <v>26</v>
      </c>
      <c r="E27" s="30">
        <f ca="1">VLOOKUP(A27,Rankings!B1:H651,6,FALSE)+(RAND()*0.00001)</f>
        <v>417.58333817993901</v>
      </c>
      <c r="F27" s="30">
        <f ca="1">E27-VLOOKUP(Settings!$K$2+Settings!$K$4,D$2:E$94,2,FALSE)</f>
        <v>48.283331008646599</v>
      </c>
      <c r="G27" s="141">
        <f t="shared" ca="1" si="1"/>
        <v>18</v>
      </c>
      <c r="H27" s="30">
        <f ca="1">VLOOKUP(A27,Rankings!B1:H651,7,FALSE)+(RAND()*0.00001)</f>
        <v>3.5366911582542735</v>
      </c>
      <c r="I27" s="30">
        <f ca="1">H27-VLOOKUP(Settings!$K$2+Settings!$K$4,G$2:H$94,2,FALSE)</f>
        <v>1.656028836996176</v>
      </c>
    </row>
    <row r="28" spans="1:9" ht="18.600000000000001" customHeight="1">
      <c r="A28" s="25" t="s">
        <v>343</v>
      </c>
      <c r="B28" s="26" t="s">
        <v>99</v>
      </c>
      <c r="C28" s="120" t="s">
        <v>7</v>
      </c>
      <c r="D28" s="141">
        <f t="shared" ca="1" si="0"/>
        <v>27</v>
      </c>
      <c r="E28" s="30">
        <f ca="1">VLOOKUP(A28,Rankings!B1:H651,6,FALSE)+(RAND()*0.00001)</f>
        <v>411.38333875404493</v>
      </c>
      <c r="F28" s="30">
        <f ca="1">E28-VLOOKUP(Settings!$K$2+Settings!$K$4,D$2:E$94,2,FALSE)</f>
        <v>42.083331582752521</v>
      </c>
      <c r="G28" s="141">
        <f t="shared" ca="1" si="1"/>
        <v>27</v>
      </c>
      <c r="H28" s="30">
        <f ca="1">VLOOKUP(A28,Rankings!B1:H651,7,FALSE)+(RAND()*0.00001)</f>
        <v>2.4821526108076357</v>
      </c>
      <c r="I28" s="30">
        <f ca="1">H28-VLOOKUP(Settings!$K$2+Settings!$K$4,G$2:H$94,2,FALSE)</f>
        <v>0.6014902895495382</v>
      </c>
    </row>
    <row r="29" spans="1:9" ht="20.100000000000001" customHeight="1">
      <c r="A29" s="25" t="s">
        <v>253</v>
      </c>
      <c r="B29" s="26" t="s">
        <v>103</v>
      </c>
      <c r="C29" s="123" t="s">
        <v>15</v>
      </c>
      <c r="D29" s="141">
        <f t="shared" ca="1" si="0"/>
        <v>28</v>
      </c>
      <c r="E29" s="30">
        <f ca="1">VLOOKUP(A29,Rankings!B1:H651,6,FALSE)+(RAND()*0.00001)</f>
        <v>405.80000908422915</v>
      </c>
      <c r="F29" s="30">
        <f ca="1">E29-VLOOKUP(Settings!$K$2+Settings!$K$4,D$2:E$94,2,FALSE)</f>
        <v>36.500001912936739</v>
      </c>
      <c r="G29" s="141">
        <f t="shared" ca="1" si="1"/>
        <v>33</v>
      </c>
      <c r="H29" s="30">
        <f ca="1">VLOOKUP(A29,Rankings!B1:H651,7,FALSE)+(RAND()*0.00001)</f>
        <v>2.0072968812599914</v>
      </c>
      <c r="I29" s="30">
        <f ca="1">H29-VLOOKUP(Settings!$K$2+Settings!$K$4,G$2:H$94,2,FALSE)</f>
        <v>0.12663456000189388</v>
      </c>
    </row>
    <row r="30" spans="1:9" ht="18.600000000000001" customHeight="1">
      <c r="A30" s="25" t="s">
        <v>342</v>
      </c>
      <c r="B30" s="26" t="s">
        <v>77</v>
      </c>
      <c r="C30" s="120" t="s">
        <v>7</v>
      </c>
      <c r="D30" s="141">
        <f t="shared" ca="1" si="0"/>
        <v>29</v>
      </c>
      <c r="E30" s="30">
        <f ca="1">VLOOKUP(A30,Rankings!B1:H651,6,FALSE)+(RAND()*0.00001)</f>
        <v>399.18333809935058</v>
      </c>
      <c r="F30" s="30">
        <f ca="1">E30-VLOOKUP(Settings!$K$2+Settings!$K$4,D$2:E$94,2,FALSE)</f>
        <v>29.883330928058172</v>
      </c>
      <c r="G30" s="141">
        <f t="shared" ca="1" si="1"/>
        <v>26</v>
      </c>
      <c r="H30" s="30">
        <f ca="1">VLOOKUP(A30,Rankings!B1:H651,7,FALSE)+(RAND()*0.00001)</f>
        <v>2.4971452272113348</v>
      </c>
      <c r="I30" s="30">
        <f ca="1">H30-VLOOKUP(Settings!$K$2+Settings!$K$4,G$2:H$94,2,FALSE)</f>
        <v>0.61648290595323729</v>
      </c>
    </row>
    <row r="31" spans="1:9" ht="18.600000000000001" customHeight="1">
      <c r="A31" s="25" t="s">
        <v>273</v>
      </c>
      <c r="B31" s="26" t="s">
        <v>72</v>
      </c>
      <c r="C31" s="123" t="s">
        <v>15</v>
      </c>
      <c r="D31" s="141">
        <f t="shared" ca="1" si="0"/>
        <v>30</v>
      </c>
      <c r="E31" s="30">
        <f ca="1">VLOOKUP(A31,Rankings!B1:H651,6,FALSE)+(RAND()*0.00001)</f>
        <v>399.10000027058186</v>
      </c>
      <c r="F31" s="30">
        <f ca="1">E31-VLOOKUP(Settings!$K$2+Settings!$K$4,D$2:E$94,2,FALSE)</f>
        <v>29.799993099289452</v>
      </c>
      <c r="G31" s="141">
        <f t="shared" ca="1" si="1"/>
        <v>37</v>
      </c>
      <c r="H31" s="30">
        <f ca="1">VLOOKUP(A31,Rankings!B1:H651,7,FALSE)+(RAND()*0.00001)</f>
        <v>1.6877188910868548</v>
      </c>
      <c r="I31" s="30">
        <f ca="1">H31-VLOOKUP(Settings!$K$2+Settings!$K$4,G$2:H$94,2,FALSE)</f>
        <v>-0.19294343017124271</v>
      </c>
    </row>
    <row r="32" spans="1:9" ht="18.600000000000001" customHeight="1">
      <c r="A32" s="25" t="s">
        <v>230</v>
      </c>
      <c r="B32" s="26" t="s">
        <v>139</v>
      </c>
      <c r="C32" s="123" t="s">
        <v>15</v>
      </c>
      <c r="D32" s="141">
        <f t="shared" ca="1" si="0"/>
        <v>31</v>
      </c>
      <c r="E32" s="30">
        <f ca="1">VLOOKUP(A32,Rankings!B1:H651,6,FALSE)+(RAND()*0.00001)</f>
        <v>388.98334185486777</v>
      </c>
      <c r="F32" s="30">
        <f ca="1">E32-VLOOKUP(Settings!$K$2+Settings!$K$4,D$2:E$94,2,FALSE)</f>
        <v>19.683334683575367</v>
      </c>
      <c r="G32" s="141">
        <f t="shared" ca="1" si="1"/>
        <v>24</v>
      </c>
      <c r="H32" s="30">
        <f ca="1">VLOOKUP(A32,Rankings!B1:H651,7,FALSE)+(RAND()*0.00001)</f>
        <v>2.6214964700189771</v>
      </c>
      <c r="I32" s="30">
        <f ca="1">H32-VLOOKUP(Settings!$K$2+Settings!$K$4,G$2:H$94,2,FALSE)</f>
        <v>0.74083414876087961</v>
      </c>
    </row>
    <row r="33" spans="1:9" ht="18.600000000000001" customHeight="1">
      <c r="A33" s="25" t="s">
        <v>250</v>
      </c>
      <c r="B33" s="26" t="s">
        <v>105</v>
      </c>
      <c r="C33" s="123" t="s">
        <v>15</v>
      </c>
      <c r="D33" s="141">
        <f t="shared" ca="1" si="0"/>
        <v>32</v>
      </c>
      <c r="E33" s="30">
        <f ca="1">VLOOKUP(A33,Rankings!B1:H651,6,FALSE)+(RAND()*0.00001)</f>
        <v>386.96667266402511</v>
      </c>
      <c r="F33" s="30">
        <f ca="1">E33-VLOOKUP(Settings!$K$2+Settings!$K$4,D$2:E$94,2,FALSE)</f>
        <v>17.666665492732704</v>
      </c>
      <c r="G33" s="141">
        <f t="shared" ca="1" si="1"/>
        <v>30</v>
      </c>
      <c r="H33" s="30">
        <f ca="1">VLOOKUP(A33,Rankings!B1:H651,7,FALSE)+(RAND()*0.00001)</f>
        <v>2.165116063620097</v>
      </c>
      <c r="I33" s="30">
        <f ca="1">H33-VLOOKUP(Settings!$K$2+Settings!$K$4,G$2:H$94,2,FALSE)</f>
        <v>0.2844537423619995</v>
      </c>
    </row>
    <row r="34" spans="1:9" ht="20.100000000000001" customHeight="1">
      <c r="A34" s="25" t="s">
        <v>368</v>
      </c>
      <c r="B34" s="26" t="s">
        <v>158</v>
      </c>
      <c r="C34" s="120" t="s">
        <v>7</v>
      </c>
      <c r="D34" s="141">
        <f t="shared" ref="D34:D65" ca="1" si="2">RANK(E34,E$2:E$104)</f>
        <v>33</v>
      </c>
      <c r="E34" s="30">
        <f ca="1">VLOOKUP(A34,Rankings!B1:H651,6,FALSE)+(RAND()*0.00001)</f>
        <v>382.58334076832011</v>
      </c>
      <c r="F34" s="30">
        <f ca="1">E34-VLOOKUP(Settings!$K$2+Settings!$K$4,D$2:E$94,2,FALSE)</f>
        <v>13.283333597027706</v>
      </c>
      <c r="G34" s="141">
        <f t="shared" ref="G34:G65" ca="1" si="3">RANK(H34,H$2:H$104)</f>
        <v>32</v>
      </c>
      <c r="H34" s="30">
        <f ca="1">VLOOKUP(A34,Rankings!B1:H651,7,FALSE)+(RAND()*0.00001)</f>
        <v>2.0082302044881777</v>
      </c>
      <c r="I34" s="30">
        <f ca="1">H34-VLOOKUP(Settings!$K$2+Settings!$K$4,G$2:H$94,2,FALSE)</f>
        <v>0.12756788323008017</v>
      </c>
    </row>
    <row r="35" spans="1:9" ht="20.100000000000001" customHeight="1">
      <c r="A35" s="25" t="s">
        <v>374</v>
      </c>
      <c r="B35" s="26" t="s">
        <v>82</v>
      </c>
      <c r="C35" s="120" t="s">
        <v>7</v>
      </c>
      <c r="D35" s="141">
        <f t="shared" ca="1" si="2"/>
        <v>34</v>
      </c>
      <c r="E35" s="30">
        <f ca="1">VLOOKUP(A35,Rankings!B1:H651,6,FALSE)+(RAND()*0.00001)</f>
        <v>374.13333877817701</v>
      </c>
      <c r="F35" s="30">
        <f ca="1">E35-VLOOKUP(Settings!$K$2+Settings!$K$4,D$2:E$94,2,FALSE)</f>
        <v>4.8333316068845988</v>
      </c>
      <c r="G35" s="141">
        <f t="shared" ca="1" si="3"/>
        <v>35</v>
      </c>
      <c r="H35" s="30">
        <f ca="1">VLOOKUP(A35,Rankings!B1:H651,7,FALSE)+(RAND()*0.00001)</f>
        <v>1.9524031675995601</v>
      </c>
      <c r="I35" s="30">
        <f ca="1">H35-VLOOKUP(Settings!$K$2+Settings!$K$4,G$2:H$94,2,FALSE)</f>
        <v>7.1740846341462605E-2</v>
      </c>
    </row>
    <row r="36" spans="1:9" ht="18.600000000000001" customHeight="1">
      <c r="A36" s="25" t="s">
        <v>247</v>
      </c>
      <c r="B36" s="26" t="s">
        <v>125</v>
      </c>
      <c r="C36" s="123" t="s">
        <v>15</v>
      </c>
      <c r="D36" s="141">
        <f t="shared" ca="1" si="2"/>
        <v>35</v>
      </c>
      <c r="E36" s="30">
        <f ca="1">VLOOKUP(A36,Rankings!B1:H651,6,FALSE)+(RAND()*0.00001)</f>
        <v>373.66250117199013</v>
      </c>
      <c r="F36" s="30">
        <f ca="1">E36-VLOOKUP(Settings!$K$2+Settings!$K$4,D$2:E$94,2,FALSE)</f>
        <v>4.3624940006977226</v>
      </c>
      <c r="G36" s="141">
        <f t="shared" ca="1" si="3"/>
        <v>29</v>
      </c>
      <c r="H36" s="30">
        <f ca="1">VLOOKUP(A36,Rankings!B1:H651,7,FALSE)+(RAND()*0.00001)</f>
        <v>2.2571375333110426</v>
      </c>
      <c r="I36" s="30">
        <f ca="1">H36-VLOOKUP(Settings!$K$2+Settings!$K$4,G$2:H$94,2,FALSE)</f>
        <v>0.3764752120529451</v>
      </c>
    </row>
    <row r="37" spans="1:9" ht="18.600000000000001" customHeight="1">
      <c r="A37" s="25" t="s">
        <v>251</v>
      </c>
      <c r="B37" s="26" t="s">
        <v>92</v>
      </c>
      <c r="C37" s="123" t="s">
        <v>15</v>
      </c>
      <c r="D37" s="141">
        <f t="shared" ca="1" si="2"/>
        <v>36</v>
      </c>
      <c r="E37" s="30">
        <f ca="1">VLOOKUP(A37,Rankings!B1:H651,6,FALSE)+(RAND()*0.00001)</f>
        <v>369.30000717129241</v>
      </c>
      <c r="F37" s="30">
        <f ca="1">E37-VLOOKUP(Settings!$K$2+Settings!$K$4,D$2:E$94,2,FALSE)</f>
        <v>0</v>
      </c>
      <c r="G37" s="141">
        <f t="shared" ca="1" si="3"/>
        <v>31</v>
      </c>
      <c r="H37" s="30">
        <f ca="1">VLOOKUP(A37,Rankings!B1:H651,7,FALSE)+(RAND()*0.00001)</f>
        <v>2.1359954148930456</v>
      </c>
      <c r="I37" s="30">
        <f ca="1">H37-VLOOKUP(Settings!$K$2+Settings!$K$4,G$2:H$94,2,FALSE)</f>
        <v>0.25533309363494805</v>
      </c>
    </row>
    <row r="38" spans="1:9" ht="18.600000000000001" customHeight="1">
      <c r="A38" s="25" t="s">
        <v>332</v>
      </c>
      <c r="B38" s="26" t="s">
        <v>85</v>
      </c>
      <c r="C38" s="123" t="s">
        <v>15</v>
      </c>
      <c r="D38" s="141">
        <f t="shared" ca="1" si="2"/>
        <v>37</v>
      </c>
      <c r="E38" s="30">
        <f ca="1">VLOOKUP(A38,Rankings!B1:H651,6,FALSE)+(RAND()*0.00001)</f>
        <v>369.01667317428263</v>
      </c>
      <c r="F38" s="30">
        <f ca="1">E38-VLOOKUP(Settings!$K$2+Settings!$K$4,D$2:E$94,2,FALSE)</f>
        <v>-0.28333399700977679</v>
      </c>
      <c r="G38" s="141">
        <f t="shared" ca="1" si="3"/>
        <v>42</v>
      </c>
      <c r="H38" s="30">
        <f ca="1">VLOOKUP(A38,Rankings!B1:H651,7,FALSE)+(RAND()*0.00001)</f>
        <v>0.72768741346802768</v>
      </c>
      <c r="I38" s="30">
        <f ca="1">H38-VLOOKUP(Settings!$K$2+Settings!$K$4,G$2:H$94,2,FALSE)</f>
        <v>-1.1529749077900697</v>
      </c>
    </row>
    <row r="39" spans="1:9" ht="18.600000000000001" customHeight="1">
      <c r="A39" s="25" t="s">
        <v>352</v>
      </c>
      <c r="B39" s="26" t="s">
        <v>116</v>
      </c>
      <c r="C39" s="123" t="s">
        <v>15</v>
      </c>
      <c r="D39" s="141">
        <f t="shared" ca="1" si="2"/>
        <v>38</v>
      </c>
      <c r="E39" s="30">
        <f ca="1">VLOOKUP(A39,Rankings!B1:H651,6,FALSE)+(RAND()*0.00001)</f>
        <v>363.68333447399863</v>
      </c>
      <c r="F39" s="30">
        <f ca="1">E39-VLOOKUP(Settings!$K$2+Settings!$K$4,D$2:E$94,2,FALSE)</f>
        <v>-5.6166726972937795</v>
      </c>
      <c r="G39" s="141">
        <f t="shared" ca="1" si="3"/>
        <v>44</v>
      </c>
      <c r="H39" s="30">
        <f ca="1">VLOOKUP(A39,Rankings!B1:H651,7,FALSE)+(RAND()*0.00001)</f>
        <v>0.5357061016249246</v>
      </c>
      <c r="I39" s="30">
        <f ca="1">H39-VLOOKUP(Settings!$K$2+Settings!$K$4,G$2:H$94,2,FALSE)</f>
        <v>-1.3449562196331728</v>
      </c>
    </row>
    <row r="40" spans="1:9" ht="18.600000000000001" customHeight="1">
      <c r="A40" s="25" t="s">
        <v>379</v>
      </c>
      <c r="B40" s="26" t="s">
        <v>225</v>
      </c>
      <c r="C40" s="120" t="s">
        <v>7</v>
      </c>
      <c r="D40" s="141">
        <f t="shared" ca="1" si="2"/>
        <v>39</v>
      </c>
      <c r="E40" s="30">
        <f ca="1">VLOOKUP(A40,Rankings!B1:H651,6,FALSE)+(RAND()*0.00001)</f>
        <v>361.66667546609591</v>
      </c>
      <c r="F40" s="30">
        <f ca="1">E40-VLOOKUP(Settings!$K$2+Settings!$K$4,D$2:E$94,2,FALSE)</f>
        <v>-7.6333317051964968</v>
      </c>
      <c r="G40" s="141">
        <f t="shared" ca="1" si="3"/>
        <v>36</v>
      </c>
      <c r="H40" s="30">
        <f ca="1">VLOOKUP(A40,Rankings!B1:H651,7,FALSE)+(RAND()*0.00001)</f>
        <v>1.8806623212580975</v>
      </c>
      <c r="I40" s="30">
        <f ca="1">H40-VLOOKUP(Settings!$K$2+Settings!$K$4,G$2:H$94,2,FALSE)</f>
        <v>0</v>
      </c>
    </row>
    <row r="41" spans="1:9" ht="20.100000000000001" customHeight="1">
      <c r="A41" s="25" t="s">
        <v>288</v>
      </c>
      <c r="B41" s="26" t="s">
        <v>92</v>
      </c>
      <c r="C41" s="123" t="s">
        <v>15</v>
      </c>
      <c r="D41" s="141">
        <f t="shared" ca="1" si="2"/>
        <v>40</v>
      </c>
      <c r="E41" s="30">
        <f ca="1">VLOOKUP(A41,Rankings!B1:H651,6,FALSE)+(RAND()*0.00001)</f>
        <v>358.58333369073245</v>
      </c>
      <c r="F41" s="30">
        <f ca="1">E41-VLOOKUP(Settings!$K$2+Settings!$K$4,D$2:E$94,2,FALSE)</f>
        <v>-10.716673480559962</v>
      </c>
      <c r="G41" s="141">
        <f t="shared" ca="1" si="3"/>
        <v>39</v>
      </c>
      <c r="H41" s="30">
        <f ca="1">VLOOKUP(A41,Rankings!B1:H651,7,FALSE)+(RAND()*0.00001)</f>
        <v>1.3947314589473567</v>
      </c>
      <c r="I41" s="30">
        <f ca="1">H41-VLOOKUP(Settings!$K$2+Settings!$K$4,G$2:H$94,2,FALSE)</f>
        <v>-0.48593086231074079</v>
      </c>
    </row>
    <row r="42" spans="1:9" ht="18.600000000000001" customHeight="1">
      <c r="A42" s="25" t="s">
        <v>593</v>
      </c>
      <c r="B42" s="26" t="s">
        <v>139</v>
      </c>
      <c r="C42" s="120" t="s">
        <v>7</v>
      </c>
      <c r="D42" s="141">
        <f t="shared" ca="1" si="2"/>
        <v>41</v>
      </c>
      <c r="E42" s="30">
        <f ca="1">VLOOKUP(A42,Rankings!B1:H651,6,FALSE)+(RAND()*0.00001)</f>
        <v>358.0333337105082</v>
      </c>
      <c r="F42" s="30">
        <f ca="1">E42-VLOOKUP(Settings!$K$2+Settings!$K$4,D$2:E$94,2,FALSE)</f>
        <v>-11.266673460784205</v>
      </c>
      <c r="G42" s="141">
        <f t="shared" ca="1" si="3"/>
        <v>60</v>
      </c>
      <c r="H42" s="30">
        <f ca="1">VLOOKUP(A42,Rankings!B1:H651,7,FALSE)+(RAND()*0.00001)</f>
        <v>-0.95040565608745264</v>
      </c>
      <c r="I42" s="30">
        <f ca="1">H42-VLOOKUP(Settings!$K$2+Settings!$K$4,G$2:H$94,2,FALSE)</f>
        <v>-2.8310679773455503</v>
      </c>
    </row>
    <row r="43" spans="1:9" ht="18.600000000000001" customHeight="1">
      <c r="A43" s="25" t="s">
        <v>478</v>
      </c>
      <c r="B43" s="26" t="s">
        <v>105</v>
      </c>
      <c r="C43" s="120" t="s">
        <v>7</v>
      </c>
      <c r="D43" s="141">
        <f t="shared" ca="1" si="2"/>
        <v>42</v>
      </c>
      <c r="E43" s="30">
        <f ca="1">VLOOKUP(A43,Rankings!B1:H651,6,FALSE)+(RAND()*0.00001)</f>
        <v>351.16666830531511</v>
      </c>
      <c r="F43" s="30">
        <f ca="1">E43-VLOOKUP(Settings!$K$2+Settings!$K$4,D$2:E$94,2,FALSE)</f>
        <v>-18.133338865977294</v>
      </c>
      <c r="G43" s="141">
        <f t="shared" ca="1" si="3"/>
        <v>46</v>
      </c>
      <c r="H43" s="30">
        <f ca="1">VLOOKUP(A43,Rankings!B1:H651,7,FALSE)+(RAND()*0.00001)</f>
        <v>0.38921766242393208</v>
      </c>
      <c r="I43" s="30">
        <f ca="1">H43-VLOOKUP(Settings!$K$2+Settings!$K$4,G$2:H$94,2,FALSE)</f>
        <v>-1.4914446588341654</v>
      </c>
    </row>
    <row r="44" spans="1:9" ht="18.600000000000001" customHeight="1">
      <c r="A44" s="25" t="s">
        <v>388</v>
      </c>
      <c r="B44" s="26" t="s">
        <v>309</v>
      </c>
      <c r="C44" s="123" t="s">
        <v>15</v>
      </c>
      <c r="D44" s="141">
        <f t="shared" ca="1" si="2"/>
        <v>43</v>
      </c>
      <c r="E44" s="30">
        <f ca="1">VLOOKUP(A44,Rankings!B1:H651,6,FALSE)+(RAND()*0.00001)</f>
        <v>344.88333849256821</v>
      </c>
      <c r="F44" s="30">
        <f ca="1">E44-VLOOKUP(Settings!$K$2+Settings!$K$4,D$2:E$94,2,FALSE)</f>
        <v>-24.416668678724193</v>
      </c>
      <c r="G44" s="141">
        <f t="shared" ca="1" si="3"/>
        <v>52</v>
      </c>
      <c r="H44" s="30">
        <f ca="1">VLOOKUP(A44,Rankings!B1:H651,7,FALSE)+(RAND()*0.00001)</f>
        <v>-5.6953534021166062E-2</v>
      </c>
      <c r="I44" s="30">
        <f ca="1">H44-VLOOKUP(Settings!$K$2+Settings!$K$4,G$2:H$94,2,FALSE)</f>
        <v>-1.9376158552792635</v>
      </c>
    </row>
    <row r="45" spans="1:9" ht="20.100000000000001" customHeight="1">
      <c r="A45" s="25" t="s">
        <v>495</v>
      </c>
      <c r="B45" s="26" t="s">
        <v>219</v>
      </c>
      <c r="C45" s="120" t="s">
        <v>7</v>
      </c>
      <c r="D45" s="141">
        <f t="shared" ca="1" si="2"/>
        <v>44</v>
      </c>
      <c r="E45" s="30">
        <f ca="1">VLOOKUP(A45,Rankings!B1:H651,6,FALSE)+(RAND()*0.00001)</f>
        <v>344.60000454338729</v>
      </c>
      <c r="F45" s="30">
        <f ca="1">E45-VLOOKUP(Settings!$K$2+Settings!$K$4,D$2:E$94,2,FALSE)</f>
        <v>-24.700002627905121</v>
      </c>
      <c r="G45" s="141">
        <f t="shared" ca="1" si="3"/>
        <v>49</v>
      </c>
      <c r="H45" s="30">
        <f ca="1">VLOOKUP(A45,Rankings!B1:H651,7,FALSE)+(RAND()*0.00001)</f>
        <v>0.1790590605390881</v>
      </c>
      <c r="I45" s="30">
        <f ca="1">H45-VLOOKUP(Settings!$K$2+Settings!$K$4,G$2:H$94,2,FALSE)</f>
        <v>-1.7016032607190095</v>
      </c>
    </row>
    <row r="46" spans="1:9" ht="18.600000000000001" customHeight="1">
      <c r="A46" s="25" t="s">
        <v>305</v>
      </c>
      <c r="B46" s="26" t="s">
        <v>85</v>
      </c>
      <c r="C46" s="123" t="s">
        <v>15</v>
      </c>
      <c r="D46" s="141">
        <f t="shared" ca="1" si="2"/>
        <v>45</v>
      </c>
      <c r="E46" s="30">
        <f ca="1">VLOOKUP(A46,Rankings!B1:H651,6,FALSE)+(RAND()*0.00001)</f>
        <v>343.5333355658953</v>
      </c>
      <c r="F46" s="30">
        <f ca="1">E46-VLOOKUP(Settings!$K$2+Settings!$K$4,D$2:E$94,2,FALSE)</f>
        <v>-25.766671605397107</v>
      </c>
      <c r="G46" s="141">
        <f t="shared" ca="1" si="3"/>
        <v>40</v>
      </c>
      <c r="H46" s="30">
        <f ca="1">VLOOKUP(A46,Rankings!B1:H651,7,FALSE)+(RAND()*0.00001)</f>
        <v>1.0943948333059093</v>
      </c>
      <c r="I46" s="30">
        <f ca="1">H46-VLOOKUP(Settings!$K$2+Settings!$K$4,G$2:H$94,2,FALSE)</f>
        <v>-0.78626748795218826</v>
      </c>
    </row>
    <row r="47" spans="1:9" ht="20.100000000000001" customHeight="1">
      <c r="A47" s="25" t="s">
        <v>344</v>
      </c>
      <c r="B47" s="26" t="s">
        <v>125</v>
      </c>
      <c r="C47" s="123" t="s">
        <v>15</v>
      </c>
      <c r="D47" s="141">
        <f t="shared" ca="1" si="2"/>
        <v>46</v>
      </c>
      <c r="E47" s="30">
        <f ca="1">VLOOKUP(A47,Rankings!B1:H651,6,FALSE)+(RAND()*0.00001)</f>
        <v>341.13333651021912</v>
      </c>
      <c r="F47" s="30">
        <f ca="1">E47-VLOOKUP(Settings!$K$2+Settings!$K$4,D$2:E$94,2,FALSE)</f>
        <v>-28.166670661073283</v>
      </c>
      <c r="G47" s="141">
        <f t="shared" ca="1" si="3"/>
        <v>43</v>
      </c>
      <c r="H47" s="30">
        <f ca="1">VLOOKUP(A47,Rankings!B1:H651,7,FALSE)+(RAND()*0.00001)</f>
        <v>0.61495228380118372</v>
      </c>
      <c r="I47" s="30">
        <f ca="1">H47-VLOOKUP(Settings!$K$2+Settings!$K$4,G$2:H$94,2,FALSE)</f>
        <v>-1.2657100374569139</v>
      </c>
    </row>
    <row r="48" spans="1:9" ht="20.100000000000001" customHeight="1">
      <c r="A48" s="25" t="s">
        <v>525</v>
      </c>
      <c r="B48" s="26" t="s">
        <v>103</v>
      </c>
      <c r="C48" s="120" t="s">
        <v>7</v>
      </c>
      <c r="D48" s="141">
        <f t="shared" ca="1" si="2"/>
        <v>47</v>
      </c>
      <c r="E48" s="30">
        <f ca="1">VLOOKUP(A48,Rankings!B1:H651,6,FALSE)+(RAND()*0.00001)</f>
        <v>338.60000468379621</v>
      </c>
      <c r="F48" s="30">
        <f ca="1">E48-VLOOKUP(Settings!$K$2+Settings!$K$4,D$2:E$94,2,FALSE)</f>
        <v>-30.700002487496192</v>
      </c>
      <c r="G48" s="141">
        <f t="shared" ca="1" si="3"/>
        <v>54</v>
      </c>
      <c r="H48" s="30">
        <f ca="1">VLOOKUP(A48,Rankings!B1:H651,7,FALSE)+(RAND()*0.00001)</f>
        <v>-0.18983239287536649</v>
      </c>
      <c r="I48" s="30">
        <f ca="1">H48-VLOOKUP(Settings!$K$2+Settings!$K$4,G$2:H$94,2,FALSE)</f>
        <v>-2.070494714133464</v>
      </c>
    </row>
    <row r="49" spans="1:9" ht="20.100000000000001" customHeight="1">
      <c r="A49" s="25" t="s">
        <v>363</v>
      </c>
      <c r="B49" s="26" t="s">
        <v>64</v>
      </c>
      <c r="C49" s="123" t="s">
        <v>15</v>
      </c>
      <c r="D49" s="141">
        <f t="shared" ca="1" si="2"/>
        <v>48</v>
      </c>
      <c r="E49" s="30">
        <f ca="1">VLOOKUP(A49,Rankings!B1:H651,6,FALSE)+(RAND()*0.00001)</f>
        <v>334.41667511360032</v>
      </c>
      <c r="F49" s="30">
        <f ca="1">E49-VLOOKUP(Settings!$K$2+Settings!$K$4,D$2:E$94,2,FALSE)</f>
        <v>-34.883332057692087</v>
      </c>
      <c r="G49" s="141">
        <f t="shared" ca="1" si="3"/>
        <v>47</v>
      </c>
      <c r="H49" s="30">
        <f ca="1">VLOOKUP(A49,Rankings!B1:H651,7,FALSE)+(RAND()*0.00001)</f>
        <v>0.31502898041622934</v>
      </c>
      <c r="I49" s="30">
        <f ca="1">H49-VLOOKUP(Settings!$K$2+Settings!$K$4,G$2:H$94,2,FALSE)</f>
        <v>-1.5656333408418681</v>
      </c>
    </row>
    <row r="50" spans="1:9" ht="20.100000000000001" customHeight="1">
      <c r="A50" s="25" t="s">
        <v>440</v>
      </c>
      <c r="B50" s="26" t="s">
        <v>85</v>
      </c>
      <c r="C50" s="120" t="s">
        <v>7</v>
      </c>
      <c r="D50" s="141">
        <f t="shared" ca="1" si="2"/>
        <v>49</v>
      </c>
      <c r="E50" s="30">
        <f ca="1">VLOOKUP(A50,Rankings!B1:H651,6,FALSE)+(RAND()*0.00001)</f>
        <v>333.666676601316</v>
      </c>
      <c r="F50" s="30">
        <f ca="1">E50-VLOOKUP(Settings!$K$2+Settings!$K$4,D$2:E$94,2,FALSE)</f>
        <v>-35.633330569976408</v>
      </c>
      <c r="G50" s="141">
        <f t="shared" ca="1" si="3"/>
        <v>41</v>
      </c>
      <c r="H50" s="30">
        <f ca="1">VLOOKUP(A50,Rankings!B1:H651,7,FALSE)+(RAND()*0.00001)</f>
        <v>0.81580734704655156</v>
      </c>
      <c r="I50" s="30">
        <f ca="1">H50-VLOOKUP(Settings!$K$2+Settings!$K$4,G$2:H$94,2,FALSE)</f>
        <v>-1.0648549742115461</v>
      </c>
    </row>
    <row r="51" spans="1:9" ht="20.100000000000001" customHeight="1">
      <c r="A51" s="25" t="s">
        <v>473</v>
      </c>
      <c r="B51" s="26" t="s">
        <v>142</v>
      </c>
      <c r="C51" s="120" t="s">
        <v>7</v>
      </c>
      <c r="D51" s="141">
        <f t="shared" ca="1" si="2"/>
        <v>50</v>
      </c>
      <c r="E51" s="30">
        <f ca="1">VLOOKUP(A51,Rankings!B1:H651,6,FALSE)+(RAND()*0.00001)</f>
        <v>331.71667187807515</v>
      </c>
      <c r="F51" s="30">
        <f ca="1">E51-VLOOKUP(Settings!$K$2+Settings!$K$4,D$2:E$94,2,FALSE)</f>
        <v>-37.58333529321726</v>
      </c>
      <c r="G51" s="141">
        <f t="shared" ca="1" si="3"/>
        <v>45</v>
      </c>
      <c r="H51" s="30">
        <f ca="1">VLOOKUP(A51,Rankings!B1:H651,7,FALSE)+(RAND()*0.00001)</f>
        <v>0.42766013648405959</v>
      </c>
      <c r="I51" s="30">
        <f ca="1">H51-VLOOKUP(Settings!$K$2+Settings!$K$4,G$2:H$94,2,FALSE)</f>
        <v>-1.453002184774038</v>
      </c>
    </row>
    <row r="52" spans="1:9" ht="20.100000000000001" customHeight="1">
      <c r="A52" s="25" t="s">
        <v>619</v>
      </c>
      <c r="B52" s="26" t="s">
        <v>260</v>
      </c>
      <c r="C52" s="120" t="s">
        <v>7</v>
      </c>
      <c r="D52" s="141">
        <f t="shared" ca="1" si="2"/>
        <v>51</v>
      </c>
      <c r="E52" s="30">
        <f ca="1">VLOOKUP(A52,Rankings!B1:H651,6,FALSE)+(RAND()*0.00001)</f>
        <v>330.86867510587541</v>
      </c>
      <c r="F52" s="30">
        <f ca="1">E52-VLOOKUP(Settings!$K$2+Settings!$K$4,D$2:E$94,2,FALSE)</f>
        <v>-38.431332065416996</v>
      </c>
      <c r="G52" s="141">
        <f t="shared" ca="1" si="3"/>
        <v>64</v>
      </c>
      <c r="H52" s="30">
        <f ca="1">VLOOKUP(A52,Rankings!B1:H651,7,FALSE)+(RAND()*0.00001)</f>
        <v>-1.2445258290638004</v>
      </c>
      <c r="I52" s="30">
        <f ca="1">H52-VLOOKUP(Settings!$K$2+Settings!$K$4,G$2:H$94,2,FALSE)</f>
        <v>-3.1251881503218977</v>
      </c>
    </row>
    <row r="53" spans="1:9" ht="20.100000000000001" customHeight="1">
      <c r="A53" s="25" t="s">
        <v>490</v>
      </c>
      <c r="B53" s="26" t="s">
        <v>160</v>
      </c>
      <c r="C53" s="120" t="s">
        <v>7</v>
      </c>
      <c r="D53" s="141">
        <f t="shared" ca="1" si="2"/>
        <v>52</v>
      </c>
      <c r="E53" s="30">
        <f ca="1">VLOOKUP(A53,Rankings!B1:H651,6,FALSE)+(RAND()*0.00001)</f>
        <v>330.50000511330228</v>
      </c>
      <c r="F53" s="30">
        <f ca="1">E53-VLOOKUP(Settings!$K$2+Settings!$K$4,D$2:E$94,2,FALSE)</f>
        <v>-38.800002057990127</v>
      </c>
      <c r="G53" s="141">
        <f t="shared" ca="1" si="3"/>
        <v>48</v>
      </c>
      <c r="H53" s="30">
        <f ca="1">VLOOKUP(A53,Rankings!B1:H651,7,FALSE)+(RAND()*0.00001)</f>
        <v>0.24146165868897956</v>
      </c>
      <c r="I53" s="30">
        <f ca="1">H53-VLOOKUP(Settings!$K$2+Settings!$K$4,G$2:H$94,2,FALSE)</f>
        <v>-1.639200662569118</v>
      </c>
    </row>
    <row r="54" spans="1:9" ht="20.100000000000001" customHeight="1">
      <c r="A54" s="25" t="s">
        <v>402</v>
      </c>
      <c r="B54" s="26" t="s">
        <v>309</v>
      </c>
      <c r="C54" s="120" t="s">
        <v>7</v>
      </c>
      <c r="D54" s="141">
        <f t="shared" ca="1" si="2"/>
        <v>53</v>
      </c>
      <c r="E54" s="30">
        <f ca="1">VLOOKUP(A54,Rankings!B1:H651,6,FALSE)+(RAND()*0.00001)</f>
        <v>328.66667508232325</v>
      </c>
      <c r="F54" s="30">
        <f ca="1">E54-VLOOKUP(Settings!$K$2+Settings!$K$4,D$2:E$94,2,FALSE)</f>
        <v>-40.633332088969155</v>
      </c>
      <c r="G54" s="141">
        <f t="shared" ca="1" si="3"/>
        <v>38</v>
      </c>
      <c r="H54" s="30">
        <f ca="1">VLOOKUP(A54,Rankings!B1:H651,7,FALSE)+(RAND()*0.00001)</f>
        <v>1.6040059155951418</v>
      </c>
      <c r="I54" s="30">
        <f ca="1">H54-VLOOKUP(Settings!$K$2+Settings!$K$4,G$2:H$94,2,FALSE)</f>
        <v>-0.27665640566295568</v>
      </c>
    </row>
    <row r="55" spans="1:9" ht="20.100000000000001" customHeight="1">
      <c r="A55" s="25" t="s">
        <v>405</v>
      </c>
      <c r="B55" s="26" t="s">
        <v>97</v>
      </c>
      <c r="C55" s="123" t="s">
        <v>15</v>
      </c>
      <c r="D55" s="141">
        <f t="shared" ca="1" si="2"/>
        <v>54</v>
      </c>
      <c r="E55" s="30">
        <f ca="1">VLOOKUP(A55,Rankings!B1:H651,6,FALSE)+(RAND()*0.00001)</f>
        <v>325.50000167269638</v>
      </c>
      <c r="F55" s="30">
        <f ca="1">E55-VLOOKUP(Settings!$K$2+Settings!$K$4,D$2:E$94,2,FALSE)</f>
        <v>-43.800005498596022</v>
      </c>
      <c r="G55" s="141">
        <f t="shared" ca="1" si="3"/>
        <v>55</v>
      </c>
      <c r="H55" s="30">
        <f ca="1">VLOOKUP(A55,Rankings!B1:H651,7,FALSE)+(RAND()*0.00001)</f>
        <v>-0.30856171877586008</v>
      </c>
      <c r="I55" s="30">
        <f ca="1">H55-VLOOKUP(Settings!$K$2+Settings!$K$4,G$2:H$94,2,FALSE)</f>
        <v>-2.1892240400339578</v>
      </c>
    </row>
    <row r="56" spans="1:9" ht="20.100000000000001" customHeight="1">
      <c r="A56" s="25" t="s">
        <v>505</v>
      </c>
      <c r="B56" s="26" t="s">
        <v>136</v>
      </c>
      <c r="C56" s="120" t="s">
        <v>7</v>
      </c>
      <c r="D56" s="141">
        <f t="shared" ca="1" si="2"/>
        <v>55</v>
      </c>
      <c r="E56" s="30">
        <f ca="1">VLOOKUP(A56,Rankings!B1:H651,6,FALSE)+(RAND()*0.00001)</f>
        <v>319.23333855042586</v>
      </c>
      <c r="F56" s="30">
        <f ca="1">E56-VLOOKUP(Settings!$K$2+Settings!$K$4,D$2:E$94,2,FALSE)</f>
        <v>-50.066668620866551</v>
      </c>
      <c r="G56" s="141">
        <f t="shared" ca="1" si="3"/>
        <v>50</v>
      </c>
      <c r="H56" s="30">
        <f ca="1">VLOOKUP(A56,Rankings!B1:H651,7,FALSE)+(RAND()*0.00001)</f>
        <v>5.0395840904125459E-2</v>
      </c>
      <c r="I56" s="30">
        <f ca="1">H56-VLOOKUP(Settings!$K$2+Settings!$K$4,G$2:H$94,2,FALSE)</f>
        <v>-1.8302664803539721</v>
      </c>
    </row>
    <row r="57" spans="1:9" ht="20.100000000000001" customHeight="1">
      <c r="A57" s="25" t="s">
        <v>407</v>
      </c>
      <c r="B57" s="26" t="s">
        <v>225</v>
      </c>
      <c r="C57" s="123" t="s">
        <v>15</v>
      </c>
      <c r="D57" s="141">
        <f t="shared" ca="1" si="2"/>
        <v>56</v>
      </c>
      <c r="E57" s="30">
        <f ca="1">VLOOKUP(A57,Rankings!B1:H651,6,FALSE)+(RAND()*0.00001)</f>
        <v>318.75000900025231</v>
      </c>
      <c r="F57" s="30">
        <f ca="1">E57-VLOOKUP(Settings!$K$2+Settings!$K$4,D$2:E$94,2,FALSE)</f>
        <v>-50.549998171040102</v>
      </c>
      <c r="G57" s="141">
        <f t="shared" ca="1" si="3"/>
        <v>57</v>
      </c>
      <c r="H57" s="30">
        <f ca="1">VLOOKUP(A57,Rankings!B1:H651,7,FALSE)+(RAND()*0.00001)</f>
        <v>-0.32528885323362211</v>
      </c>
      <c r="I57" s="30">
        <f ca="1">H57-VLOOKUP(Settings!$K$2+Settings!$K$4,G$2:H$94,2,FALSE)</f>
        <v>-2.2059511744917195</v>
      </c>
    </row>
    <row r="58" spans="1:9" ht="20.100000000000001" customHeight="1">
      <c r="A58" s="25" t="s">
        <v>377</v>
      </c>
      <c r="B58" s="26" t="s">
        <v>87</v>
      </c>
      <c r="C58" s="123" t="s">
        <v>15</v>
      </c>
      <c r="D58" s="141">
        <f t="shared" ca="1" si="2"/>
        <v>57</v>
      </c>
      <c r="E58" s="30">
        <f ca="1">VLOOKUP(A58,Rankings!B1:H651,6,FALSE)+(RAND()*0.00001)</f>
        <v>305.08333775665238</v>
      </c>
      <c r="F58" s="30">
        <f ca="1">E58-VLOOKUP(Settings!$K$2+Settings!$K$4,D$2:E$94,2,FALSE)</f>
        <v>-64.216669414640023</v>
      </c>
      <c r="G58" s="141">
        <f t="shared" ca="1" si="3"/>
        <v>51</v>
      </c>
      <c r="H58" s="30">
        <f ca="1">VLOOKUP(A58,Rankings!B1:H651,7,FALSE)+(RAND()*0.00001)</f>
        <v>4.1714925665107823E-2</v>
      </c>
      <c r="I58" s="30">
        <f ca="1">H58-VLOOKUP(Settings!$K$2+Settings!$K$4,G$2:H$94,2,FALSE)</f>
        <v>-1.8389473955929896</v>
      </c>
    </row>
    <row r="59" spans="1:9" ht="20.100000000000001" customHeight="1">
      <c r="A59" s="25" t="s">
        <v>610</v>
      </c>
      <c r="B59" s="26" t="s">
        <v>225</v>
      </c>
      <c r="C59" s="120" t="s">
        <v>7</v>
      </c>
      <c r="D59" s="141">
        <f t="shared" ca="1" si="2"/>
        <v>58</v>
      </c>
      <c r="E59" s="30">
        <f ca="1">VLOOKUP(A59,Rankings!B1:H651,6,FALSE)+(RAND()*0.00001)</f>
        <v>302.06666907055205</v>
      </c>
      <c r="F59" s="30">
        <f ca="1">E59-VLOOKUP(Settings!$K$2+Settings!$K$4,D$2:E$94,2,FALSE)</f>
        <v>-67.233338100740355</v>
      </c>
      <c r="G59" s="141">
        <f t="shared" ca="1" si="3"/>
        <v>62</v>
      </c>
      <c r="H59" s="30">
        <f ca="1">VLOOKUP(A59,Rankings!B1:H651,7,FALSE)+(RAND()*0.00001)</f>
        <v>-1.1760820848679949</v>
      </c>
      <c r="I59" s="30">
        <f ca="1">H59-VLOOKUP(Settings!$K$2+Settings!$K$4,G$2:H$94,2,FALSE)</f>
        <v>-3.0567444061260924</v>
      </c>
    </row>
    <row r="60" spans="1:9" ht="20.100000000000001" customHeight="1">
      <c r="A60" s="25" t="s">
        <v>450</v>
      </c>
      <c r="B60" s="26" t="s">
        <v>69</v>
      </c>
      <c r="C60" s="123" t="s">
        <v>15</v>
      </c>
      <c r="D60" s="141">
        <f t="shared" ca="1" si="2"/>
        <v>59</v>
      </c>
      <c r="E60" s="30">
        <f ca="1">VLOOKUP(A60,Rankings!B1:H651,6,FALSE)+(RAND()*0.00001)</f>
        <v>299.23333684975029</v>
      </c>
      <c r="F60" s="30">
        <f ca="1">E60-VLOOKUP(Settings!$K$2+Settings!$K$4,D$2:E$94,2,FALSE)</f>
        <v>-70.066670321542119</v>
      </c>
      <c r="G60" s="141">
        <f t="shared" ca="1" si="3"/>
        <v>61</v>
      </c>
      <c r="H60" s="30">
        <f ca="1">VLOOKUP(A60,Rankings!B1:H651,7,FALSE)+(RAND()*0.00001)</f>
        <v>-1.1749443106279476</v>
      </c>
      <c r="I60" s="30">
        <f ca="1">H60-VLOOKUP(Settings!$K$2+Settings!$K$4,G$2:H$94,2,FALSE)</f>
        <v>-3.0556066318860449</v>
      </c>
    </row>
    <row r="61" spans="1:9" ht="20.100000000000001" customHeight="1">
      <c r="A61" s="25" t="s">
        <v>513</v>
      </c>
      <c r="B61" s="26" t="s">
        <v>160</v>
      </c>
      <c r="C61" s="120" t="s">
        <v>7</v>
      </c>
      <c r="D61" s="141">
        <f t="shared" ca="1" si="2"/>
        <v>60</v>
      </c>
      <c r="E61" s="30">
        <f ca="1">VLOOKUP(A61,Rankings!B1:H651,6,FALSE)+(RAND()*0.00001)</f>
        <v>287.53333356349776</v>
      </c>
      <c r="F61" s="30">
        <f ca="1">E61-VLOOKUP(Settings!$K$2+Settings!$K$4,D$2:E$94,2,FALSE)</f>
        <v>-81.766673607794644</v>
      </c>
      <c r="G61" s="141">
        <f t="shared" ca="1" si="3"/>
        <v>53</v>
      </c>
      <c r="H61" s="30">
        <f ca="1">VLOOKUP(A61,Rankings!B1:H651,7,FALSE)+(RAND()*0.00001)</f>
        <v>-8.7708736390912798E-2</v>
      </c>
      <c r="I61" s="30">
        <f ca="1">H61-VLOOKUP(Settings!$K$2+Settings!$K$4,G$2:H$94,2,FALSE)</f>
        <v>-1.9683710576490103</v>
      </c>
    </row>
    <row r="62" spans="1:9" ht="20.100000000000001" customHeight="1">
      <c r="A62" s="25" t="s">
        <v>656</v>
      </c>
      <c r="B62" s="26" t="s">
        <v>139</v>
      </c>
      <c r="C62" s="120" t="s">
        <v>7</v>
      </c>
      <c r="D62" s="141">
        <f t="shared" ca="1" si="2"/>
        <v>61</v>
      </c>
      <c r="E62" s="30">
        <f ca="1">VLOOKUP(A62,Rankings!B1:H651,6,FALSE)+(RAND()*0.00001)</f>
        <v>286.95000816064334</v>
      </c>
      <c r="F62" s="30">
        <f ca="1">E62-VLOOKUP(Settings!$K$2+Settings!$K$4,D$2:E$94,2,FALSE)</f>
        <v>-82.349999010649071</v>
      </c>
      <c r="G62" s="141">
        <f t="shared" ca="1" si="3"/>
        <v>71</v>
      </c>
      <c r="H62" s="30">
        <f ca="1">VLOOKUP(A62,Rankings!B1:H651,7,FALSE)+(RAND()*0.00001)</f>
        <v>-1.9145795884394126</v>
      </c>
      <c r="I62" s="30">
        <f ca="1">H62-VLOOKUP(Settings!$K$2+Settings!$K$4,G$2:H$94,2,FALSE)</f>
        <v>-3.7952419096975101</v>
      </c>
    </row>
    <row r="63" spans="1:9" ht="20.100000000000001" customHeight="1">
      <c r="A63" s="25" t="s">
        <v>587</v>
      </c>
      <c r="B63" s="26" t="s">
        <v>142</v>
      </c>
      <c r="C63" s="120" t="s">
        <v>7</v>
      </c>
      <c r="D63" s="141">
        <f t="shared" ca="1" si="2"/>
        <v>62</v>
      </c>
      <c r="E63" s="30">
        <f ca="1">VLOOKUP(A63,Rankings!B1:H651,6,FALSE)+(RAND()*0.00001)</f>
        <v>286.30000240627783</v>
      </c>
      <c r="F63" s="30">
        <f ca="1">E63-VLOOKUP(Settings!$K$2+Settings!$K$4,D$2:E$94,2,FALSE)</f>
        <v>-83.00000476501458</v>
      </c>
      <c r="G63" s="141">
        <f t="shared" ca="1" si="3"/>
        <v>59</v>
      </c>
      <c r="H63" s="30">
        <f ca="1">VLOOKUP(A63,Rankings!B1:H651,7,FALSE)+(RAND()*0.00001)</f>
        <v>-0.93425173927917859</v>
      </c>
      <c r="I63" s="30">
        <f ca="1">H63-VLOOKUP(Settings!$K$2+Settings!$K$4,G$2:H$94,2,FALSE)</f>
        <v>-2.814914060537276</v>
      </c>
    </row>
    <row r="64" spans="1:9" ht="20.100000000000001" customHeight="1">
      <c r="A64" s="25" t="s">
        <v>503</v>
      </c>
      <c r="B64" s="26" t="s">
        <v>119</v>
      </c>
      <c r="C64" s="123" t="s">
        <v>15</v>
      </c>
      <c r="D64" s="141">
        <f t="shared" ca="1" si="2"/>
        <v>63</v>
      </c>
      <c r="E64" s="30">
        <f ca="1">VLOOKUP(A64,Rankings!B1:H651,6,FALSE)+(RAND()*0.00001)</f>
        <v>275.33333811327981</v>
      </c>
      <c r="F64" s="30">
        <f ca="1">E64-VLOOKUP(Settings!$K$2+Settings!$K$4,D$2:E$94,2,FALSE)</f>
        <v>-93.966669058012599</v>
      </c>
      <c r="G64" s="141">
        <f t="shared" ca="1" si="3"/>
        <v>70</v>
      </c>
      <c r="H64" s="30">
        <f ca="1">VLOOKUP(A64,Rankings!B1:H651,7,FALSE)+(RAND()*0.00001)</f>
        <v>-1.7834636244908018</v>
      </c>
      <c r="I64" s="30">
        <f ca="1">H64-VLOOKUP(Settings!$K$2+Settings!$K$4,G$2:H$94,2,FALSE)</f>
        <v>-3.664125945748899</v>
      </c>
    </row>
    <row r="65" spans="1:9" ht="20.100000000000001" customHeight="1">
      <c r="A65" s="25" t="s">
        <v>406</v>
      </c>
      <c r="B65" s="26" t="s">
        <v>136</v>
      </c>
      <c r="C65" s="123" t="s">
        <v>15</v>
      </c>
      <c r="D65" s="141">
        <f t="shared" ca="1" si="2"/>
        <v>64</v>
      </c>
      <c r="E65" s="30">
        <f ca="1">VLOOKUP(A65,Rankings!B1:H651,6,FALSE)+(RAND()*0.00001)</f>
        <v>275.05000072873565</v>
      </c>
      <c r="F65" s="30">
        <f ca="1">E65-VLOOKUP(Settings!$K$2+Settings!$K$4,D$2:E$94,2,FALSE)</f>
        <v>-94.250006442556753</v>
      </c>
      <c r="G65" s="141">
        <f t="shared" ca="1" si="3"/>
        <v>56</v>
      </c>
      <c r="H65" s="30">
        <f ca="1">VLOOKUP(A65,Rankings!B1:H651,7,FALSE)+(RAND()*0.00001)</f>
        <v>-0.32327308021202522</v>
      </c>
      <c r="I65" s="30">
        <f ca="1">H65-VLOOKUP(Settings!$K$2+Settings!$K$4,G$2:H$94,2,FALSE)</f>
        <v>-2.2039354014701229</v>
      </c>
    </row>
    <row r="66" spans="1:9" ht="20.100000000000001" customHeight="1">
      <c r="A66" s="25" t="s">
        <v>622</v>
      </c>
      <c r="B66" s="26" t="s">
        <v>95</v>
      </c>
      <c r="C66" s="120" t="s">
        <v>7</v>
      </c>
      <c r="D66" s="141">
        <f t="shared" ref="D66:D97" ca="1" si="4">RANK(E66,E$2:E$104)</f>
        <v>65</v>
      </c>
      <c r="E66" s="30">
        <f ca="1">VLOOKUP(A66,Rankings!B1:H651,6,FALSE)+(RAND()*0.00001)</f>
        <v>269.31666705230759</v>
      </c>
      <c r="F66" s="30">
        <f ca="1">E66-VLOOKUP(Settings!$K$2+Settings!$K$4,D$2:E$94,2,FALSE)</f>
        <v>-99.983340118984813</v>
      </c>
      <c r="G66" s="141">
        <f t="shared" ref="G66:G97" ca="1" si="5">RANK(H66,H$2:H$104)</f>
        <v>66</v>
      </c>
      <c r="H66" s="30">
        <f ca="1">VLOOKUP(A66,Rankings!B1:H651,7,FALSE)+(RAND()*0.00001)</f>
        <v>-1.2820700290469131</v>
      </c>
      <c r="I66" s="30">
        <f ca="1">H66-VLOOKUP(Settings!$K$2+Settings!$K$4,G$2:H$94,2,FALSE)</f>
        <v>-3.1627323503050109</v>
      </c>
    </row>
    <row r="67" spans="1:9" ht="20.100000000000001" customHeight="1">
      <c r="A67" s="25" t="s">
        <v>630</v>
      </c>
      <c r="B67" s="26" t="s">
        <v>309</v>
      </c>
      <c r="C67" s="120" t="s">
        <v>7</v>
      </c>
      <c r="D67" s="141">
        <f t="shared" ca="1" si="4"/>
        <v>66</v>
      </c>
      <c r="E67" s="30">
        <f ca="1">VLOOKUP(A67,Rankings!B1:H651,6,FALSE)+(RAND()*0.00001)</f>
        <v>265.03333490831324</v>
      </c>
      <c r="F67" s="30">
        <f ca="1">E67-VLOOKUP(Settings!$K$2+Settings!$K$4,D$2:E$94,2,FALSE)</f>
        <v>-104.26667226297917</v>
      </c>
      <c r="G67" s="141">
        <f t="shared" ca="1" si="5"/>
        <v>67</v>
      </c>
      <c r="H67" s="30">
        <f ca="1">VLOOKUP(A67,Rankings!B1:H651,7,FALSE)+(RAND()*0.00001)</f>
        <v>-1.4518850359819868</v>
      </c>
      <c r="I67" s="30">
        <f ca="1">H67-VLOOKUP(Settings!$K$2+Settings!$K$4,G$2:H$94,2,FALSE)</f>
        <v>-3.3325473572400846</v>
      </c>
    </row>
    <row r="68" spans="1:9" ht="20.100000000000001" customHeight="1">
      <c r="A68" s="25" t="s">
        <v>421</v>
      </c>
      <c r="B68" s="26" t="s">
        <v>158</v>
      </c>
      <c r="C68" s="123" t="s">
        <v>15</v>
      </c>
      <c r="D68" s="141">
        <f t="shared" ca="1" si="4"/>
        <v>67</v>
      </c>
      <c r="E68" s="30">
        <f ca="1">VLOOKUP(A68,Rankings!B1:H651,6,FALSE)+(RAND()*0.00001)</f>
        <v>253.51667175256463</v>
      </c>
      <c r="F68" s="30">
        <f ca="1">E68-VLOOKUP(Settings!$K$2+Settings!$K$4,D$2:E$94,2,FALSE)</f>
        <v>-115.78333541872777</v>
      </c>
      <c r="G68" s="141">
        <f t="shared" ca="1" si="5"/>
        <v>58</v>
      </c>
      <c r="H68" s="30">
        <f ca="1">VLOOKUP(A68,Rankings!B1:H651,7,FALSE)+(RAND()*0.00001)</f>
        <v>-0.78417973456411116</v>
      </c>
      <c r="I68" s="30">
        <f ca="1">H68-VLOOKUP(Settings!$K$2+Settings!$K$4,G$2:H$94,2,FALSE)</f>
        <v>-2.6648420558222088</v>
      </c>
    </row>
    <row r="69" spans="1:9" ht="20.100000000000001" customHeight="1">
      <c r="A69" s="25" t="s">
        <v>489</v>
      </c>
      <c r="B69" s="26" t="s">
        <v>122</v>
      </c>
      <c r="C69" s="123" t="s">
        <v>15</v>
      </c>
      <c r="D69" s="141">
        <f t="shared" ca="1" si="4"/>
        <v>68</v>
      </c>
      <c r="E69" s="30">
        <f ca="1">VLOOKUP(A69,Rankings!B1:H651,6,FALSE)+(RAND()*0.00001)</f>
        <v>252.30000706676103</v>
      </c>
      <c r="F69" s="30">
        <f ca="1">E69-VLOOKUP(Settings!$K$2+Settings!$K$4,D$2:E$94,2,FALSE)</f>
        <v>-117.00000010453138</v>
      </c>
      <c r="G69" s="141">
        <f t="shared" ca="1" si="5"/>
        <v>68</v>
      </c>
      <c r="H69" s="30">
        <f ca="1">VLOOKUP(A69,Rankings!B1:H651,7,FALSE)+(RAND()*0.00001)</f>
        <v>-1.6043967497450358</v>
      </c>
      <c r="I69" s="30">
        <f ca="1">H69-VLOOKUP(Settings!$K$2+Settings!$K$4,G$2:H$94,2,FALSE)</f>
        <v>-3.4850590710031333</v>
      </c>
    </row>
    <row r="70" spans="1:9" ht="20.100000000000001" customHeight="1">
      <c r="A70" s="25" t="s">
        <v>460</v>
      </c>
      <c r="B70" s="26" t="s">
        <v>97</v>
      </c>
      <c r="C70" s="123" t="s">
        <v>15</v>
      </c>
      <c r="D70" s="141">
        <f t="shared" ca="1" si="4"/>
        <v>69</v>
      </c>
      <c r="E70" s="30">
        <f ca="1">VLOOKUP(A70,Rankings!B1:H651,6,FALSE)+(RAND()*0.00001)</f>
        <v>246.96667107442656</v>
      </c>
      <c r="F70" s="30">
        <f ca="1">E70-VLOOKUP(Settings!$K$2+Settings!$K$4,D$2:E$94,2,FALSE)</f>
        <v>-122.33333609686585</v>
      </c>
      <c r="G70" s="141">
        <f t="shared" ca="1" si="5"/>
        <v>65</v>
      </c>
      <c r="H70" s="30">
        <f ca="1">VLOOKUP(A70,Rankings!B1:H651,7,FALSE)+(RAND()*0.00001)</f>
        <v>-1.2683661232352723</v>
      </c>
      <c r="I70" s="30">
        <f ca="1">H70-VLOOKUP(Settings!$K$2+Settings!$K$4,G$2:H$94,2,FALSE)</f>
        <v>-3.1490284444933696</v>
      </c>
    </row>
    <row r="71" spans="1:9" ht="20.100000000000001" customHeight="1">
      <c r="A71" s="25" t="s">
        <v>452</v>
      </c>
      <c r="B71" s="26" t="s">
        <v>85</v>
      </c>
      <c r="C71" s="123" t="s">
        <v>15</v>
      </c>
      <c r="D71" s="141">
        <f t="shared" ca="1" si="4"/>
        <v>70</v>
      </c>
      <c r="E71" s="30">
        <f ca="1">VLOOKUP(A71,Rankings!B1:H651,6,FALSE)+(RAND()*0.00001)</f>
        <v>245.45000365706198</v>
      </c>
      <c r="F71" s="30">
        <f ca="1">E71-VLOOKUP(Settings!$K$2+Settings!$K$4,D$2:E$94,2,FALSE)</f>
        <v>-123.85000351423042</v>
      </c>
      <c r="G71" s="141">
        <f t="shared" ca="1" si="5"/>
        <v>63</v>
      </c>
      <c r="H71" s="30">
        <f ca="1">VLOOKUP(A71,Rankings!B1:H651,7,FALSE)+(RAND()*0.00001)</f>
        <v>-1.1861240455621354</v>
      </c>
      <c r="I71" s="30">
        <f ca="1">H71-VLOOKUP(Settings!$K$2+Settings!$K$4,G$2:H$94,2,FALSE)</f>
        <v>-3.0667863668202329</v>
      </c>
    </row>
    <row r="72" spans="1:9" ht="20.100000000000001" customHeight="1">
      <c r="A72" s="25" t="s">
        <v>641</v>
      </c>
      <c r="B72" s="26"/>
      <c r="C72" s="120" t="s">
        <v>7</v>
      </c>
      <c r="D72" s="141">
        <f t="shared" ca="1" si="4"/>
        <v>71</v>
      </c>
      <c r="E72" s="30">
        <f ca="1">VLOOKUP(A72,Rankings!B1:H651,6,FALSE)+(RAND()*0.00001)</f>
        <v>244.01667568522848</v>
      </c>
      <c r="F72" s="30">
        <f ca="1">E72-VLOOKUP(Settings!$K$2+Settings!$K$4,D$2:E$94,2,FALSE)</f>
        <v>-125.28333148606393</v>
      </c>
      <c r="G72" s="141">
        <f t="shared" ca="1" si="5"/>
        <v>69</v>
      </c>
      <c r="H72" s="30">
        <f ca="1">VLOOKUP(A72,Rankings!B1:H651,7,FALSE)+(RAND()*0.00001)</f>
        <v>-1.6186236673636771</v>
      </c>
      <c r="I72" s="30">
        <f ca="1">H72-VLOOKUP(Settings!$K$2+Settings!$K$4,G$2:H$94,2,FALSE)</f>
        <v>-3.4992859886217746</v>
      </c>
    </row>
    <row r="73" spans="1:9" ht="20.100000000000001" customHeight="1">
      <c r="A73" s="25" t="s">
        <v>575</v>
      </c>
      <c r="B73" s="26" t="s">
        <v>99</v>
      </c>
      <c r="C73" s="123" t="s">
        <v>15</v>
      </c>
      <c r="D73" s="141">
        <f t="shared" ca="1" si="4"/>
        <v>72</v>
      </c>
      <c r="E73" s="30">
        <f ca="1">VLOOKUP(A73,Rankings!B1:H651,6,FALSE)+(RAND()*0.00001)</f>
        <v>230.01667441800396</v>
      </c>
      <c r="F73" s="30">
        <f ca="1">E73-VLOOKUP(Settings!$K$2+Settings!$K$4,D$2:E$94,2,FALSE)</f>
        <v>-139.28333275328845</v>
      </c>
      <c r="G73" s="141">
        <f t="shared" ca="1" si="5"/>
        <v>76</v>
      </c>
      <c r="H73" s="30">
        <f ca="1">VLOOKUP(A73,Rankings!B1:H651,7,FALSE)+(RAND()*0.00001)</f>
        <v>-2.6255565407257992</v>
      </c>
      <c r="I73" s="30">
        <f ca="1">H73-VLOOKUP(Settings!$K$2+Settings!$K$4,G$2:H$94,2,FALSE)</f>
        <v>-4.5062188619838963</v>
      </c>
    </row>
    <row r="74" spans="1:9" ht="20.100000000000001" customHeight="1">
      <c r="A74" s="25" t="s">
        <v>698</v>
      </c>
      <c r="B74" s="26" t="s">
        <v>219</v>
      </c>
      <c r="C74" s="120" t="s">
        <v>7</v>
      </c>
      <c r="D74" s="141">
        <f t="shared" ca="1" si="4"/>
        <v>73</v>
      </c>
      <c r="E74" s="30">
        <f ca="1">VLOOKUP(A74,Rankings!B1:H651,6,FALSE)+(RAND()*0.00001)</f>
        <v>225.18333805042477</v>
      </c>
      <c r="F74" s="30">
        <f ca="1">E74-VLOOKUP(Settings!$K$2+Settings!$K$4,D$2:E$94,2,FALSE)</f>
        <v>-144.11666912086764</v>
      </c>
      <c r="G74" s="141">
        <f t="shared" ca="1" si="5"/>
        <v>79</v>
      </c>
      <c r="H74" s="30">
        <f ca="1">VLOOKUP(A74,Rankings!B1:H651,7,FALSE)+(RAND()*0.00001)</f>
        <v>-2.8675562864025705</v>
      </c>
      <c r="I74" s="30">
        <f ca="1">H74-VLOOKUP(Settings!$K$2+Settings!$K$4,G$2:H$94,2,FALSE)</f>
        <v>-4.7482186076606681</v>
      </c>
    </row>
    <row r="75" spans="1:9" ht="20.100000000000001" customHeight="1">
      <c r="A75" s="25" t="s">
        <v>566</v>
      </c>
      <c r="B75" s="26" t="s">
        <v>139</v>
      </c>
      <c r="C75" s="123" t="s">
        <v>15</v>
      </c>
      <c r="D75" s="141">
        <f t="shared" ca="1" si="4"/>
        <v>74</v>
      </c>
      <c r="E75" s="30">
        <f ca="1">VLOOKUP(A75,Rankings!B1:H651,6,FALSE)+(RAND()*0.00001)</f>
        <v>224.40000474946922</v>
      </c>
      <c r="F75" s="30">
        <f ca="1">E75-VLOOKUP(Settings!$K$2+Settings!$K$4,D$2:E$94,2,FALSE)</f>
        <v>-144.90000242182319</v>
      </c>
      <c r="G75" s="141">
        <f t="shared" ca="1" si="5"/>
        <v>74</v>
      </c>
      <c r="H75" s="30">
        <f ca="1">VLOOKUP(A75,Rankings!B1:H651,7,FALSE)+(RAND()*0.00001)</f>
        <v>-2.4731201141918806</v>
      </c>
      <c r="I75" s="30">
        <f ca="1">H75-VLOOKUP(Settings!$K$2+Settings!$K$4,G$2:H$94,2,FALSE)</f>
        <v>-4.3537824354499781</v>
      </c>
    </row>
    <row r="76" spans="1:9" ht="20.100000000000001" customHeight="1">
      <c r="A76" s="25" t="s">
        <v>568</v>
      </c>
      <c r="B76" s="26" t="s">
        <v>142</v>
      </c>
      <c r="C76" s="123" t="s">
        <v>15</v>
      </c>
      <c r="D76" s="141">
        <f t="shared" ca="1" si="4"/>
        <v>75</v>
      </c>
      <c r="E76" s="30">
        <f ca="1">VLOOKUP(A76,Rankings!B1:H651,6,FALSE)+(RAND()*0.00001)</f>
        <v>223.93333568757751</v>
      </c>
      <c r="F76" s="30">
        <f ca="1">E76-VLOOKUP(Settings!$K$2+Settings!$K$4,D$2:E$94,2,FALSE)</f>
        <v>-145.3666714837149</v>
      </c>
      <c r="G76" s="141">
        <f t="shared" ca="1" si="5"/>
        <v>75</v>
      </c>
      <c r="H76" s="30">
        <f ca="1">VLOOKUP(A76,Rankings!B1:H651,7,FALSE)+(RAND()*0.00001)</f>
        <v>-2.5164506115546716</v>
      </c>
      <c r="I76" s="30">
        <f ca="1">H76-VLOOKUP(Settings!$K$2+Settings!$K$4,G$2:H$94,2,FALSE)</f>
        <v>-4.3971129328127692</v>
      </c>
    </row>
    <row r="77" spans="1:9" ht="20.100000000000001" customHeight="1">
      <c r="A77" s="25" t="s">
        <v>536</v>
      </c>
      <c r="B77" s="26" t="s">
        <v>219</v>
      </c>
      <c r="C77" s="123" t="s">
        <v>15</v>
      </c>
      <c r="D77" s="141">
        <f t="shared" ca="1" si="4"/>
        <v>76</v>
      </c>
      <c r="E77" s="30">
        <f ca="1">VLOOKUP(A77,Rankings!B1:H651,6,FALSE)+(RAND()*0.00001)</f>
        <v>223.566670210762</v>
      </c>
      <c r="F77" s="30">
        <f ca="1">E77-VLOOKUP(Settings!$K$2+Settings!$K$4,D$2:E$94,2,FALSE)</f>
        <v>-145.73333696053041</v>
      </c>
      <c r="G77" s="141">
        <f t="shared" ca="1" si="5"/>
        <v>72</v>
      </c>
      <c r="H77" s="30">
        <f ca="1">VLOOKUP(A77,Rankings!B1:H651,7,FALSE)+(RAND()*0.00001)</f>
        <v>-2.1489633531781833</v>
      </c>
      <c r="I77" s="30">
        <f ca="1">H77-VLOOKUP(Settings!$K$2+Settings!$K$4,G$2:H$94,2,FALSE)</f>
        <v>-4.0296256744362804</v>
      </c>
    </row>
    <row r="78" spans="1:9" ht="20.100000000000001" customHeight="1">
      <c r="A78" s="25" t="s">
        <v>597</v>
      </c>
      <c r="B78" s="26" t="s">
        <v>160</v>
      </c>
      <c r="C78" s="123" t="s">
        <v>15</v>
      </c>
      <c r="D78" s="141">
        <f t="shared" ca="1" si="4"/>
        <v>77</v>
      </c>
      <c r="E78" s="30">
        <f ca="1">VLOOKUP(A78,Rankings!B1:H651,6,FALSE)+(RAND()*0.00001)</f>
        <v>215.85000934553381</v>
      </c>
      <c r="F78" s="30">
        <f ca="1">E78-VLOOKUP(Settings!$K$2+Settings!$K$4,D$2:E$94,2,FALSE)</f>
        <v>-153.4499978257586</v>
      </c>
      <c r="G78" s="141">
        <f t="shared" ca="1" si="5"/>
        <v>78</v>
      </c>
      <c r="H78" s="30">
        <f ca="1">VLOOKUP(A78,Rankings!B1:H651,7,FALSE)+(RAND()*0.00001)</f>
        <v>-2.8293103426192916</v>
      </c>
      <c r="I78" s="30">
        <f ca="1">H78-VLOOKUP(Settings!$K$2+Settings!$K$4,G$2:H$94,2,FALSE)</f>
        <v>-4.7099726638773891</v>
      </c>
    </row>
    <row r="79" spans="1:9" ht="20.100000000000001" customHeight="1">
      <c r="A79" s="25" t="s">
        <v>586</v>
      </c>
      <c r="B79" s="26" t="s">
        <v>119</v>
      </c>
      <c r="C79" s="123" t="s">
        <v>15</v>
      </c>
      <c r="D79" s="141">
        <f t="shared" ca="1" si="4"/>
        <v>78</v>
      </c>
      <c r="E79" s="30">
        <f ca="1">VLOOKUP(A79,Rankings!B1:H651,6,FALSE)+(RAND()*0.00001)</f>
        <v>199.95000470458538</v>
      </c>
      <c r="F79" s="30">
        <f ca="1">E79-VLOOKUP(Settings!$K$2+Settings!$K$4,D$2:E$94,2,FALSE)</f>
        <v>-169.35000246670702</v>
      </c>
      <c r="G79" s="141">
        <f t="shared" ca="1" si="5"/>
        <v>77</v>
      </c>
      <c r="H79" s="30">
        <f ca="1">VLOOKUP(A79,Rankings!B1:H651,7,FALSE)+(RAND()*0.00001)</f>
        <v>-2.778369063097696</v>
      </c>
      <c r="I79" s="30">
        <f ca="1">H79-VLOOKUP(Settings!$K$2+Settings!$K$4,G$2:H$94,2,FALSE)</f>
        <v>-4.659031384355794</v>
      </c>
    </row>
    <row r="80" spans="1:9" ht="20.100000000000001" customHeight="1">
      <c r="A80" s="25" t="s">
        <v>617</v>
      </c>
      <c r="B80" s="26" t="s">
        <v>122</v>
      </c>
      <c r="C80" s="123" t="s">
        <v>15</v>
      </c>
      <c r="D80" s="141">
        <f t="shared" ca="1" si="4"/>
        <v>79</v>
      </c>
      <c r="E80" s="30">
        <f ca="1">VLOOKUP(A80,Rankings!B1:H651,6,FALSE)+(RAND()*0.00001)</f>
        <v>198.00000119773961</v>
      </c>
      <c r="F80" s="30">
        <f ca="1">E80-VLOOKUP(Settings!$K$2+Settings!$K$4,D$2:E$94,2,FALSE)</f>
        <v>-171.3000059735528</v>
      </c>
      <c r="G80" s="141">
        <f t="shared" ca="1" si="5"/>
        <v>81</v>
      </c>
      <c r="H80" s="30">
        <f ca="1">VLOOKUP(A80,Rankings!B1:H651,7,FALSE)+(RAND()*0.00001)</f>
        <v>-3.0744700546664934</v>
      </c>
      <c r="I80" s="30">
        <f ca="1">H80-VLOOKUP(Settings!$K$2+Settings!$K$4,G$2:H$94,2,FALSE)</f>
        <v>-4.9551323759245909</v>
      </c>
    </row>
    <row r="81" spans="1:9" ht="20.100000000000001" customHeight="1">
      <c r="A81" s="25" t="s">
        <v>637</v>
      </c>
      <c r="B81" s="26" t="s">
        <v>87</v>
      </c>
      <c r="C81" s="123" t="s">
        <v>15</v>
      </c>
      <c r="D81" s="141">
        <f t="shared" ca="1" si="4"/>
        <v>80</v>
      </c>
      <c r="E81" s="30">
        <f ca="1">VLOOKUP(A81,Rankings!B1:H651,6,FALSE)+(RAND()*0.00001)</f>
        <v>193.98334197879254</v>
      </c>
      <c r="F81" s="30">
        <f ca="1">E81-VLOOKUP(Settings!$K$2+Settings!$K$4,D$2:E$94,2,FALSE)</f>
        <v>-175.31666519249987</v>
      </c>
      <c r="G81" s="141">
        <f t="shared" ca="1" si="5"/>
        <v>83</v>
      </c>
      <c r="H81" s="30">
        <f ca="1">VLOOKUP(A81,Rankings!B1:H651,7,FALSE)+(RAND()*0.00001)</f>
        <v>-3.4043422340256062</v>
      </c>
      <c r="I81" s="30">
        <f ca="1">H81-VLOOKUP(Settings!$K$2+Settings!$K$4,G$2:H$94,2,FALSE)</f>
        <v>-5.2850045552837042</v>
      </c>
    </row>
    <row r="82" spans="1:9" ht="20.100000000000001" customHeight="1">
      <c r="A82" s="25" t="s">
        <v>632</v>
      </c>
      <c r="B82" s="26" t="s">
        <v>219</v>
      </c>
      <c r="C82" s="123" t="s">
        <v>15</v>
      </c>
      <c r="D82" s="141">
        <f t="shared" ca="1" si="4"/>
        <v>81</v>
      </c>
      <c r="E82" s="30">
        <f ca="1">VLOOKUP(A82,Rankings!B1:H651,6,FALSE)+(RAND()*0.00001)</f>
        <v>193.55000541786092</v>
      </c>
      <c r="F82" s="30">
        <f ca="1">E82-VLOOKUP(Settings!$K$2+Settings!$K$4,D$2:E$94,2,FALSE)</f>
        <v>-175.75000175343149</v>
      </c>
      <c r="G82" s="141">
        <f t="shared" ca="1" si="5"/>
        <v>82</v>
      </c>
      <c r="H82" s="30">
        <f ca="1">VLOOKUP(A82,Rankings!B1:H651,7,FALSE)+(RAND()*0.00001)</f>
        <v>-3.3395213265951593</v>
      </c>
      <c r="I82" s="30">
        <f ca="1">H82-VLOOKUP(Settings!$K$2+Settings!$K$4,G$2:H$94,2,FALSE)</f>
        <v>-5.2201836478532568</v>
      </c>
    </row>
    <row r="83" spans="1:9" ht="20.100000000000001" customHeight="1">
      <c r="A83" s="25" t="s">
        <v>699</v>
      </c>
      <c r="B83" s="26" t="s">
        <v>160</v>
      </c>
      <c r="C83" s="120" t="s">
        <v>7</v>
      </c>
      <c r="D83" s="141">
        <f t="shared" ca="1" si="4"/>
        <v>82</v>
      </c>
      <c r="E83" s="30">
        <f ca="1">VLOOKUP(A83,Rankings!B1:H651,6,FALSE)+(RAND()*0.00001)</f>
        <v>187.28334091592745</v>
      </c>
      <c r="F83" s="30">
        <f ca="1">E83-VLOOKUP(Settings!$K$2+Settings!$K$4,D$2:E$94,2,FALSE)</f>
        <v>-182.01666625536495</v>
      </c>
      <c r="G83" s="141">
        <f t="shared" ca="1" si="5"/>
        <v>80</v>
      </c>
      <c r="H83" s="30">
        <f ca="1">VLOOKUP(A83,Rankings!B1:H651,7,FALSE)+(RAND()*0.00001)</f>
        <v>-2.909640078383509</v>
      </c>
      <c r="I83" s="30">
        <f ca="1">H83-VLOOKUP(Settings!$K$2+Settings!$K$4,G$2:H$94,2,FALSE)</f>
        <v>-4.7903023996416065</v>
      </c>
    </row>
    <row r="84" spans="1:9" ht="20.100000000000001" customHeight="1">
      <c r="A84" s="25" t="s">
        <v>729</v>
      </c>
      <c r="B84" s="26" t="s">
        <v>95</v>
      </c>
      <c r="C84" s="120" t="s">
        <v>7</v>
      </c>
      <c r="D84" s="141">
        <f t="shared" ca="1" si="4"/>
        <v>83</v>
      </c>
      <c r="E84" s="30">
        <f ca="1">VLOOKUP(A84,Rankings!B1:H651,6,FALSE)+(RAND()*0.00001)</f>
        <v>186.90000798958633</v>
      </c>
      <c r="F84" s="30">
        <f ca="1">E84-VLOOKUP(Settings!$K$2+Settings!$K$4,D$2:E$94,2,FALSE)</f>
        <v>-182.39999918170608</v>
      </c>
      <c r="G84" s="141">
        <f t="shared" ca="1" si="5"/>
        <v>91</v>
      </c>
      <c r="H84" s="30">
        <f ca="1">VLOOKUP(A84,Rankings!B1:H651,7,FALSE)+(RAND()*0.00001)</f>
        <v>-4.3337485000377454</v>
      </c>
      <c r="I84" s="30">
        <f ca="1">H84-VLOOKUP(Settings!$K$2+Settings!$K$4,G$2:H$94,2,FALSE)</f>
        <v>-6.2144108212958429</v>
      </c>
    </row>
    <row r="85" spans="1:9" ht="20.100000000000001" customHeight="1">
      <c r="A85" s="25" t="s">
        <v>716</v>
      </c>
      <c r="B85" s="26" t="s">
        <v>99</v>
      </c>
      <c r="C85" s="120" t="s">
        <v>7</v>
      </c>
      <c r="D85" s="141">
        <f t="shared" ca="1" si="4"/>
        <v>84</v>
      </c>
      <c r="E85" s="30">
        <f ca="1">VLOOKUP(A85,Rankings!B1:H651,6,FALSE)+(RAND()*0.00001)</f>
        <v>179.78333599588328</v>
      </c>
      <c r="F85" s="30">
        <f ca="1">E85-VLOOKUP(Settings!$K$2+Settings!$K$4,D$2:E$94,2,FALSE)</f>
        <v>-189.51667117540913</v>
      </c>
      <c r="G85" s="141">
        <f t="shared" ca="1" si="5"/>
        <v>84</v>
      </c>
      <c r="H85" s="30">
        <f ca="1">VLOOKUP(A85,Rankings!B1:H651,7,FALSE)+(RAND()*0.00001)</f>
        <v>-3.5157845097228955</v>
      </c>
      <c r="I85" s="30">
        <f ca="1">H85-VLOOKUP(Settings!$K$2+Settings!$K$4,G$2:H$94,2,FALSE)</f>
        <v>-5.3964468309809934</v>
      </c>
    </row>
    <row r="86" spans="1:9" ht="20.100000000000001" customHeight="1">
      <c r="A86" s="25" t="s">
        <v>683</v>
      </c>
      <c r="B86" s="26"/>
      <c r="C86" s="120" t="s">
        <v>7</v>
      </c>
      <c r="D86" s="141">
        <f t="shared" ca="1" si="4"/>
        <v>85</v>
      </c>
      <c r="E86" s="30">
        <f ca="1">VLOOKUP(A86,Rankings!B1:H651,6,FALSE)+(RAND()*0.00001)</f>
        <v>179.2833418802995</v>
      </c>
      <c r="F86" s="30">
        <f ca="1">E86-VLOOKUP(Settings!$K$2+Settings!$K$4,D$2:E$94,2,FALSE)</f>
        <v>-190.0166652909929</v>
      </c>
      <c r="G86" s="141">
        <f t="shared" ca="1" si="5"/>
        <v>73</v>
      </c>
      <c r="H86" s="30">
        <f ca="1">VLOOKUP(A86,Rankings!B1:H651,7,FALSE)+(RAND()*0.00001)</f>
        <v>-2.3532232958035699</v>
      </c>
      <c r="I86" s="30">
        <f ca="1">H86-VLOOKUP(Settings!$K$2+Settings!$K$4,G$2:H$94,2,FALSE)</f>
        <v>-4.2338856170616674</v>
      </c>
    </row>
    <row r="87" spans="1:9" ht="20.100000000000001" customHeight="1">
      <c r="A87" s="25" t="s">
        <v>724</v>
      </c>
      <c r="B87" s="26" t="s">
        <v>139</v>
      </c>
      <c r="C87" s="120" t="s">
        <v>7</v>
      </c>
      <c r="D87" s="141">
        <f t="shared" ca="1" si="4"/>
        <v>86</v>
      </c>
      <c r="E87" s="30">
        <f ca="1">VLOOKUP(A87,Rankings!B1:H651,6,FALSE)+(RAND()*0.00001)</f>
        <v>175.66666840499155</v>
      </c>
      <c r="F87" s="30">
        <f ca="1">E87-VLOOKUP(Settings!$K$2+Settings!$K$4,D$2:E$94,2,FALSE)</f>
        <v>-193.63333876630085</v>
      </c>
      <c r="G87" s="141">
        <f t="shared" ca="1" si="5"/>
        <v>88</v>
      </c>
      <c r="H87" s="30">
        <f ca="1">VLOOKUP(A87,Rankings!B1:H651,7,FALSE)+(RAND()*0.00001)</f>
        <v>-4.033490179276761</v>
      </c>
      <c r="I87" s="30">
        <f ca="1">H87-VLOOKUP(Settings!$K$2+Settings!$K$4,G$2:H$94,2,FALSE)</f>
        <v>-5.9141525005348585</v>
      </c>
    </row>
    <row r="88" spans="1:9" ht="20.100000000000001" customHeight="1">
      <c r="A88" s="25" t="s">
        <v>649</v>
      </c>
      <c r="B88" s="26" t="s">
        <v>87</v>
      </c>
      <c r="C88" s="123" t="s">
        <v>15</v>
      </c>
      <c r="D88" s="141">
        <f t="shared" ca="1" si="4"/>
        <v>87</v>
      </c>
      <c r="E88" s="30">
        <f ca="1">VLOOKUP(A88,Rankings!B1:H651,6,FALSE)+(RAND()*0.00001)</f>
        <v>167.83333911698767</v>
      </c>
      <c r="F88" s="30">
        <f ca="1">E88-VLOOKUP(Settings!$K$2+Settings!$K$4,D$2:E$94,2,FALSE)</f>
        <v>-201.46666805430473</v>
      </c>
      <c r="G88" s="141">
        <f t="shared" ca="1" si="5"/>
        <v>85</v>
      </c>
      <c r="H88" s="30">
        <f ca="1">VLOOKUP(A88,Rankings!B1:H651,7,FALSE)+(RAND()*0.00001)</f>
        <v>-3.5999218113048639</v>
      </c>
      <c r="I88" s="30">
        <f ca="1">H88-VLOOKUP(Settings!$K$2+Settings!$K$4,G$2:H$94,2,FALSE)</f>
        <v>-5.4805841325629618</v>
      </c>
    </row>
    <row r="89" spans="1:9" ht="20.100000000000001" customHeight="1">
      <c r="A89" s="25" t="s">
        <v>728</v>
      </c>
      <c r="B89" s="26" t="s">
        <v>105</v>
      </c>
      <c r="C89" s="120" t="s">
        <v>7</v>
      </c>
      <c r="D89" s="141">
        <f t="shared" ca="1" si="4"/>
        <v>88</v>
      </c>
      <c r="E89" s="30">
        <f ca="1">VLOOKUP(A89,Rankings!B1:H651,6,FALSE)+(RAND()*0.00001)</f>
        <v>153.51667643927263</v>
      </c>
      <c r="F89" s="30">
        <f ca="1">E89-VLOOKUP(Settings!$K$2+Settings!$K$4,D$2:E$94,2,FALSE)</f>
        <v>-215.78333073201978</v>
      </c>
      <c r="G89" s="141">
        <f t="shared" ca="1" si="5"/>
        <v>90</v>
      </c>
      <c r="H89" s="30">
        <f ca="1">VLOOKUP(A89,Rankings!B1:H651,7,FALSE)+(RAND()*0.00001)</f>
        <v>-4.2126419103050878</v>
      </c>
      <c r="I89" s="30">
        <f ca="1">H89-VLOOKUP(Settings!$K$2+Settings!$K$4,G$2:H$94,2,FALSE)</f>
        <v>-6.0933042315631853</v>
      </c>
    </row>
    <row r="90" spans="1:9" ht="20.100000000000001" customHeight="1">
      <c r="A90" s="25" t="s">
        <v>737</v>
      </c>
      <c r="B90" s="26" t="s">
        <v>142</v>
      </c>
      <c r="C90" s="120" t="s">
        <v>7</v>
      </c>
      <c r="D90" s="141">
        <f t="shared" ca="1" si="4"/>
        <v>89</v>
      </c>
      <c r="E90" s="30">
        <f ca="1">VLOOKUP(A90,Rankings!B1:H651,6,FALSE)+(RAND()*0.00001)</f>
        <v>144.80000563046767</v>
      </c>
      <c r="F90" s="30">
        <f ca="1">E90-VLOOKUP(Settings!$K$2+Settings!$K$4,D$2:E$94,2,FALSE)</f>
        <v>-224.50000154082474</v>
      </c>
      <c r="G90" s="141">
        <f t="shared" ca="1" si="5"/>
        <v>97</v>
      </c>
      <c r="H90" s="30">
        <f ca="1">VLOOKUP(A90,Rankings!B1:H651,7,FALSE)+(RAND()*0.00001)</f>
        <v>-5.3427150687753935</v>
      </c>
      <c r="I90" s="30">
        <f ca="1">H90-VLOOKUP(Settings!$K$2+Settings!$K$4,G$2:H$94,2,FALSE)</f>
        <v>-7.223377390033491</v>
      </c>
    </row>
    <row r="91" spans="1:9" ht="20.100000000000001" customHeight="1">
      <c r="A91" s="25" t="s">
        <v>668</v>
      </c>
      <c r="B91" s="26" t="s">
        <v>178</v>
      </c>
      <c r="C91" s="123" t="s">
        <v>15</v>
      </c>
      <c r="D91" s="141">
        <f t="shared" ca="1" si="4"/>
        <v>90</v>
      </c>
      <c r="E91" s="30">
        <f ca="1">VLOOKUP(A91,Rankings!B1:H651,6,FALSE)+(RAND()*0.00001)</f>
        <v>144.45000314547926</v>
      </c>
      <c r="F91" s="30">
        <f ca="1">E91-VLOOKUP(Settings!$K$2+Settings!$K$4,D$2:E$94,2,FALSE)</f>
        <v>-224.85000402581315</v>
      </c>
      <c r="G91" s="141">
        <f t="shared" ca="1" si="5"/>
        <v>86</v>
      </c>
      <c r="H91" s="30">
        <f ca="1">VLOOKUP(A91,Rankings!B1:H651,7,FALSE)+(RAND()*0.00001)</f>
        <v>-3.9932938206576378</v>
      </c>
      <c r="I91" s="30">
        <f ca="1">H91-VLOOKUP(Settings!$K$2+Settings!$K$4,G$2:H$94,2,FALSE)</f>
        <v>-5.8739561419157358</v>
      </c>
    </row>
    <row r="92" spans="1:9" ht="20.100000000000001" customHeight="1">
      <c r="A92" s="25" t="s">
        <v>739</v>
      </c>
      <c r="B92" s="26" t="s">
        <v>119</v>
      </c>
      <c r="C92" s="120" t="s">
        <v>7</v>
      </c>
      <c r="D92" s="141">
        <f t="shared" ca="1" si="4"/>
        <v>91</v>
      </c>
      <c r="E92" s="30">
        <f ca="1">VLOOKUP(A92,Rankings!B1:H651,6,FALSE)+(RAND()*0.00001)</f>
        <v>143.85000164397687</v>
      </c>
      <c r="F92" s="30">
        <f ca="1">E92-VLOOKUP(Settings!$K$2+Settings!$K$4,D$2:E$94,2,FALSE)</f>
        <v>-225.45000552731554</v>
      </c>
      <c r="G92" s="141">
        <f t="shared" ca="1" si="5"/>
        <v>98</v>
      </c>
      <c r="H92" s="30">
        <f ca="1">VLOOKUP(A92,Rankings!B1:H651,7,FALSE)+(RAND()*0.00001)</f>
        <v>-5.5089372845931406</v>
      </c>
      <c r="I92" s="30">
        <f ca="1">H92-VLOOKUP(Settings!$K$2+Settings!$K$4,G$2:H$94,2,FALSE)</f>
        <v>-7.3895996058512381</v>
      </c>
    </row>
    <row r="93" spans="1:9" ht="20.100000000000001" customHeight="1">
      <c r="A93" s="25" t="s">
        <v>669</v>
      </c>
      <c r="B93" s="26" t="s">
        <v>97</v>
      </c>
      <c r="C93" s="123" t="s">
        <v>15</v>
      </c>
      <c r="D93" s="141">
        <f t="shared" ca="1" si="4"/>
        <v>92</v>
      </c>
      <c r="E93" s="30">
        <f ca="1">VLOOKUP(A93,Rankings!B1:H651,6,FALSE)+(RAND()*0.00001)</f>
        <v>137.00000831014538</v>
      </c>
      <c r="F93" s="30">
        <f ca="1">E93-VLOOKUP(Settings!$K$2+Settings!$K$4,D$2:E$94,2,FALSE)</f>
        <v>-232.29999886114703</v>
      </c>
      <c r="G93" s="141">
        <f t="shared" ca="1" si="5"/>
        <v>87</v>
      </c>
      <c r="H93" s="30">
        <f ca="1">VLOOKUP(A93,Rankings!B1:H651,7,FALSE)+(RAND()*0.00001)</f>
        <v>-4.017249814166739</v>
      </c>
      <c r="I93" s="30">
        <f ca="1">H93-VLOOKUP(Settings!$K$2+Settings!$K$4,G$2:H$94,2,FALSE)</f>
        <v>-5.8979121354248365</v>
      </c>
    </row>
    <row r="94" spans="1:9" ht="20.100000000000001" customHeight="1">
      <c r="A94" s="25" t="s">
        <v>675</v>
      </c>
      <c r="B94" s="26" t="s">
        <v>309</v>
      </c>
      <c r="C94" s="123" t="s">
        <v>15</v>
      </c>
      <c r="D94" s="141">
        <f t="shared" ca="1" si="4"/>
        <v>93</v>
      </c>
      <c r="E94" s="30">
        <f ca="1">VLOOKUP(A94,Rankings!B1:H651,6,FALSE)+(RAND()*0.00001)</f>
        <v>127.02500393329208</v>
      </c>
      <c r="F94" s="30">
        <f ca="1">E94-VLOOKUP(Settings!$K$2+Settings!$K$4,D$2:E$94,2,FALSE)</f>
        <v>-242.27500323800032</v>
      </c>
      <c r="G94" s="141">
        <f t="shared" ca="1" si="5"/>
        <v>89</v>
      </c>
      <c r="H94" s="30">
        <f ca="1">VLOOKUP(A94,Rankings!B1:H651,7,FALSE)+(RAND()*0.00001)</f>
        <v>-4.1206593958882189</v>
      </c>
      <c r="I94" s="30">
        <f ca="1">H94-VLOOKUP(Settings!$K$2+Settings!$K$4,G$2:H$94,2,FALSE)</f>
        <v>-6.0013217171463165</v>
      </c>
    </row>
    <row r="95" spans="1:9" ht="20.100000000000001" customHeight="1">
      <c r="A95" s="25" t="s">
        <v>706</v>
      </c>
      <c r="B95" s="26" t="s">
        <v>309</v>
      </c>
      <c r="C95" s="123" t="s">
        <v>15</v>
      </c>
      <c r="D95" s="141">
        <f t="shared" ca="1" si="4"/>
        <v>94</v>
      </c>
      <c r="E95" s="30">
        <f ca="1">VLOOKUP(A95,Rankings!B1:H651,6,FALSE)+(RAND()*0.00001)</f>
        <v>122.60000853839388</v>
      </c>
      <c r="F95" s="30">
        <f ca="1">E95-VLOOKUP(Settings!$K$2+Settings!$K$4,D$2:E$94,2,FALSE)</f>
        <v>-246.69999863289854</v>
      </c>
      <c r="G95" s="141">
        <f t="shared" ca="1" si="5"/>
        <v>96</v>
      </c>
      <c r="H95" s="30">
        <f ca="1">VLOOKUP(A95,Rankings!B1:H651,7,FALSE)+(RAND()*0.00001)</f>
        <v>-4.9808580326881424</v>
      </c>
      <c r="I95" s="30">
        <f ca="1">H95-VLOOKUP(Settings!$K$2+Settings!$K$4,G$2:H$94,2,FALSE)</f>
        <v>-6.8615203539462399</v>
      </c>
    </row>
    <row r="96" spans="1:9" ht="20.100000000000001" customHeight="1">
      <c r="A96" s="25" t="s">
        <v>721</v>
      </c>
      <c r="B96" s="26" t="s">
        <v>309</v>
      </c>
      <c r="C96" s="123" t="s">
        <v>15</v>
      </c>
      <c r="D96" s="141">
        <f t="shared" ca="1" si="4"/>
        <v>95</v>
      </c>
      <c r="E96" s="30">
        <f ca="1">VLOOKUP(A96,Rankings!B1:H651,6,FALSE)+(RAND()*0.00001)</f>
        <v>116.57500791879414</v>
      </c>
      <c r="F96" s="30">
        <f ca="1">E96-VLOOKUP(Settings!$K$2+Settings!$K$4,D$2:E$94,2,FALSE)</f>
        <v>-252.72499925249826</v>
      </c>
      <c r="G96" s="141">
        <f t="shared" ca="1" si="5"/>
        <v>102</v>
      </c>
      <c r="H96" s="30">
        <f ca="1">VLOOKUP(A96,Rankings!B1:H651,7,FALSE)+(RAND()*0.00001)</f>
        <v>-5.6622780634436873</v>
      </c>
      <c r="I96" s="30">
        <f ca="1">H96-VLOOKUP(Settings!$K$2+Settings!$K$4,G$2:H$94,2,FALSE)</f>
        <v>-7.5429403847017849</v>
      </c>
    </row>
    <row r="97" spans="1:9" ht="20.100000000000001" customHeight="1">
      <c r="A97" s="25" t="s">
        <v>733</v>
      </c>
      <c r="B97" s="26" t="s">
        <v>72</v>
      </c>
      <c r="C97" s="120" t="s">
        <v>7</v>
      </c>
      <c r="D97" s="141">
        <f t="shared" ca="1" si="4"/>
        <v>96</v>
      </c>
      <c r="E97" s="30">
        <f ca="1">VLOOKUP(A97,Rankings!B1:H651,6,FALSE)+(RAND()*0.00001)</f>
        <v>116.4666743956704</v>
      </c>
      <c r="F97" s="30">
        <f ca="1">E97-VLOOKUP(Settings!$K$2+Settings!$K$4,D$2:E$94,2,FALSE)</f>
        <v>-252.83333277562201</v>
      </c>
      <c r="G97" s="141">
        <f t="shared" ca="1" si="5"/>
        <v>95</v>
      </c>
      <c r="H97" s="30">
        <f ca="1">VLOOKUP(A97,Rankings!B1:H651,7,FALSE)+(RAND()*0.00001)</f>
        <v>-4.8398979394485018</v>
      </c>
      <c r="I97" s="30">
        <f ca="1">H97-VLOOKUP(Settings!$K$2+Settings!$K$4,G$2:H$94,2,FALSE)</f>
        <v>-6.7205602607065993</v>
      </c>
    </row>
    <row r="98" spans="1:9" ht="20.100000000000001" customHeight="1">
      <c r="A98" s="25" t="s">
        <v>695</v>
      </c>
      <c r="B98" s="26" t="s">
        <v>116</v>
      </c>
      <c r="C98" s="123" t="s">
        <v>15</v>
      </c>
      <c r="D98" s="141">
        <f t="shared" ref="D98:D104" ca="1" si="6">RANK(E98,E$2:E$104)</f>
        <v>97</v>
      </c>
      <c r="E98" s="30">
        <f ca="1">VLOOKUP(A98,Rankings!B1:H651,6,FALSE)+(RAND()*0.00001)</f>
        <v>114.88333600966739</v>
      </c>
      <c r="F98" s="30">
        <f ca="1">E98-VLOOKUP(Settings!$K$2+Settings!$K$4,D$2:E$94,2,FALSE)</f>
        <v>-254.416671161625</v>
      </c>
      <c r="G98" s="141">
        <f t="shared" ref="G98:G104" ca="1" si="7">RANK(H98,H$2:H$104)</f>
        <v>93</v>
      </c>
      <c r="H98" s="30">
        <f ca="1">VLOOKUP(A98,Rankings!B1:H651,7,FALSE)+(RAND()*0.00001)</f>
        <v>-4.6376036540020644</v>
      </c>
      <c r="I98" s="30">
        <f ca="1">H98-VLOOKUP(Settings!$K$2+Settings!$K$4,G$2:H$94,2,FALSE)</f>
        <v>-6.5182659752601619</v>
      </c>
    </row>
    <row r="99" spans="1:9" ht="20.100000000000001" customHeight="1">
      <c r="A99" s="25" t="s">
        <v>718</v>
      </c>
      <c r="B99" s="26" t="s">
        <v>99</v>
      </c>
      <c r="C99" s="123" t="s">
        <v>15</v>
      </c>
      <c r="D99" s="141">
        <f t="shared" ca="1" si="6"/>
        <v>98</v>
      </c>
      <c r="E99" s="30">
        <f ca="1">VLOOKUP(A99,Rankings!B1:H651,6,FALSE)+(RAND()*0.00001)</f>
        <v>113.40000645620209</v>
      </c>
      <c r="F99" s="30">
        <f ca="1">E99-VLOOKUP(Settings!$K$2+Settings!$K$4,D$2:E$94,2,FALSE)</f>
        <v>-255.9000007150903</v>
      </c>
      <c r="G99" s="141">
        <f t="shared" ca="1" si="7"/>
        <v>100</v>
      </c>
      <c r="H99" s="30">
        <f ca="1">VLOOKUP(A99,Rankings!B1:H651,7,FALSE)+(RAND()*0.00001)</f>
        <v>-5.54016298895937</v>
      </c>
      <c r="I99" s="30">
        <f ca="1">H99-VLOOKUP(Settings!$K$2+Settings!$K$4,G$2:H$94,2,FALSE)</f>
        <v>-7.4208253102174675</v>
      </c>
    </row>
    <row r="100" spans="1:9" ht="20.100000000000001" customHeight="1">
      <c r="A100" s="25" t="s">
        <v>696</v>
      </c>
      <c r="B100" s="26" t="s">
        <v>136</v>
      </c>
      <c r="C100" s="123" t="s">
        <v>15</v>
      </c>
      <c r="D100" s="141">
        <f t="shared" ca="1" si="6"/>
        <v>99</v>
      </c>
      <c r="E100" s="30">
        <f ca="1">VLOOKUP(A100,Rankings!B1:H651,6,FALSE)+(RAND()*0.00001)</f>
        <v>111.3000082078094</v>
      </c>
      <c r="F100" s="30">
        <f ca="1">E100-VLOOKUP(Settings!$K$2+Settings!$K$4,D$2:E$94,2,FALSE)</f>
        <v>-257.99999896348299</v>
      </c>
      <c r="G100" s="141">
        <f t="shared" ca="1" si="7"/>
        <v>94</v>
      </c>
      <c r="H100" s="30">
        <f ca="1">VLOOKUP(A100,Rankings!B1:H651,7,FALSE)+(RAND()*0.00001)</f>
        <v>-4.6967997915982886</v>
      </c>
      <c r="I100" s="30">
        <f ca="1">H100-VLOOKUP(Settings!$K$2+Settings!$K$4,G$2:H$94,2,FALSE)</f>
        <v>-6.5774621128563862</v>
      </c>
    </row>
    <row r="101" spans="1:9" ht="20.100000000000001" customHeight="1">
      <c r="A101" s="25" t="s">
        <v>692</v>
      </c>
      <c r="B101" s="26" t="s">
        <v>119</v>
      </c>
      <c r="C101" s="123" t="s">
        <v>15</v>
      </c>
      <c r="D101" s="141">
        <f t="shared" ca="1" si="6"/>
        <v>100</v>
      </c>
      <c r="E101" s="30">
        <f ca="1">VLOOKUP(A101,Rankings!B1:H651,6,FALSE)+(RAND()*0.00001)</f>
        <v>111.13333604773388</v>
      </c>
      <c r="F101" s="30">
        <f ca="1">E101-VLOOKUP(Settings!$K$2+Settings!$K$4,D$2:E$94,2,FALSE)</f>
        <v>-258.16667112355856</v>
      </c>
      <c r="G101" s="141">
        <f t="shared" ca="1" si="7"/>
        <v>92</v>
      </c>
      <c r="H101" s="30">
        <f ca="1">VLOOKUP(A101,Rankings!B1:H651,7,FALSE)+(RAND()*0.00001)</f>
        <v>-4.6074602294653015</v>
      </c>
      <c r="I101" s="30">
        <f ca="1">H101-VLOOKUP(Settings!$K$2+Settings!$K$4,G$2:H$94,2,FALSE)</f>
        <v>-6.4881225507233991</v>
      </c>
    </row>
    <row r="102" spans="1:9" ht="20.100000000000001" customHeight="1">
      <c r="A102" s="25" t="s">
        <v>731</v>
      </c>
      <c r="B102" s="26" t="s">
        <v>260</v>
      </c>
      <c r="C102" s="123" t="s">
        <v>15</v>
      </c>
      <c r="D102" s="141">
        <f t="shared" ca="1" si="6"/>
        <v>101</v>
      </c>
      <c r="E102" s="30">
        <f ca="1">VLOOKUP(A102,Rankings!B1:H651,6,FALSE)+(RAND()*0.00001)</f>
        <v>96.51667256218019</v>
      </c>
      <c r="F102" s="30">
        <f ca="1">E102-VLOOKUP(Settings!$K$2+Settings!$K$4,D$2:E$94,2,FALSE)</f>
        <v>-272.78333460911222</v>
      </c>
      <c r="G102" s="141">
        <f t="shared" ca="1" si="7"/>
        <v>103</v>
      </c>
      <c r="H102" s="30">
        <f ca="1">VLOOKUP(A102,Rankings!B1:H651,7,FALSE)+(RAND()*0.00001)</f>
        <v>-6.4990221723555104</v>
      </c>
      <c r="I102" s="30">
        <f ca="1">H102-VLOOKUP(Settings!$K$2+Settings!$K$4,G$2:H$94,2,FALSE)</f>
        <v>-8.3796844936136079</v>
      </c>
    </row>
    <row r="103" spans="1:9" ht="20.100000000000001" customHeight="1">
      <c r="A103" s="25" t="s">
        <v>717</v>
      </c>
      <c r="B103" s="26" t="s">
        <v>79</v>
      </c>
      <c r="C103" s="123" t="s">
        <v>15</v>
      </c>
      <c r="D103" s="141">
        <f t="shared" ca="1" si="6"/>
        <v>102</v>
      </c>
      <c r="E103" s="30">
        <f ca="1">VLOOKUP(A103,Rankings!B1:H651,6,FALSE)+(RAND()*0.00001)</f>
        <v>89.350008849866498</v>
      </c>
      <c r="F103" s="30">
        <f ca="1">E103-VLOOKUP(Settings!$K$2+Settings!$K$4,D$2:E$94,2,FALSE)</f>
        <v>-279.94999832142594</v>
      </c>
      <c r="G103" s="141">
        <f t="shared" ca="1" si="7"/>
        <v>99</v>
      </c>
      <c r="H103" s="30">
        <f ca="1">VLOOKUP(A103,Rankings!B1:H651,7,FALSE)+(RAND()*0.00001)</f>
        <v>-5.5112470194668637</v>
      </c>
      <c r="I103" s="30">
        <f ca="1">H103-VLOOKUP(Settings!$K$2+Settings!$K$4,G$2:H$94,2,FALSE)</f>
        <v>-7.3919093407249612</v>
      </c>
    </row>
    <row r="104" spans="1:9" ht="20.100000000000001" customHeight="1">
      <c r="A104" s="25" t="s">
        <v>719</v>
      </c>
      <c r="B104" s="26" t="s">
        <v>92</v>
      </c>
      <c r="C104" s="123" t="s">
        <v>15</v>
      </c>
      <c r="D104" s="141">
        <f t="shared" ca="1" si="6"/>
        <v>103</v>
      </c>
      <c r="E104" s="136">
        <f ca="1">VLOOKUP(A104,Rankings!B1:H651,6,FALSE)+(RAND()*0.00001)</f>
        <v>80.683340471940795</v>
      </c>
      <c r="F104" s="30">
        <f ca="1">E104-VLOOKUP(Settings!$K$2+Settings!$K$4,D$2:E$94,2,FALSE)</f>
        <v>-288.61666669935164</v>
      </c>
      <c r="G104" s="141">
        <f t="shared" ca="1" si="7"/>
        <v>101</v>
      </c>
      <c r="H104" s="136">
        <f ca="1">VLOOKUP(A104,Rankings!B1:H651,7,FALSE)+(RAND()*0.00001)</f>
        <v>-5.5819959676254429</v>
      </c>
      <c r="I104" s="30">
        <f ca="1">H104-VLOOKUP(Settings!$K$2+Settings!$K$4,G$2:H$94,2,FALSE)</f>
        <v>-7.4626582888835404</v>
      </c>
    </row>
  </sheetData>
  <autoFilter ref="A1:I104" xr:uid="{00000000-0001-0000-0B00-000000000000}">
    <sortState xmlns:xlrd2="http://schemas.microsoft.com/office/spreadsheetml/2017/richdata2" ref="A2:I104">
      <sortCondition ref="D1:D104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94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9" width="7.140625" style="1" customWidth="1"/>
    <col min="10" max="10" width="16.28515625" style="1" customWidth="1"/>
    <col min="11" max="16384" width="16.28515625" style="1"/>
  </cols>
  <sheetData>
    <row r="1" spans="1:9" ht="36" customHeight="1">
      <c r="A1" s="138" t="s">
        <v>59</v>
      </c>
      <c r="B1" s="139" t="s">
        <v>60</v>
      </c>
      <c r="C1" s="139" t="s">
        <v>752</v>
      </c>
      <c r="D1" s="140" t="s">
        <v>753</v>
      </c>
      <c r="E1" s="139" t="s">
        <v>63</v>
      </c>
      <c r="F1" s="139" t="s">
        <v>65</v>
      </c>
      <c r="G1" s="140" t="s">
        <v>754</v>
      </c>
      <c r="H1" s="139" t="s">
        <v>64</v>
      </c>
      <c r="I1" s="139" t="s">
        <v>65</v>
      </c>
    </row>
    <row r="2" spans="1:9" ht="18.600000000000001" customHeight="1">
      <c r="A2" s="25" t="s">
        <v>91</v>
      </c>
      <c r="B2" s="26" t="s">
        <v>92</v>
      </c>
      <c r="C2" s="127" t="s">
        <v>27</v>
      </c>
      <c r="D2" s="141">
        <f t="shared" ref="D2:D33" ca="1" si="0">RANK(E2,E$2:E$94)</f>
        <v>1</v>
      </c>
      <c r="E2" s="30">
        <f ca="1">VLOOKUP(A2,Rankings!B1:H651,6,FALSE)+(RAND()*0.00001)</f>
        <v>571.36666683999488</v>
      </c>
      <c r="F2" s="30">
        <f ca="1">E2-VLOOKUP(Settings!$K$3+Settings!$K$7,D$2:E$94,2,FALSE)</f>
        <v>204.01665879215875</v>
      </c>
      <c r="G2" s="141">
        <f t="shared" ref="G2:G33" ca="1" si="1">RANK(H2,H$2:H$94)</f>
        <v>1</v>
      </c>
      <c r="H2" s="30">
        <f ca="1">VLOOKUP(A2,Rankings!B1:H651,7,FALSE)+(RAND()*0.00001)</f>
        <v>10.070441076567072</v>
      </c>
      <c r="I2" s="30">
        <f ca="1">H2-VLOOKUP(Settings!$K$3+Settings!$K$7,G$2:H$94,2,FALSE)</f>
        <v>7.7022371299456953</v>
      </c>
    </row>
    <row r="3" spans="1:9" ht="18.600000000000001" customHeight="1">
      <c r="A3" s="25" t="s">
        <v>147</v>
      </c>
      <c r="B3" s="26" t="s">
        <v>79</v>
      </c>
      <c r="C3" s="122" t="s">
        <v>11</v>
      </c>
      <c r="D3" s="141">
        <f t="shared" ca="1" si="0"/>
        <v>2</v>
      </c>
      <c r="E3" s="30">
        <f ca="1">VLOOKUP(A3,Rankings!B1:H651,6,FALSE)+(RAND()*0.00001)</f>
        <v>534.80000172273856</v>
      </c>
      <c r="F3" s="30">
        <f ca="1">E3-VLOOKUP(Settings!$K$3+Settings!$K$7,D$2:E$94,2,FALSE)</f>
        <v>167.44999367490243</v>
      </c>
      <c r="G3" s="141">
        <f t="shared" ca="1" si="1"/>
        <v>5</v>
      </c>
      <c r="H3" s="30">
        <f ca="1">VLOOKUP(A3,Rankings!B1:H651,7,FALSE)+(RAND()*0.00001)</f>
        <v>6.7063048012724318</v>
      </c>
      <c r="I3" s="30">
        <f ca="1">H3-VLOOKUP(Settings!$K$3+Settings!$K$7,G$2:H$94,2,FALSE)</f>
        <v>4.3381008546510547</v>
      </c>
    </row>
    <row r="4" spans="1:9" ht="18.600000000000001" customHeight="1">
      <c r="A4" s="25" t="s">
        <v>126</v>
      </c>
      <c r="B4" s="26" t="s">
        <v>95</v>
      </c>
      <c r="C4" s="127" t="s">
        <v>27</v>
      </c>
      <c r="D4" s="141">
        <f t="shared" ca="1" si="0"/>
        <v>3</v>
      </c>
      <c r="E4" s="30">
        <f ca="1">VLOOKUP(A4,Rankings!B1:H651,6,FALSE)+(RAND()*0.00001)</f>
        <v>534.3000018295852</v>
      </c>
      <c r="F4" s="30">
        <f ca="1">E4-VLOOKUP(Settings!$K$3+Settings!$K$7,D$2:E$94,2,FALSE)</f>
        <v>166.94999378174907</v>
      </c>
      <c r="G4" s="141">
        <f t="shared" ca="1" si="1"/>
        <v>3</v>
      </c>
      <c r="H4" s="30">
        <f ca="1">VLOOKUP(A4,Rankings!B1:H651,7,FALSE)+(RAND()*0.00001)</f>
        <v>8.2964884917748378</v>
      </c>
      <c r="I4" s="30">
        <f ca="1">H4-VLOOKUP(Settings!$K$3+Settings!$K$7,G$2:H$94,2,FALSE)</f>
        <v>5.9282845451534616</v>
      </c>
    </row>
    <row r="5" spans="1:9" ht="18.600000000000001" customHeight="1">
      <c r="A5" s="25" t="s">
        <v>118</v>
      </c>
      <c r="B5" s="26" t="s">
        <v>119</v>
      </c>
      <c r="C5" s="127" t="s">
        <v>27</v>
      </c>
      <c r="D5" s="141">
        <f t="shared" ca="1" si="0"/>
        <v>4</v>
      </c>
      <c r="E5" s="30">
        <f ca="1">VLOOKUP(A5,Rankings!B1:H651,6,FALSE)+(RAND()*0.00001)</f>
        <v>531.13333750552249</v>
      </c>
      <c r="F5" s="30">
        <f ca="1">E5-VLOOKUP(Settings!$K$3+Settings!$K$7,D$2:E$94,2,FALSE)</f>
        <v>163.78332945768636</v>
      </c>
      <c r="G5" s="141">
        <f t="shared" ca="1" si="1"/>
        <v>2</v>
      </c>
      <c r="H5" s="30">
        <f ca="1">VLOOKUP(A5,Rankings!B1:H651,7,FALSE)+(RAND()*0.00001)</f>
        <v>8.6386754028002564</v>
      </c>
      <c r="I5" s="30">
        <f ca="1">H5-VLOOKUP(Settings!$K$3+Settings!$K$7,G$2:H$94,2,FALSE)</f>
        <v>6.2704714561788801</v>
      </c>
    </row>
    <row r="6" spans="1:9" ht="20.100000000000001" customHeight="1">
      <c r="A6" s="25" t="s">
        <v>150</v>
      </c>
      <c r="B6" s="26" t="s">
        <v>87</v>
      </c>
      <c r="C6" s="122" t="s">
        <v>11</v>
      </c>
      <c r="D6" s="141">
        <f t="shared" ca="1" si="0"/>
        <v>5</v>
      </c>
      <c r="E6" s="30">
        <f ca="1">VLOOKUP(A6,Rankings!B1:H651,6,FALSE)+(RAND()*0.00001)</f>
        <v>528.55000809568844</v>
      </c>
      <c r="F6" s="30">
        <f ca="1">E6-VLOOKUP(Settings!$K$3+Settings!$K$7,D$2:E$94,2,FALSE)</f>
        <v>161.20000004785231</v>
      </c>
      <c r="G6" s="141">
        <f t="shared" ca="1" si="1"/>
        <v>6</v>
      </c>
      <c r="H6" s="30">
        <f ca="1">VLOOKUP(A6,Rankings!B1:H651,7,FALSE)+(RAND()*0.00001)</f>
        <v>6.4434883213411496</v>
      </c>
      <c r="I6" s="30">
        <f ca="1">H6-VLOOKUP(Settings!$K$3+Settings!$K$7,G$2:H$94,2,FALSE)</f>
        <v>4.0752843747197733</v>
      </c>
    </row>
    <row r="7" spans="1:9" ht="18.600000000000001" customHeight="1">
      <c r="A7" s="25" t="s">
        <v>213</v>
      </c>
      <c r="B7" s="26" t="s">
        <v>87</v>
      </c>
      <c r="C7" s="127" t="s">
        <v>27</v>
      </c>
      <c r="D7" s="141">
        <f t="shared" ca="1" si="0"/>
        <v>6</v>
      </c>
      <c r="E7" s="30">
        <f ca="1">VLOOKUP(A7,Rankings!B1:H651,6,FALSE)+(RAND()*0.00001)</f>
        <v>505.68333687987536</v>
      </c>
      <c r="F7" s="30">
        <f ca="1">E7-VLOOKUP(Settings!$K$3+Settings!$K$7,D$2:E$94,2,FALSE)</f>
        <v>138.33332883203923</v>
      </c>
      <c r="G7" s="141">
        <f t="shared" ca="1" si="1"/>
        <v>13</v>
      </c>
      <c r="H7" s="30">
        <f ca="1">VLOOKUP(A7,Rankings!B1:H651,7,FALSE)+(RAND()*0.00001)</f>
        <v>5.2733585226689348</v>
      </c>
      <c r="I7" s="30">
        <f ca="1">H7-VLOOKUP(Settings!$K$3+Settings!$K$7,G$2:H$94,2,FALSE)</f>
        <v>2.9051545760475581</v>
      </c>
    </row>
    <row r="8" spans="1:9" ht="18.600000000000001" customHeight="1">
      <c r="A8" s="25" t="s">
        <v>128</v>
      </c>
      <c r="B8" s="26" t="s">
        <v>64</v>
      </c>
      <c r="C8" s="127" t="s">
        <v>27</v>
      </c>
      <c r="D8" s="141">
        <f t="shared" ca="1" si="0"/>
        <v>7</v>
      </c>
      <c r="E8" s="30">
        <f ca="1">VLOOKUP(A8,Rankings!B1:H651,6,FALSE)+(RAND()*0.00001)</f>
        <v>499.56666928555688</v>
      </c>
      <c r="F8" s="30">
        <f ca="1">E8-VLOOKUP(Settings!$K$3+Settings!$K$7,D$2:E$94,2,FALSE)</f>
        <v>132.21666123772076</v>
      </c>
      <c r="G8" s="141">
        <f t="shared" ca="1" si="1"/>
        <v>4</v>
      </c>
      <c r="H8" s="30">
        <f ca="1">VLOOKUP(A8,Rankings!B1:H651,7,FALSE)+(RAND()*0.00001)</f>
        <v>8.154564813310353</v>
      </c>
      <c r="I8" s="30">
        <f ca="1">H8-VLOOKUP(Settings!$K$3+Settings!$K$7,G$2:H$94,2,FALSE)</f>
        <v>5.7863608666889768</v>
      </c>
    </row>
    <row r="9" spans="1:9" ht="18.600000000000001" customHeight="1">
      <c r="A9" s="25" t="s">
        <v>204</v>
      </c>
      <c r="B9" s="26" t="s">
        <v>97</v>
      </c>
      <c r="C9" s="127" t="s">
        <v>27</v>
      </c>
      <c r="D9" s="141">
        <f t="shared" ca="1" si="0"/>
        <v>8</v>
      </c>
      <c r="E9" s="30">
        <f ca="1">VLOOKUP(A9,Rankings!B1:H651,6,FALSE)+(RAND()*0.00001)</f>
        <v>492.73333403429206</v>
      </c>
      <c r="F9" s="30">
        <f ca="1">E9-VLOOKUP(Settings!$K$3+Settings!$K$7,D$2:E$94,2,FALSE)</f>
        <v>125.38332598645593</v>
      </c>
      <c r="G9" s="141">
        <f t="shared" ca="1" si="1"/>
        <v>9</v>
      </c>
      <c r="H9" s="30">
        <f ca="1">VLOOKUP(A9,Rankings!B1:H651,7,FALSE)+(RAND()*0.00001)</f>
        <v>5.5712048538399017</v>
      </c>
      <c r="I9" s="30">
        <f ca="1">H9-VLOOKUP(Settings!$K$3+Settings!$K$7,G$2:H$94,2,FALSE)</f>
        <v>3.203000907218525</v>
      </c>
    </row>
    <row r="10" spans="1:9" ht="20.100000000000001" customHeight="1">
      <c r="A10" s="25" t="s">
        <v>228</v>
      </c>
      <c r="B10" s="26" t="s">
        <v>64</v>
      </c>
      <c r="C10" s="127" t="s">
        <v>27</v>
      </c>
      <c r="D10" s="141">
        <f t="shared" ca="1" si="0"/>
        <v>9</v>
      </c>
      <c r="E10" s="30">
        <f ca="1">VLOOKUP(A10,Rankings!B1:H651,6,FALSE)+(RAND()*0.00001)</f>
        <v>472.86667665069859</v>
      </c>
      <c r="F10" s="30">
        <f ca="1">E10-VLOOKUP(Settings!$K$3+Settings!$K$7,D$2:E$94,2,FALSE)</f>
        <v>105.51666860286247</v>
      </c>
      <c r="G10" s="141">
        <f t="shared" ca="1" si="1"/>
        <v>17</v>
      </c>
      <c r="H10" s="30">
        <f ca="1">VLOOKUP(A10,Rankings!B1:H651,7,FALSE)+(RAND()*0.00001)</f>
        <v>4.994457998458417</v>
      </c>
      <c r="I10" s="30">
        <f ca="1">H10-VLOOKUP(Settings!$K$3+Settings!$K$7,G$2:H$94,2,FALSE)</f>
        <v>2.6262540518370403</v>
      </c>
    </row>
    <row r="11" spans="1:9" ht="18.600000000000001" customHeight="1">
      <c r="A11" s="25" t="s">
        <v>198</v>
      </c>
      <c r="B11" s="26" t="s">
        <v>74</v>
      </c>
      <c r="C11" s="122" t="s">
        <v>11</v>
      </c>
      <c r="D11" s="141">
        <f t="shared" ca="1" si="0"/>
        <v>10</v>
      </c>
      <c r="E11" s="30">
        <f ca="1">VLOOKUP(A11,Rankings!B1:H651,6,FALSE)+(RAND()*0.00001)</f>
        <v>470.06667315047787</v>
      </c>
      <c r="F11" s="30">
        <f ca="1">E11-VLOOKUP(Settings!$K$3+Settings!$K$7,D$2:E$94,2,FALSE)</f>
        <v>102.71666510264174</v>
      </c>
      <c r="G11" s="141">
        <f t="shared" ca="1" si="1"/>
        <v>15</v>
      </c>
      <c r="H11" s="30">
        <f ca="1">VLOOKUP(A11,Rankings!B1:H651,7,FALSE)+(RAND()*0.00001)</f>
        <v>5.1820379878501388</v>
      </c>
      <c r="I11" s="30">
        <f ca="1">H11-VLOOKUP(Settings!$K$3+Settings!$K$7,G$2:H$94,2,FALSE)</f>
        <v>2.8138340412287621</v>
      </c>
    </row>
    <row r="12" spans="1:9" ht="18.600000000000001" customHeight="1">
      <c r="A12" s="25" t="s">
        <v>211</v>
      </c>
      <c r="B12" s="26" t="s">
        <v>160</v>
      </c>
      <c r="C12" s="127" t="s">
        <v>27</v>
      </c>
      <c r="D12" s="141">
        <f t="shared" ca="1" si="0"/>
        <v>11</v>
      </c>
      <c r="E12" s="30">
        <f ca="1">VLOOKUP(A12,Rankings!B1:H651,6,FALSE)+(RAND()*0.00001)</f>
        <v>461.50000048791946</v>
      </c>
      <c r="F12" s="30">
        <f ca="1">E12-VLOOKUP(Settings!$K$3+Settings!$K$7,D$2:E$94,2,FALSE)</f>
        <v>94.149992440083338</v>
      </c>
      <c r="G12" s="141">
        <f t="shared" ca="1" si="1"/>
        <v>12</v>
      </c>
      <c r="H12" s="30">
        <f ca="1">VLOOKUP(A12,Rankings!B1:H651,7,FALSE)+(RAND()*0.00001)</f>
        <v>5.2990984231798031</v>
      </c>
      <c r="I12" s="30">
        <f ca="1">H12-VLOOKUP(Settings!$K$3+Settings!$K$7,G$2:H$94,2,FALSE)</f>
        <v>2.9308944765584264</v>
      </c>
    </row>
    <row r="13" spans="1:9" ht="18.600000000000001" customHeight="1">
      <c r="A13" s="25" t="s">
        <v>245</v>
      </c>
      <c r="B13" s="26" t="s">
        <v>99</v>
      </c>
      <c r="C13" s="127" t="s">
        <v>27</v>
      </c>
      <c r="D13" s="141">
        <f t="shared" ca="1" si="0"/>
        <v>12</v>
      </c>
      <c r="E13" s="30">
        <f ca="1">VLOOKUP(A13,Rankings!B1:H651,6,FALSE)+(RAND()*0.00001)</f>
        <v>459.56666801567206</v>
      </c>
      <c r="F13" s="30">
        <f ca="1">E13-VLOOKUP(Settings!$K$3+Settings!$K$7,D$2:E$94,2,FALSE)</f>
        <v>92.216659967835938</v>
      </c>
      <c r="G13" s="141">
        <f t="shared" ca="1" si="1"/>
        <v>18</v>
      </c>
      <c r="H13" s="30">
        <f ca="1">VLOOKUP(A13,Rankings!B1:H651,7,FALSE)+(RAND()*0.00001)</f>
        <v>4.5942041771281801</v>
      </c>
      <c r="I13" s="30">
        <f ca="1">H13-VLOOKUP(Settings!$K$3+Settings!$K$7,G$2:H$94,2,FALSE)</f>
        <v>2.2260002305068034</v>
      </c>
    </row>
    <row r="14" spans="1:9" ht="18.600000000000001" customHeight="1">
      <c r="A14" s="25" t="s">
        <v>194</v>
      </c>
      <c r="B14" s="26" t="s">
        <v>125</v>
      </c>
      <c r="C14" s="122" t="s">
        <v>11</v>
      </c>
      <c r="D14" s="141">
        <f t="shared" ca="1" si="0"/>
        <v>13</v>
      </c>
      <c r="E14" s="30">
        <f ca="1">VLOOKUP(A14,Rankings!B1:H651,6,FALSE)+(RAND()*0.00001)</f>
        <v>456.38333887003563</v>
      </c>
      <c r="F14" s="30">
        <f ca="1">E14-VLOOKUP(Settings!$K$3+Settings!$K$7,D$2:E$94,2,FALSE)</f>
        <v>89.033330822199503</v>
      </c>
      <c r="G14" s="141">
        <f t="shared" ca="1" si="1"/>
        <v>14</v>
      </c>
      <c r="H14" s="30">
        <f ca="1">VLOOKUP(A14,Rankings!B1:H651,7,FALSE)+(RAND()*0.00001)</f>
        <v>5.2517222701135369</v>
      </c>
      <c r="I14" s="30">
        <f ca="1">H14-VLOOKUP(Settings!$K$3+Settings!$K$7,G$2:H$94,2,FALSE)</f>
        <v>2.8835183234921602</v>
      </c>
    </row>
    <row r="15" spans="1:9" ht="18.600000000000001" customHeight="1">
      <c r="A15" s="25" t="s">
        <v>275</v>
      </c>
      <c r="B15" s="26" t="s">
        <v>103</v>
      </c>
      <c r="C15" s="127" t="s">
        <v>27</v>
      </c>
      <c r="D15" s="141">
        <f t="shared" ca="1" si="0"/>
        <v>14</v>
      </c>
      <c r="E15" s="30">
        <f ca="1">VLOOKUP(A15,Rankings!B1:H651,6,FALSE)+(RAND()*0.00001)</f>
        <v>455.21667655544093</v>
      </c>
      <c r="F15" s="30">
        <f ca="1">E15-VLOOKUP(Settings!$K$3+Settings!$K$7,D$2:E$94,2,FALSE)</f>
        <v>87.8666685076048</v>
      </c>
      <c r="G15" s="141">
        <f t="shared" ca="1" si="1"/>
        <v>20</v>
      </c>
      <c r="H15" s="30">
        <f ca="1">VLOOKUP(A15,Rankings!B1:H651,7,FALSE)+(RAND()*0.00001)</f>
        <v>3.9415678105026593</v>
      </c>
      <c r="I15" s="30">
        <f ca="1">H15-VLOOKUP(Settings!$K$3+Settings!$K$7,G$2:H$94,2,FALSE)</f>
        <v>1.5733638638812826</v>
      </c>
    </row>
    <row r="16" spans="1:9" ht="18.600000000000001" customHeight="1">
      <c r="A16" s="25" t="s">
        <v>208</v>
      </c>
      <c r="B16" s="26" t="s">
        <v>139</v>
      </c>
      <c r="C16" s="127" t="s">
        <v>27</v>
      </c>
      <c r="D16" s="141">
        <f t="shared" ca="1" si="0"/>
        <v>15</v>
      </c>
      <c r="E16" s="30">
        <f ca="1">VLOOKUP(A16,Rankings!B1:H651,6,FALSE)+(RAND()*0.00001)</f>
        <v>451.35000966361548</v>
      </c>
      <c r="F16" s="30">
        <f ca="1">E16-VLOOKUP(Settings!$K$3+Settings!$K$7,D$2:E$94,2,FALSE)</f>
        <v>84.000001615779354</v>
      </c>
      <c r="G16" s="141">
        <f t="shared" ca="1" si="1"/>
        <v>11</v>
      </c>
      <c r="H16" s="30">
        <f ca="1">VLOOKUP(A16,Rankings!B1:H651,7,FALSE)+(RAND()*0.00001)</f>
        <v>5.4043887548570098</v>
      </c>
      <c r="I16" s="30">
        <f ca="1">H16-VLOOKUP(Settings!$K$3+Settings!$K$7,G$2:H$94,2,FALSE)</f>
        <v>3.0361848082356331</v>
      </c>
    </row>
    <row r="17" spans="1:9" ht="18.600000000000001" customHeight="1">
      <c r="A17" s="25" t="s">
        <v>162</v>
      </c>
      <c r="B17" s="26" t="s">
        <v>136</v>
      </c>
      <c r="C17" s="122" t="s">
        <v>11</v>
      </c>
      <c r="D17" s="141">
        <f t="shared" ca="1" si="0"/>
        <v>16</v>
      </c>
      <c r="E17" s="30">
        <f ca="1">VLOOKUP(A17,Rankings!B1:H651,6,FALSE)+(RAND()*0.00001)</f>
        <v>448.58333890914633</v>
      </c>
      <c r="F17" s="30">
        <f ca="1">E17-VLOOKUP(Settings!$K$3+Settings!$K$7,D$2:E$94,2,FALSE)</f>
        <v>81.233330861310208</v>
      </c>
      <c r="G17" s="141">
        <f t="shared" ca="1" si="1"/>
        <v>8</v>
      </c>
      <c r="H17" s="30">
        <f ca="1">VLOOKUP(A17,Rankings!B1:H651,7,FALSE)+(RAND()*0.00001)</f>
        <v>6.0994788579239536</v>
      </c>
      <c r="I17" s="30">
        <f ca="1">H17-VLOOKUP(Settings!$K$3+Settings!$K$7,G$2:H$94,2,FALSE)</f>
        <v>3.7312749113025769</v>
      </c>
    </row>
    <row r="18" spans="1:9" ht="18.600000000000001" customHeight="1">
      <c r="A18" s="25" t="s">
        <v>293</v>
      </c>
      <c r="B18" s="26" t="s">
        <v>158</v>
      </c>
      <c r="C18" s="127" t="s">
        <v>27</v>
      </c>
      <c r="D18" s="141">
        <f t="shared" ca="1" si="0"/>
        <v>17</v>
      </c>
      <c r="E18" s="30">
        <f ca="1">VLOOKUP(A18,Rankings!B1:H651,6,FALSE)+(RAND()*0.00001)</f>
        <v>443.05000281414266</v>
      </c>
      <c r="F18" s="30">
        <f ca="1">E18-VLOOKUP(Settings!$K$3+Settings!$K$7,D$2:E$94,2,FALSE)</f>
        <v>75.699994766306531</v>
      </c>
      <c r="G18" s="141">
        <f t="shared" ca="1" si="1"/>
        <v>22</v>
      </c>
      <c r="H18" s="30">
        <f ca="1">VLOOKUP(A18,Rankings!B1:H651,7,FALSE)+(RAND()*0.00001)</f>
        <v>3.5457471205361242</v>
      </c>
      <c r="I18" s="30">
        <f ca="1">H18-VLOOKUP(Settings!$K$3+Settings!$K$7,G$2:H$94,2,FALSE)</f>
        <v>1.1775431739147475</v>
      </c>
    </row>
    <row r="19" spans="1:9" ht="18.600000000000001" customHeight="1">
      <c r="A19" s="25" t="s">
        <v>185</v>
      </c>
      <c r="B19" s="26" t="s">
        <v>116</v>
      </c>
      <c r="C19" s="127" t="s">
        <v>27</v>
      </c>
      <c r="D19" s="141">
        <f t="shared" ca="1" si="0"/>
        <v>18</v>
      </c>
      <c r="E19" s="30">
        <f ca="1">VLOOKUP(A19,Rankings!B1:H651,6,FALSE)+(RAND()*0.00001)</f>
        <v>442.7166707576186</v>
      </c>
      <c r="F19" s="30">
        <f ca="1">E19-VLOOKUP(Settings!$K$3+Settings!$K$7,D$2:E$94,2,FALSE)</f>
        <v>75.366662709782474</v>
      </c>
      <c r="G19" s="141">
        <f t="shared" ca="1" si="1"/>
        <v>7</v>
      </c>
      <c r="H19" s="30">
        <f ca="1">VLOOKUP(A19,Rankings!B1:H651,7,FALSE)+(RAND()*0.00001)</f>
        <v>6.2668953625814892</v>
      </c>
      <c r="I19" s="30">
        <f ca="1">H19-VLOOKUP(Settings!$K$3+Settings!$K$7,G$2:H$94,2,FALSE)</f>
        <v>3.8986914159601125</v>
      </c>
    </row>
    <row r="20" spans="1:9" ht="18.600000000000001" customHeight="1">
      <c r="A20" s="25" t="s">
        <v>341</v>
      </c>
      <c r="B20" s="26" t="s">
        <v>64</v>
      </c>
      <c r="C20" s="122" t="s">
        <v>11</v>
      </c>
      <c r="D20" s="141">
        <f t="shared" ca="1" si="0"/>
        <v>19</v>
      </c>
      <c r="E20" s="30">
        <f ca="1">VLOOKUP(A20,Rankings!B1:H651,6,FALSE)+(RAND()*0.00001)</f>
        <v>437.06667522731095</v>
      </c>
      <c r="F20" s="30">
        <f ca="1">E20-VLOOKUP(Settings!$K$3+Settings!$K$7,D$2:E$94,2,FALSE)</f>
        <v>69.716667179474825</v>
      </c>
      <c r="G20" s="141">
        <f t="shared" ca="1" si="1"/>
        <v>38</v>
      </c>
      <c r="H20" s="30">
        <f ca="1">VLOOKUP(A20,Rankings!B1:H651,7,FALSE)+(RAND()*0.00001)</f>
        <v>2.2509792730176592</v>
      </c>
      <c r="I20" s="30">
        <f ca="1">H20-VLOOKUP(Settings!$K$3+Settings!$K$7,G$2:H$94,2,FALSE)</f>
        <v>-0.11722467360371747</v>
      </c>
    </row>
    <row r="21" spans="1:9" ht="18.600000000000001" customHeight="1">
      <c r="A21" s="25" t="s">
        <v>264</v>
      </c>
      <c r="B21" s="26" t="s">
        <v>225</v>
      </c>
      <c r="C21" s="122" t="s">
        <v>11</v>
      </c>
      <c r="D21" s="141">
        <f t="shared" ca="1" si="0"/>
        <v>20</v>
      </c>
      <c r="E21" s="30">
        <f ca="1">VLOOKUP(A21,Rankings!B1:H651,6,FALSE)+(RAND()*0.00001)</f>
        <v>435.75000896857711</v>
      </c>
      <c r="F21" s="30">
        <f ca="1">E21-VLOOKUP(Settings!$K$3+Settings!$K$7,D$2:E$94,2,FALSE)</f>
        <v>68.400000920740979</v>
      </c>
      <c r="G21" s="141">
        <f t="shared" ca="1" si="1"/>
        <v>23</v>
      </c>
      <c r="H21" s="30">
        <f ca="1">VLOOKUP(A21,Rankings!B1:H651,7,FALSE)+(RAND()*0.00001)</f>
        <v>3.4098088237688939</v>
      </c>
      <c r="I21" s="30">
        <f ca="1">H21-VLOOKUP(Settings!$K$3+Settings!$K$7,G$2:H$94,2,FALSE)</f>
        <v>1.0416048771475173</v>
      </c>
    </row>
    <row r="22" spans="1:9" ht="18.600000000000001" customHeight="1">
      <c r="A22" s="25" t="s">
        <v>201</v>
      </c>
      <c r="B22" s="26" t="s">
        <v>74</v>
      </c>
      <c r="C22" s="122" t="s">
        <v>11</v>
      </c>
      <c r="D22" s="141">
        <f t="shared" ca="1" si="0"/>
        <v>21</v>
      </c>
      <c r="E22" s="30">
        <f ca="1">VLOOKUP(A22,Rankings!B1:H651,6,FALSE)+(RAND()*0.00001)</f>
        <v>429.60000251104066</v>
      </c>
      <c r="F22" s="30">
        <f ca="1">E22-VLOOKUP(Settings!$K$3+Settings!$K$7,D$2:E$94,2,FALSE)</f>
        <v>62.24999446320453</v>
      </c>
      <c r="G22" s="141">
        <f t="shared" ca="1" si="1"/>
        <v>16</v>
      </c>
      <c r="H22" s="30">
        <f ca="1">VLOOKUP(A22,Rankings!B1:H651,7,FALSE)+(RAND()*0.00001)</f>
        <v>5.0370768778046324</v>
      </c>
      <c r="I22" s="30">
        <f ca="1">H22-VLOOKUP(Settings!$K$3+Settings!$K$7,G$2:H$94,2,FALSE)</f>
        <v>2.6688729311832557</v>
      </c>
    </row>
    <row r="23" spans="1:9" ht="18.600000000000001" customHeight="1">
      <c r="A23" s="25" t="s">
        <v>268</v>
      </c>
      <c r="B23" s="26" t="s">
        <v>158</v>
      </c>
      <c r="C23" s="122" t="s">
        <v>11</v>
      </c>
      <c r="D23" s="141">
        <f t="shared" ca="1" si="0"/>
        <v>22</v>
      </c>
      <c r="E23" s="30">
        <f ca="1">VLOOKUP(A23,Rankings!B1:H651,6,FALSE)+(RAND()*0.00001)</f>
        <v>429.13334318510596</v>
      </c>
      <c r="F23" s="30">
        <f ca="1">E23-VLOOKUP(Settings!$K$3+Settings!$K$7,D$2:E$94,2,FALSE)</f>
        <v>61.78333513726983</v>
      </c>
      <c r="G23" s="141">
        <f t="shared" ca="1" si="1"/>
        <v>25</v>
      </c>
      <c r="H23" s="30">
        <f ca="1">VLOOKUP(A23,Rankings!B1:H651,7,FALSE)+(RAND()*0.00001)</f>
        <v>3.34632672831505</v>
      </c>
      <c r="I23" s="30">
        <f ca="1">H23-VLOOKUP(Settings!$K$3+Settings!$K$7,G$2:H$94,2,FALSE)</f>
        <v>0.97812278169367328</v>
      </c>
    </row>
    <row r="24" spans="1:9" ht="18.600000000000001" customHeight="1">
      <c r="A24" s="25" t="s">
        <v>325</v>
      </c>
      <c r="B24" s="26" t="s">
        <v>122</v>
      </c>
      <c r="C24" s="122" t="s">
        <v>11</v>
      </c>
      <c r="D24" s="141">
        <f t="shared" ca="1" si="0"/>
        <v>23</v>
      </c>
      <c r="E24" s="30">
        <f ca="1">VLOOKUP(A24,Rankings!B1:H651,6,FALSE)+(RAND()*0.00001)</f>
        <v>428.9333405796076</v>
      </c>
      <c r="F24" s="30">
        <f ca="1">E24-VLOOKUP(Settings!$K$3+Settings!$K$7,D$2:E$94,2,FALSE)</f>
        <v>61.583332531771475</v>
      </c>
      <c r="G24" s="141">
        <f t="shared" ca="1" si="1"/>
        <v>35</v>
      </c>
      <c r="H24" s="30">
        <f ca="1">VLOOKUP(A24,Rankings!B1:H651,7,FALSE)+(RAND()*0.00001)</f>
        <v>2.4106420499078367</v>
      </c>
      <c r="I24" s="30">
        <f ca="1">H24-VLOOKUP(Settings!$K$3+Settings!$K$7,G$2:H$94,2,FALSE)</f>
        <v>4.2438103286460027E-2</v>
      </c>
    </row>
    <row r="25" spans="1:9" ht="18.600000000000001" customHeight="1">
      <c r="A25" s="25" t="s">
        <v>248</v>
      </c>
      <c r="B25" s="26" t="s">
        <v>77</v>
      </c>
      <c r="C25" s="127" t="s">
        <v>27</v>
      </c>
      <c r="D25" s="141">
        <f t="shared" ca="1" si="0"/>
        <v>24</v>
      </c>
      <c r="E25" s="30">
        <f ca="1">VLOOKUP(A25,Rankings!B1:H651,6,FALSE)+(RAND()*0.00001)</f>
        <v>428.70000108955799</v>
      </c>
      <c r="F25" s="30">
        <f ca="1">E25-VLOOKUP(Settings!$K$3+Settings!$K$7,D$2:E$94,2,FALSE)</f>
        <v>61.349993041721859</v>
      </c>
      <c r="G25" s="141">
        <f t="shared" ca="1" si="1"/>
        <v>19</v>
      </c>
      <c r="H25" s="30">
        <f ca="1">VLOOKUP(A25,Rankings!B1:H651,7,FALSE)+(RAND()*0.00001)</f>
        <v>4.4713160593194248</v>
      </c>
      <c r="I25" s="30">
        <f ca="1">H25-VLOOKUP(Settings!$K$3+Settings!$K$7,G$2:H$94,2,FALSE)</f>
        <v>2.1031121126980481</v>
      </c>
    </row>
    <row r="26" spans="1:9" ht="20.100000000000001" customHeight="1">
      <c r="A26" s="25" t="s">
        <v>188</v>
      </c>
      <c r="B26" s="26" t="s">
        <v>77</v>
      </c>
      <c r="C26" s="122" t="s">
        <v>11</v>
      </c>
      <c r="D26" s="141">
        <f t="shared" ca="1" si="0"/>
        <v>25</v>
      </c>
      <c r="E26" s="30">
        <f ca="1">VLOOKUP(A26,Rankings!B1:H651,6,FALSE)+(RAND()*0.00001)</f>
        <v>427.55000676603646</v>
      </c>
      <c r="F26" s="30">
        <f ca="1">E26-VLOOKUP(Settings!$K$3+Settings!$K$7,D$2:E$94,2,FALSE)</f>
        <v>60.199998718200334</v>
      </c>
      <c r="G26" s="141">
        <f t="shared" ca="1" si="1"/>
        <v>10</v>
      </c>
      <c r="H26" s="30">
        <f ca="1">VLOOKUP(A26,Rankings!B1:H651,7,FALSE)+(RAND()*0.00001)</f>
        <v>5.5132242493503885</v>
      </c>
      <c r="I26" s="30">
        <f ca="1">H26-VLOOKUP(Settings!$K$3+Settings!$K$7,G$2:H$94,2,FALSE)</f>
        <v>3.1450203027290118</v>
      </c>
    </row>
    <row r="27" spans="1:9" ht="18.600000000000001" customHeight="1">
      <c r="A27" s="25" t="s">
        <v>241</v>
      </c>
      <c r="B27" s="26" t="s">
        <v>69</v>
      </c>
      <c r="C27" s="122" t="s">
        <v>11</v>
      </c>
      <c r="D27" s="141">
        <f t="shared" ca="1" si="0"/>
        <v>26</v>
      </c>
      <c r="E27" s="30">
        <f ca="1">VLOOKUP(A27,Rankings!B1:H651,6,FALSE)+(RAND()*0.00001)</f>
        <v>421.83334262912678</v>
      </c>
      <c r="F27" s="30">
        <f ca="1">E27-VLOOKUP(Settings!$K$3+Settings!$K$7,D$2:E$94,2,FALSE)</f>
        <v>54.483334581290649</v>
      </c>
      <c r="G27" s="141">
        <f t="shared" ca="1" si="1"/>
        <v>21</v>
      </c>
      <c r="H27" s="30">
        <f ca="1">VLOOKUP(A27,Rankings!B1:H651,7,FALSE)+(RAND()*0.00001)</f>
        <v>3.9318397674631034</v>
      </c>
      <c r="I27" s="30">
        <f ca="1">H27-VLOOKUP(Settings!$K$3+Settings!$K$7,G$2:H$94,2,FALSE)</f>
        <v>1.5636358208417267</v>
      </c>
    </row>
    <row r="28" spans="1:9" ht="18.600000000000001" customHeight="1">
      <c r="A28" s="25" t="s">
        <v>302</v>
      </c>
      <c r="B28" s="26" t="s">
        <v>103</v>
      </c>
      <c r="C28" s="122" t="s">
        <v>11</v>
      </c>
      <c r="D28" s="141">
        <f t="shared" ca="1" si="0"/>
        <v>27</v>
      </c>
      <c r="E28" s="30">
        <f ca="1">VLOOKUP(A28,Rankings!B1:H651,6,FALSE)+(RAND()*0.00001)</f>
        <v>410.53333565973196</v>
      </c>
      <c r="F28" s="30">
        <f ca="1">E28-VLOOKUP(Settings!$K$3+Settings!$K$7,D$2:E$94,2,FALSE)</f>
        <v>43.183327611895834</v>
      </c>
      <c r="G28" s="141">
        <f t="shared" ca="1" si="1"/>
        <v>31</v>
      </c>
      <c r="H28" s="30">
        <f ca="1">VLOOKUP(A28,Rankings!B1:H651,7,FALSE)+(RAND()*0.00001)</f>
        <v>2.7234321210196426</v>
      </c>
      <c r="I28" s="30">
        <f ca="1">H28-VLOOKUP(Settings!$K$3+Settings!$K$7,G$2:H$94,2,FALSE)</f>
        <v>0.35522817439826593</v>
      </c>
    </row>
    <row r="29" spans="1:9" ht="18.600000000000001" customHeight="1">
      <c r="A29" s="25" t="s">
        <v>313</v>
      </c>
      <c r="B29" s="26" t="s">
        <v>136</v>
      </c>
      <c r="C29" s="122" t="s">
        <v>11</v>
      </c>
      <c r="D29" s="141">
        <f t="shared" ca="1" si="0"/>
        <v>28</v>
      </c>
      <c r="E29" s="30">
        <f ca="1">VLOOKUP(A29,Rankings!B1:H651,6,FALSE)+(RAND()*0.00001)</f>
        <v>405.01667491739221</v>
      </c>
      <c r="F29" s="30">
        <f ca="1">E29-VLOOKUP(Settings!$K$3+Settings!$K$7,D$2:E$94,2,FALSE)</f>
        <v>37.666666869556082</v>
      </c>
      <c r="G29" s="141">
        <f t="shared" ca="1" si="1"/>
        <v>33</v>
      </c>
      <c r="H29" s="30">
        <f ca="1">VLOOKUP(A29,Rankings!B1:H651,7,FALSE)+(RAND()*0.00001)</f>
        <v>2.5726938000613413</v>
      </c>
      <c r="I29" s="30">
        <f ca="1">H29-VLOOKUP(Settings!$K$3+Settings!$K$7,G$2:H$94,2,FALSE)</f>
        <v>0.20448985343996462</v>
      </c>
    </row>
    <row r="30" spans="1:9" ht="18.600000000000001" customHeight="1">
      <c r="A30" s="25" t="s">
        <v>333</v>
      </c>
      <c r="B30" s="26" t="s">
        <v>178</v>
      </c>
      <c r="C30" s="122" t="s">
        <v>11</v>
      </c>
      <c r="D30" s="141">
        <f t="shared" ca="1" si="0"/>
        <v>29</v>
      </c>
      <c r="E30" s="30">
        <f ca="1">VLOOKUP(A30,Rankings!B1:H651,6,FALSE)+(RAND()*0.00001)</f>
        <v>399.00000963422627</v>
      </c>
      <c r="F30" s="30">
        <f ca="1">E30-VLOOKUP(Settings!$K$3+Settings!$K$7,D$2:E$94,2,FALSE)</f>
        <v>31.650001586390147</v>
      </c>
      <c r="G30" s="141">
        <f t="shared" ca="1" si="1"/>
        <v>37</v>
      </c>
      <c r="H30" s="30">
        <f ca="1">VLOOKUP(A30,Rankings!B1:H651,7,FALSE)+(RAND()*0.00001)</f>
        <v>2.3077420464877467</v>
      </c>
      <c r="I30" s="30">
        <f ca="1">H30-VLOOKUP(Settings!$K$3+Settings!$K$7,G$2:H$94,2,FALSE)</f>
        <v>-6.0461900133629953E-2</v>
      </c>
    </row>
    <row r="31" spans="1:9" ht="20.100000000000001" customHeight="1">
      <c r="A31" s="25" t="s">
        <v>327</v>
      </c>
      <c r="B31" s="26" t="s">
        <v>97</v>
      </c>
      <c r="C31" s="122" t="s">
        <v>11</v>
      </c>
      <c r="D31" s="141">
        <f t="shared" ca="1" si="0"/>
        <v>30</v>
      </c>
      <c r="E31" s="30">
        <f ca="1">VLOOKUP(A31,Rankings!B1:H651,6,FALSE)+(RAND()*0.00001)</f>
        <v>398.35000153514522</v>
      </c>
      <c r="F31" s="30">
        <f ca="1">E31-VLOOKUP(Settings!$K$3+Settings!$K$7,D$2:E$94,2,FALSE)</f>
        <v>30.999993487309098</v>
      </c>
      <c r="G31" s="141">
        <f t="shared" ca="1" si="1"/>
        <v>36</v>
      </c>
      <c r="H31" s="30">
        <f ca="1">VLOOKUP(A31,Rankings!B1:H651,7,FALSE)+(RAND()*0.00001)</f>
        <v>2.3682039466213767</v>
      </c>
      <c r="I31" s="30">
        <f ca="1">H31-VLOOKUP(Settings!$K$3+Settings!$K$7,G$2:H$94,2,FALSE)</f>
        <v>0</v>
      </c>
    </row>
    <row r="32" spans="1:9" ht="20.100000000000001" customHeight="1">
      <c r="A32" s="25" t="s">
        <v>303</v>
      </c>
      <c r="B32" s="26" t="s">
        <v>79</v>
      </c>
      <c r="C32" s="127" t="s">
        <v>27</v>
      </c>
      <c r="D32" s="141">
        <f t="shared" ca="1" si="0"/>
        <v>31</v>
      </c>
      <c r="E32" s="30">
        <f ca="1">VLOOKUP(A32,Rankings!B1:H651,6,FALSE)+(RAND()*0.00001)</f>
        <v>393.05000902278027</v>
      </c>
      <c r="F32" s="30">
        <f ca="1">E32-VLOOKUP(Settings!$K$3+Settings!$K$7,D$2:E$94,2,FALSE)</f>
        <v>25.700000974944146</v>
      </c>
      <c r="G32" s="141">
        <f t="shared" ca="1" si="1"/>
        <v>24</v>
      </c>
      <c r="H32" s="30">
        <f ca="1">VLOOKUP(A32,Rankings!B1:H651,7,FALSE)+(RAND()*0.00001)</f>
        <v>3.4037306940854317</v>
      </c>
      <c r="I32" s="30">
        <f ca="1">H32-VLOOKUP(Settings!$K$3+Settings!$K$7,G$2:H$94,2,FALSE)</f>
        <v>1.035526747464055</v>
      </c>
    </row>
    <row r="33" spans="1:9" ht="18.600000000000001" customHeight="1">
      <c r="A33" s="25" t="s">
        <v>335</v>
      </c>
      <c r="B33" s="26" t="s">
        <v>260</v>
      </c>
      <c r="C33" s="127" t="s">
        <v>27</v>
      </c>
      <c r="D33" s="141">
        <f t="shared" ca="1" si="0"/>
        <v>32</v>
      </c>
      <c r="E33" s="30">
        <f ca="1">VLOOKUP(A33,Rankings!B1:H651,6,FALSE)+(RAND()*0.00001)</f>
        <v>382.50000950632915</v>
      </c>
      <c r="F33" s="30">
        <f ca="1">E33-VLOOKUP(Settings!$K$3+Settings!$K$7,D$2:E$94,2,FALSE)</f>
        <v>15.150001458493023</v>
      </c>
      <c r="G33" s="141">
        <f t="shared" ca="1" si="1"/>
        <v>29</v>
      </c>
      <c r="H33" s="30">
        <f ca="1">VLOOKUP(A33,Rankings!B1:H651,7,FALSE)+(RAND()*0.00001)</f>
        <v>3.0044262952181908</v>
      </c>
      <c r="I33" s="30">
        <f ca="1">H33-VLOOKUP(Settings!$K$3+Settings!$K$7,G$2:H$94,2,FALSE)</f>
        <v>0.63622234859681415</v>
      </c>
    </row>
    <row r="34" spans="1:9" ht="20.100000000000001" customHeight="1">
      <c r="A34" s="25" t="s">
        <v>278</v>
      </c>
      <c r="B34" s="26" t="s">
        <v>95</v>
      </c>
      <c r="C34" s="122" t="s">
        <v>11</v>
      </c>
      <c r="D34" s="141">
        <f t="shared" ref="D34:D65" ca="1" si="2">RANK(E34,E$2:E$94)</f>
        <v>33</v>
      </c>
      <c r="E34" s="30">
        <f ca="1">VLOOKUP(A34,Rankings!B1:H651,6,FALSE)+(RAND()*0.00001)</f>
        <v>382.30000231367438</v>
      </c>
      <c r="F34" s="30">
        <f ca="1">E34-VLOOKUP(Settings!$K$3+Settings!$K$7,D$2:E$94,2,FALSE)</f>
        <v>14.949994265838257</v>
      </c>
      <c r="G34" s="141">
        <f t="shared" ref="G34:G65" ca="1" si="3">RANK(H34,H$2:H$94)</f>
        <v>26</v>
      </c>
      <c r="H34" s="30">
        <f ca="1">VLOOKUP(A34,Rankings!B1:H651,7,FALSE)+(RAND()*0.00001)</f>
        <v>3.1717222587944116</v>
      </c>
      <c r="I34" s="30">
        <f ca="1">H34-VLOOKUP(Settings!$K$3+Settings!$K$7,G$2:H$94,2,FALSE)</f>
        <v>0.80351831217303493</v>
      </c>
    </row>
    <row r="35" spans="1:9" ht="18.600000000000001" customHeight="1">
      <c r="A35" s="25" t="s">
        <v>323</v>
      </c>
      <c r="B35" s="26" t="s">
        <v>160</v>
      </c>
      <c r="C35" s="127" t="s">
        <v>27</v>
      </c>
      <c r="D35" s="141">
        <f t="shared" ca="1" si="2"/>
        <v>34</v>
      </c>
      <c r="E35" s="30">
        <f ca="1">VLOOKUP(A35,Rankings!B1:H651,6,FALSE)+(RAND()*0.00001)</f>
        <v>381.31667492479426</v>
      </c>
      <c r="F35" s="30">
        <f ca="1">E35-VLOOKUP(Settings!$K$3+Settings!$K$7,D$2:E$94,2,FALSE)</f>
        <v>13.966666876958129</v>
      </c>
      <c r="G35" s="141">
        <f t="shared" ca="1" si="3"/>
        <v>27</v>
      </c>
      <c r="H35" s="30">
        <f ca="1">VLOOKUP(A35,Rankings!B1:H651,7,FALSE)+(RAND()*0.00001)</f>
        <v>3.1598461399265001</v>
      </c>
      <c r="I35" s="30">
        <f ca="1">H35-VLOOKUP(Settings!$K$3+Settings!$K$7,G$2:H$94,2,FALSE)</f>
        <v>0.79164219330512342</v>
      </c>
    </row>
    <row r="36" spans="1:9" ht="18.600000000000001" customHeight="1">
      <c r="A36" s="25" t="s">
        <v>417</v>
      </c>
      <c r="B36" s="26" t="s">
        <v>99</v>
      </c>
      <c r="C36" s="122" t="s">
        <v>11</v>
      </c>
      <c r="D36" s="141">
        <f t="shared" ca="1" si="2"/>
        <v>35</v>
      </c>
      <c r="E36" s="30">
        <f ca="1">VLOOKUP(A36,Rankings!B1:H651,6,FALSE)+(RAND()*0.00001)</f>
        <v>371.43333510492113</v>
      </c>
      <c r="F36" s="30">
        <f ca="1">E36-VLOOKUP(Settings!$K$3+Settings!$K$7,D$2:E$94,2,FALSE)</f>
        <v>4.0833270570850004</v>
      </c>
      <c r="G36" s="141">
        <f t="shared" ca="1" si="3"/>
        <v>43</v>
      </c>
      <c r="H36" s="30">
        <f ca="1">VLOOKUP(A36,Rankings!B1:H651,7,FALSE)+(RAND()*0.00001)</f>
        <v>0.95841504712492975</v>
      </c>
      <c r="I36" s="30">
        <f ca="1">H36-VLOOKUP(Settings!$K$3+Settings!$K$7,G$2:H$94,2,FALSE)</f>
        <v>-1.4097888994964469</v>
      </c>
    </row>
    <row r="37" spans="1:9" ht="18.600000000000001" customHeight="1">
      <c r="A37" s="25" t="s">
        <v>310</v>
      </c>
      <c r="B37" s="26" t="s">
        <v>136</v>
      </c>
      <c r="C37" s="122" t="s">
        <v>11</v>
      </c>
      <c r="D37" s="141">
        <f t="shared" ca="1" si="2"/>
        <v>36</v>
      </c>
      <c r="E37" s="30">
        <f ca="1">VLOOKUP(A37,Rankings!B1:H651,6,FALSE)+(RAND()*0.00001)</f>
        <v>367.35000804783613</v>
      </c>
      <c r="F37" s="30">
        <f ca="1">E37-VLOOKUP(Settings!$K$3+Settings!$K$7,D$2:E$94,2,FALSE)</f>
        <v>0</v>
      </c>
      <c r="G37" s="141">
        <f t="shared" ca="1" si="3"/>
        <v>32</v>
      </c>
      <c r="H37" s="30">
        <f ca="1">VLOOKUP(A37,Rankings!B1:H651,7,FALSE)+(RAND()*0.00001)</f>
        <v>2.6177264009020837</v>
      </c>
      <c r="I37" s="30">
        <f ca="1">H37-VLOOKUP(Settings!$K$3+Settings!$K$7,G$2:H$94,2,FALSE)</f>
        <v>0.24952245428070707</v>
      </c>
    </row>
    <row r="38" spans="1:9" ht="18.600000000000001" customHeight="1">
      <c r="A38" s="25" t="s">
        <v>595</v>
      </c>
      <c r="B38" s="26" t="s">
        <v>72</v>
      </c>
      <c r="C38" s="127" t="s">
        <v>27</v>
      </c>
      <c r="D38" s="141">
        <f t="shared" ca="1" si="2"/>
        <v>37</v>
      </c>
      <c r="E38" s="30">
        <f ca="1">VLOOKUP(A38,Rankings!B1:H651,6,FALSE)+(RAND()*0.00001)</f>
        <v>355.98333334679722</v>
      </c>
      <c r="F38" s="30">
        <f ca="1">E38-VLOOKUP(Settings!$K$3+Settings!$K$7,D$2:E$94,2,FALSE)</f>
        <v>-11.366674701038903</v>
      </c>
      <c r="G38" s="141">
        <f t="shared" ca="1" si="3"/>
        <v>56</v>
      </c>
      <c r="H38" s="30">
        <f ca="1">VLOOKUP(A38,Rankings!B1:H651,7,FALSE)+(RAND()*0.00001)</f>
        <v>-0.54668567210289709</v>
      </c>
      <c r="I38" s="30">
        <f ca="1">H38-VLOOKUP(Settings!$K$3+Settings!$K$7,G$2:H$94,2,FALSE)</f>
        <v>-2.9148896187242737</v>
      </c>
    </row>
    <row r="39" spans="1:9" ht="18.600000000000001" customHeight="1">
      <c r="A39" s="25" t="s">
        <v>357</v>
      </c>
      <c r="B39" s="26" t="s">
        <v>178</v>
      </c>
      <c r="C39" s="127" t="s">
        <v>27</v>
      </c>
      <c r="D39" s="141">
        <f t="shared" ca="1" si="2"/>
        <v>38</v>
      </c>
      <c r="E39" s="30">
        <f ca="1">VLOOKUP(A39,Rankings!B1:H651,6,FALSE)+(RAND()*0.00001)</f>
        <v>355.05000388940755</v>
      </c>
      <c r="F39" s="30">
        <f ca="1">E39-VLOOKUP(Settings!$K$3+Settings!$K$7,D$2:E$94,2,FALSE)</f>
        <v>-12.300004158428578</v>
      </c>
      <c r="G39" s="141">
        <f t="shared" ca="1" si="3"/>
        <v>30</v>
      </c>
      <c r="H39" s="30">
        <f ca="1">VLOOKUP(A39,Rankings!B1:H651,7,FALSE)+(RAND()*0.00001)</f>
        <v>2.7637319177879212</v>
      </c>
      <c r="I39" s="30">
        <f ca="1">H39-VLOOKUP(Settings!$K$3+Settings!$K$7,G$2:H$94,2,FALSE)</f>
        <v>0.39552797116654448</v>
      </c>
    </row>
    <row r="40" spans="1:9" ht="18.600000000000001" customHeight="1">
      <c r="A40" s="25" t="s">
        <v>317</v>
      </c>
      <c r="B40" s="26" t="s">
        <v>219</v>
      </c>
      <c r="C40" s="122" t="s">
        <v>11</v>
      </c>
      <c r="D40" s="141">
        <f t="shared" ca="1" si="2"/>
        <v>39</v>
      </c>
      <c r="E40" s="30">
        <f ca="1">VLOOKUP(A40,Rankings!B1:H651,6,FALSE)+(RAND()*0.00001)</f>
        <v>353.63334145595024</v>
      </c>
      <c r="F40" s="30">
        <f ca="1">E40-VLOOKUP(Settings!$K$3+Settings!$K$7,D$2:E$94,2,FALSE)</f>
        <v>-13.716666591885883</v>
      </c>
      <c r="G40" s="141">
        <f t="shared" ca="1" si="3"/>
        <v>34</v>
      </c>
      <c r="H40" s="30">
        <f ca="1">VLOOKUP(A40,Rankings!B1:H651,7,FALSE)+(RAND()*0.00001)</f>
        <v>2.5215849042163732</v>
      </c>
      <c r="I40" s="30">
        <f ca="1">H40-VLOOKUP(Settings!$K$3+Settings!$K$7,G$2:H$94,2,FALSE)</f>
        <v>0.15338095759499648</v>
      </c>
    </row>
    <row r="41" spans="1:9" ht="20.100000000000001" customHeight="1">
      <c r="A41" s="25" t="s">
        <v>393</v>
      </c>
      <c r="B41" s="26" t="s">
        <v>72</v>
      </c>
      <c r="C41" s="122" t="s">
        <v>11</v>
      </c>
      <c r="D41" s="141">
        <f t="shared" ca="1" si="2"/>
        <v>40</v>
      </c>
      <c r="E41" s="30">
        <f ca="1">VLOOKUP(A41,Rankings!B1:H651,6,FALSE)+(RAND()*0.00001)</f>
        <v>352.1166682712178</v>
      </c>
      <c r="F41" s="30">
        <f ca="1">E41-VLOOKUP(Settings!$K$3+Settings!$K$7,D$2:E$94,2,FALSE)</f>
        <v>-15.233339776618323</v>
      </c>
      <c r="G41" s="141">
        <f t="shared" ca="1" si="3"/>
        <v>40</v>
      </c>
      <c r="H41" s="30">
        <f ca="1">VLOOKUP(A41,Rankings!B1:H651,7,FALSE)+(RAND()*0.00001)</f>
        <v>1.4912398701768457</v>
      </c>
      <c r="I41" s="30">
        <f ca="1">H41-VLOOKUP(Settings!$K$3+Settings!$K$7,G$2:H$94,2,FALSE)</f>
        <v>-0.876964076444531</v>
      </c>
    </row>
    <row r="42" spans="1:9" ht="18.600000000000001" customHeight="1">
      <c r="A42" s="25" t="s">
        <v>384</v>
      </c>
      <c r="B42" s="26" t="s">
        <v>122</v>
      </c>
      <c r="C42" s="122" t="s">
        <v>11</v>
      </c>
      <c r="D42" s="141">
        <f t="shared" ca="1" si="2"/>
        <v>42</v>
      </c>
      <c r="E42" s="30">
        <f ca="1">VLOOKUP(A42,Rankings!B1:H651,6,FALSE)+(RAND()*0.00001)</f>
        <v>346.00000604594032</v>
      </c>
      <c r="F42" s="30">
        <f ca="1">E42-VLOOKUP(Settings!$K$3+Settings!$K$7,D$2:E$94,2,FALSE)</f>
        <v>-21.350002001895803</v>
      </c>
      <c r="G42" s="141">
        <f t="shared" ca="1" si="3"/>
        <v>39</v>
      </c>
      <c r="H42" s="30">
        <f ca="1">VLOOKUP(A42,Rankings!B1:H651,7,FALSE)+(RAND()*0.00001)</f>
        <v>1.5633602421197106</v>
      </c>
      <c r="I42" s="30">
        <f ca="1">H42-VLOOKUP(Settings!$K$3+Settings!$K$7,G$2:H$94,2,FALSE)</f>
        <v>-0.80484370450166609</v>
      </c>
    </row>
    <row r="43" spans="1:9" ht="18.600000000000001" customHeight="1">
      <c r="A43" s="25" t="s">
        <v>425</v>
      </c>
      <c r="B43" s="26" t="s">
        <v>82</v>
      </c>
      <c r="C43" s="122" t="s">
        <v>11</v>
      </c>
      <c r="D43" s="141">
        <f t="shared" ca="1" si="2"/>
        <v>43</v>
      </c>
      <c r="E43" s="30">
        <f ca="1">VLOOKUP(A43,Rankings!B1:H651,6,FALSE)+(RAND()*0.00001)</f>
        <v>341.95000186154459</v>
      </c>
      <c r="F43" s="30">
        <f ca="1">E43-VLOOKUP(Settings!$K$3+Settings!$K$7,D$2:E$94,2,FALSE)</f>
        <v>-25.400006186291535</v>
      </c>
      <c r="G43" s="141">
        <f t="shared" ca="1" si="3"/>
        <v>46</v>
      </c>
      <c r="H43" s="30">
        <f ca="1">VLOOKUP(A43,Rankings!B1:H651,7,FALSE)+(RAND()*0.00001)</f>
        <v>0.74981872660506765</v>
      </c>
      <c r="I43" s="30">
        <f ca="1">H43-VLOOKUP(Settings!$K$3+Settings!$K$7,G$2:H$94,2,FALSE)</f>
        <v>-1.6183852200163091</v>
      </c>
    </row>
    <row r="44" spans="1:9" ht="18.600000000000001" customHeight="1">
      <c r="A44" s="25" t="s">
        <v>424</v>
      </c>
      <c r="B44" s="26" t="s">
        <v>82</v>
      </c>
      <c r="C44" s="122" t="s">
        <v>11</v>
      </c>
      <c r="D44" s="141">
        <f t="shared" ca="1" si="2"/>
        <v>44</v>
      </c>
      <c r="E44" s="30">
        <f ca="1">VLOOKUP(A44,Rankings!B1:H651,6,FALSE)+(RAND()*0.00001)</f>
        <v>341.8500077532841</v>
      </c>
      <c r="F44" s="30">
        <f ca="1">E44-VLOOKUP(Settings!$K$3+Settings!$K$7,D$2:E$94,2,FALSE)</f>
        <v>-25.500000294552024</v>
      </c>
      <c r="G44" s="141">
        <f t="shared" ca="1" si="3"/>
        <v>45</v>
      </c>
      <c r="H44" s="30">
        <f ca="1">VLOOKUP(A44,Rankings!B1:H651,7,FALSE)+(RAND()*0.00001)</f>
        <v>0.76781999269145118</v>
      </c>
      <c r="I44" s="30">
        <f ca="1">H44-VLOOKUP(Settings!$K$3+Settings!$K$7,G$2:H$94,2,FALSE)</f>
        <v>-1.6003839539299256</v>
      </c>
    </row>
    <row r="45" spans="1:9" ht="18.600000000000001" customHeight="1">
      <c r="A45" s="25" t="s">
        <v>408</v>
      </c>
      <c r="B45" s="26" t="s">
        <v>160</v>
      </c>
      <c r="C45" s="122" t="s">
        <v>11</v>
      </c>
      <c r="D45" s="141">
        <f t="shared" ca="1" si="2"/>
        <v>45</v>
      </c>
      <c r="E45" s="30">
        <f ca="1">VLOOKUP(A45,Rankings!B1:H651,6,FALSE)+(RAND()*0.00001)</f>
        <v>336.01667480065782</v>
      </c>
      <c r="F45" s="30">
        <f ca="1">E45-VLOOKUP(Settings!$K$3+Settings!$K$7,D$2:E$94,2,FALSE)</f>
        <v>-31.333333247178302</v>
      </c>
      <c r="G45" s="141">
        <f t="shared" ca="1" si="3"/>
        <v>42</v>
      </c>
      <c r="H45" s="30">
        <f ca="1">VLOOKUP(A45,Rankings!B1:H651,7,FALSE)+(RAND()*0.00001)</f>
        <v>1.2514852902946156</v>
      </c>
      <c r="I45" s="30">
        <f ca="1">H45-VLOOKUP(Settings!$K$3+Settings!$K$7,G$2:H$94,2,FALSE)</f>
        <v>-1.116718656326761</v>
      </c>
    </row>
    <row r="46" spans="1:9" ht="18.600000000000001" customHeight="1">
      <c r="A46" s="25" t="s">
        <v>481</v>
      </c>
      <c r="B46" s="26" t="s">
        <v>260</v>
      </c>
      <c r="C46" s="122" t="s">
        <v>11</v>
      </c>
      <c r="D46" s="141">
        <f t="shared" ca="1" si="2"/>
        <v>46</v>
      </c>
      <c r="E46" s="30">
        <f ca="1">VLOOKUP(A46,Rankings!B1:H651,6,FALSE)+(RAND()*0.00001)</f>
        <v>330.10000330352642</v>
      </c>
      <c r="F46" s="30">
        <f ca="1">E46-VLOOKUP(Settings!$K$3+Settings!$K$7,D$2:E$94,2,FALSE)</f>
        <v>-37.250004744309706</v>
      </c>
      <c r="G46" s="141">
        <f t="shared" ca="1" si="3"/>
        <v>51</v>
      </c>
      <c r="H46" s="30">
        <f ca="1">VLOOKUP(A46,Rankings!B1:H651,7,FALSE)+(RAND()*0.00001)</f>
        <v>8.2612753533418792E-2</v>
      </c>
      <c r="I46" s="30">
        <f ca="1">H46-VLOOKUP(Settings!$K$3+Settings!$K$7,G$2:H$94,2,FALSE)</f>
        <v>-2.2855911930879578</v>
      </c>
    </row>
    <row r="47" spans="1:9" ht="18.600000000000001" customHeight="1">
      <c r="A47" s="25" t="s">
        <v>512</v>
      </c>
      <c r="B47" s="26" t="s">
        <v>219</v>
      </c>
      <c r="C47" s="127" t="s">
        <v>27</v>
      </c>
      <c r="D47" s="141">
        <f t="shared" ca="1" si="2"/>
        <v>47</v>
      </c>
      <c r="E47" s="30">
        <f ca="1">VLOOKUP(A47,Rankings!B1:H651,6,FALSE)+(RAND()*0.00001)</f>
        <v>327.38334296452513</v>
      </c>
      <c r="F47" s="30">
        <f ca="1">E47-VLOOKUP(Settings!$K$3+Settings!$K$7,D$2:E$94,2,FALSE)</f>
        <v>-39.966665083311</v>
      </c>
      <c r="G47" s="141">
        <f t="shared" ca="1" si="3"/>
        <v>48</v>
      </c>
      <c r="H47" s="30">
        <f ca="1">VLOOKUP(A47,Rankings!B1:H651,7,FALSE)+(RAND()*0.00001)</f>
        <v>0.33940432303118212</v>
      </c>
      <c r="I47" s="30">
        <f ca="1">H47-VLOOKUP(Settings!$K$3+Settings!$K$7,G$2:H$94,2,FALSE)</f>
        <v>-2.0287996235901944</v>
      </c>
    </row>
    <row r="48" spans="1:9" ht="18.600000000000001" customHeight="1">
      <c r="A48" s="25" t="s">
        <v>426</v>
      </c>
      <c r="B48" s="26" t="s">
        <v>69</v>
      </c>
      <c r="C48" s="122" t="s">
        <v>11</v>
      </c>
      <c r="D48" s="141">
        <f t="shared" ca="1" si="2"/>
        <v>48</v>
      </c>
      <c r="E48" s="30">
        <f ca="1">VLOOKUP(A48,Rankings!B1:H651,6,FALSE)+(RAND()*0.00001)</f>
        <v>323.8000024797937</v>
      </c>
      <c r="F48" s="30">
        <f ca="1">E48-VLOOKUP(Settings!$K$3+Settings!$K$7,D$2:E$94,2,FALSE)</f>
        <v>-43.550005568042423</v>
      </c>
      <c r="G48" s="141">
        <f t="shared" ca="1" si="3"/>
        <v>47</v>
      </c>
      <c r="H48" s="30">
        <f ca="1">VLOOKUP(A48,Rankings!B1:H651,7,FALSE)+(RAND()*0.00001)</f>
        <v>0.74233341912144679</v>
      </c>
      <c r="I48" s="30">
        <f ca="1">H48-VLOOKUP(Settings!$K$3+Settings!$K$7,G$2:H$94,2,FALSE)</f>
        <v>-1.6258705274999299</v>
      </c>
    </row>
    <row r="49" spans="1:9" ht="18.600000000000001" customHeight="1">
      <c r="A49" s="25" t="s">
        <v>329</v>
      </c>
      <c r="B49" s="26" t="s">
        <v>105</v>
      </c>
      <c r="C49" s="127" t="s">
        <v>27</v>
      </c>
      <c r="D49" s="141">
        <f t="shared" ca="1" si="2"/>
        <v>49</v>
      </c>
      <c r="E49" s="30">
        <f ca="1">VLOOKUP(A49,Rankings!B1:H651,6,FALSE)+(RAND()*0.00001)</f>
        <v>321.46666711483681</v>
      </c>
      <c r="F49" s="30">
        <f ca="1">E49-VLOOKUP(Settings!$K$3+Settings!$K$7,D$2:E$94,2,FALSE)</f>
        <v>-45.883340932999317</v>
      </c>
      <c r="G49" s="141">
        <f t="shared" ca="1" si="3"/>
        <v>28</v>
      </c>
      <c r="H49" s="30">
        <f ca="1">VLOOKUP(A49,Rankings!B1:H651,7,FALSE)+(RAND()*0.00001)</f>
        <v>3.0448479249751244</v>
      </c>
      <c r="I49" s="30">
        <f ca="1">H49-VLOOKUP(Settings!$K$3+Settings!$K$7,G$2:H$94,2,FALSE)</f>
        <v>0.67664397835374768</v>
      </c>
    </row>
    <row r="50" spans="1:9" ht="18.600000000000001" customHeight="1">
      <c r="A50" s="25" t="s">
        <v>550</v>
      </c>
      <c r="B50" s="26" t="s">
        <v>142</v>
      </c>
      <c r="C50" s="122" t="s">
        <v>11</v>
      </c>
      <c r="D50" s="141">
        <f t="shared" ca="1" si="2"/>
        <v>50</v>
      </c>
      <c r="E50" s="30">
        <f ca="1">VLOOKUP(A50,Rankings!B1:H651,6,FALSE)+(RAND()*0.00001)</f>
        <v>319.05000390358072</v>
      </c>
      <c r="F50" s="30">
        <f ca="1">E50-VLOOKUP(Settings!$K$3+Settings!$K$7,D$2:E$94,2,FALSE)</f>
        <v>-48.300004144255411</v>
      </c>
      <c r="G50" s="141">
        <f t="shared" ca="1" si="3"/>
        <v>59</v>
      </c>
      <c r="H50" s="30">
        <f ca="1">VLOOKUP(A50,Rankings!B1:H651,7,FALSE)+(RAND()*0.00001)</f>
        <v>-0.69631555666847511</v>
      </c>
      <c r="I50" s="30">
        <f ca="1">H50-VLOOKUP(Settings!$K$3+Settings!$K$7,G$2:H$94,2,FALSE)</f>
        <v>-3.0645195032898518</v>
      </c>
    </row>
    <row r="51" spans="1:9" ht="18.600000000000001" customHeight="1">
      <c r="A51" s="25" t="s">
        <v>477</v>
      </c>
      <c r="B51" s="26" t="s">
        <v>309</v>
      </c>
      <c r="C51" s="127" t="s">
        <v>27</v>
      </c>
      <c r="D51" s="141">
        <f t="shared" ca="1" si="2"/>
        <v>51</v>
      </c>
      <c r="E51" s="30">
        <f ca="1">VLOOKUP(A51,Rankings!B1:H651,6,FALSE)+(RAND()*0.00001)</f>
        <v>315.93333826776251</v>
      </c>
      <c r="F51" s="30">
        <f ca="1">E51-VLOOKUP(Settings!$K$3+Settings!$K$7,D$2:E$94,2,FALSE)</f>
        <v>-51.416669780073619</v>
      </c>
      <c r="G51" s="141">
        <f t="shared" ca="1" si="3"/>
        <v>44</v>
      </c>
      <c r="H51" s="30">
        <f ca="1">VLOOKUP(A51,Rankings!B1:H651,7,FALSE)+(RAND()*0.00001)</f>
        <v>0.82918952588227179</v>
      </c>
      <c r="I51" s="30">
        <f ca="1">H51-VLOOKUP(Settings!$K$3+Settings!$K$7,G$2:H$94,2,FALSE)</f>
        <v>-1.5390144207391048</v>
      </c>
    </row>
    <row r="52" spans="1:9" ht="18.600000000000001" customHeight="1">
      <c r="A52" s="25" t="s">
        <v>520</v>
      </c>
      <c r="B52" s="26" t="s">
        <v>101</v>
      </c>
      <c r="C52" s="122" t="s">
        <v>11</v>
      </c>
      <c r="D52" s="141">
        <f t="shared" ca="1" si="2"/>
        <v>52</v>
      </c>
      <c r="E52" s="30">
        <f ca="1">VLOOKUP(A52,Rankings!B1:H651,6,FALSE)+(RAND()*0.00001)</f>
        <v>315.05000582580118</v>
      </c>
      <c r="F52" s="30">
        <f ca="1">E52-VLOOKUP(Settings!$K$3+Settings!$K$7,D$2:E$94,2,FALSE)</f>
        <v>-52.300002222034948</v>
      </c>
      <c r="G52" s="141">
        <f t="shared" ca="1" si="3"/>
        <v>54</v>
      </c>
      <c r="H52" s="30">
        <f ca="1">VLOOKUP(A52,Rankings!B1:H651,7,FALSE)+(RAND()*0.00001)</f>
        <v>-0.43334525890039166</v>
      </c>
      <c r="I52" s="30">
        <f ca="1">H52-VLOOKUP(Settings!$K$3+Settings!$K$7,G$2:H$94,2,FALSE)</f>
        <v>-2.8015492055217681</v>
      </c>
    </row>
    <row r="53" spans="1:9" ht="18.600000000000001" customHeight="1">
      <c r="A53" s="25" t="s">
        <v>470</v>
      </c>
      <c r="B53" s="26" t="s">
        <v>119</v>
      </c>
      <c r="C53" s="122" t="s">
        <v>11</v>
      </c>
      <c r="D53" s="141">
        <f t="shared" ca="1" si="2"/>
        <v>53</v>
      </c>
      <c r="E53" s="30">
        <f ca="1">VLOOKUP(A53,Rankings!B1:H651,6,FALSE)+(RAND()*0.00001)</f>
        <v>313.93334045561676</v>
      </c>
      <c r="F53" s="30">
        <f ca="1">E53-VLOOKUP(Settings!$K$3+Settings!$K$7,D$2:E$94,2,FALSE)</f>
        <v>-53.416667592219369</v>
      </c>
      <c r="G53" s="141">
        <f t="shared" ca="1" si="3"/>
        <v>49</v>
      </c>
      <c r="H53" s="30">
        <f ca="1">VLOOKUP(A53,Rankings!B1:H651,7,FALSE)+(RAND()*0.00001)</f>
        <v>0.21914479301085904</v>
      </c>
      <c r="I53" s="30">
        <f ca="1">H53-VLOOKUP(Settings!$K$3+Settings!$K$7,G$2:H$94,2,FALSE)</f>
        <v>-2.1490591536105175</v>
      </c>
    </row>
    <row r="54" spans="1:9" ht="18.600000000000001" customHeight="1">
      <c r="A54" s="25" t="s">
        <v>351</v>
      </c>
      <c r="B54" s="26" t="s">
        <v>309</v>
      </c>
      <c r="C54" s="122" t="s">
        <v>11</v>
      </c>
      <c r="D54" s="141">
        <f t="shared" ca="1" si="2"/>
        <v>41</v>
      </c>
      <c r="E54" s="30">
        <f ca="1">VLOOKUP(A54,Rankings!B1:H651,6,FALSE)+(RAND()*0.00001)</f>
        <v>351.44333849580192</v>
      </c>
      <c r="F54" s="30">
        <f ca="1">E54-VLOOKUP(Settings!$K$3+Settings!$K$7,D$2:E$94,2,FALSE)</f>
        <v>-15.906669552034202</v>
      </c>
      <c r="G54" s="141">
        <f t="shared" ca="1" si="3"/>
        <v>52</v>
      </c>
      <c r="H54" s="30">
        <f ca="1">VLOOKUP(A54,Rankings!B1:H651,7,FALSE)+(RAND()*0.00001)</f>
        <v>-3.9696743266494652E-2</v>
      </c>
      <c r="I54" s="30">
        <f ca="1">H54-VLOOKUP(Settings!$K$3+Settings!$K$7,G$2:H$94,2,FALSE)</f>
        <v>-2.4079006898878714</v>
      </c>
    </row>
    <row r="55" spans="1:9" ht="18.600000000000001" customHeight="1">
      <c r="A55" s="25" t="s">
        <v>532</v>
      </c>
      <c r="B55" s="26" t="s">
        <v>85</v>
      </c>
      <c r="C55" s="127" t="s">
        <v>27</v>
      </c>
      <c r="D55" s="141">
        <f t="shared" ca="1" si="2"/>
        <v>54</v>
      </c>
      <c r="E55" s="30">
        <f ca="1">VLOOKUP(A55,Rankings!B1:H651,6,FALSE)+(RAND()*0.00001)</f>
        <v>309.71667458967198</v>
      </c>
      <c r="F55" s="30">
        <f ca="1">E55-VLOOKUP(Settings!$K$3+Settings!$K$7,D$2:E$94,2,FALSE)</f>
        <v>-57.633333458164145</v>
      </c>
      <c r="G55" s="141">
        <f t="shared" ca="1" si="3"/>
        <v>50</v>
      </c>
      <c r="H55" s="30">
        <f ca="1">VLOOKUP(A55,Rankings!B1:H651,7,FALSE)+(RAND()*0.00001)</f>
        <v>0.15436281048069073</v>
      </c>
      <c r="I55" s="30">
        <f ca="1">H55-VLOOKUP(Settings!$K$3+Settings!$K$7,G$2:H$94,2,FALSE)</f>
        <v>-2.2138411361406858</v>
      </c>
    </row>
    <row r="56" spans="1:9" ht="18.600000000000001" customHeight="1">
      <c r="A56" s="25" t="s">
        <v>556</v>
      </c>
      <c r="B56" s="26"/>
      <c r="C56" s="127" t="s">
        <v>27</v>
      </c>
      <c r="D56" s="141">
        <f t="shared" ca="1" si="2"/>
        <v>55</v>
      </c>
      <c r="E56" s="30">
        <f ca="1">VLOOKUP(A56,Rankings!B1:H651,6,FALSE)+(RAND()*0.00001)</f>
        <v>305.08333990877748</v>
      </c>
      <c r="F56" s="30">
        <f ca="1">E56-VLOOKUP(Settings!$K$3+Settings!$K$7,D$2:E$94,2,FALSE)</f>
        <v>-62.266668139058652</v>
      </c>
      <c r="G56" s="141">
        <f t="shared" ca="1" si="3"/>
        <v>53</v>
      </c>
      <c r="H56" s="30">
        <f ca="1">VLOOKUP(A56,Rankings!B1:H651,7,FALSE)+(RAND()*0.00001)</f>
        <v>-5.0187833423633706E-2</v>
      </c>
      <c r="I56" s="30">
        <f ca="1">H56-VLOOKUP(Settings!$K$3+Settings!$K$7,G$2:H$94,2,FALSE)</f>
        <v>-2.4183917800450105</v>
      </c>
    </row>
    <row r="57" spans="1:9" ht="18.600000000000001" customHeight="1">
      <c r="A57" s="25" t="s">
        <v>429</v>
      </c>
      <c r="B57" s="26" t="s">
        <v>225</v>
      </c>
      <c r="C57" s="127" t="s">
        <v>27</v>
      </c>
      <c r="D57" s="141">
        <f t="shared" ca="1" si="2"/>
        <v>56</v>
      </c>
      <c r="E57" s="30">
        <f ca="1">VLOOKUP(A57,Rankings!B1:H651,6,FALSE)+(RAND()*0.00001)</f>
        <v>294.55000385524443</v>
      </c>
      <c r="F57" s="30">
        <f ca="1">E57-VLOOKUP(Settings!$K$3+Settings!$K$7,D$2:E$94,2,FALSE)</f>
        <v>-72.8000041925917</v>
      </c>
      <c r="G57" s="141">
        <f t="shared" ca="1" si="3"/>
        <v>41</v>
      </c>
      <c r="H57" s="30">
        <f ca="1">VLOOKUP(A57,Rankings!B1:H651,7,FALSE)+(RAND()*0.00001)</f>
        <v>1.4214600295943742</v>
      </c>
      <c r="I57" s="30">
        <f ca="1">H57-VLOOKUP(Settings!$K$3+Settings!$K$7,G$2:H$94,2,FALSE)</f>
        <v>-0.94674391702700245</v>
      </c>
    </row>
    <row r="58" spans="1:9" ht="18.600000000000001" customHeight="1">
      <c r="A58" s="25" t="s">
        <v>548</v>
      </c>
      <c r="B58" s="26" t="s">
        <v>101</v>
      </c>
      <c r="C58" s="122" t="s">
        <v>11</v>
      </c>
      <c r="D58" s="141">
        <f t="shared" ca="1" si="2"/>
        <v>57</v>
      </c>
      <c r="E58" s="30">
        <f ca="1">VLOOKUP(A58,Rankings!B1:H651,6,FALSE)+(RAND()*0.00001)</f>
        <v>283.85000086603918</v>
      </c>
      <c r="F58" s="30">
        <f ca="1">E58-VLOOKUP(Settings!$K$3+Settings!$K$7,D$2:E$94,2,FALSE)</f>
        <v>-83.500007181796946</v>
      </c>
      <c r="G58" s="141">
        <f t="shared" ca="1" si="3"/>
        <v>57</v>
      </c>
      <c r="H58" s="30">
        <f ca="1">VLOOKUP(A58,Rankings!B1:H651,7,FALSE)+(RAND()*0.00001)</f>
        <v>-0.68953950953383902</v>
      </c>
      <c r="I58" s="30">
        <f ca="1">H58-VLOOKUP(Settings!$K$3+Settings!$K$7,G$2:H$94,2,FALSE)</f>
        <v>-3.0577434561552157</v>
      </c>
    </row>
    <row r="59" spans="1:9" ht="18.600000000000001" customHeight="1">
      <c r="A59" s="25" t="s">
        <v>553</v>
      </c>
      <c r="B59" s="26" t="s">
        <v>95</v>
      </c>
      <c r="C59" s="122" t="s">
        <v>11</v>
      </c>
      <c r="D59" s="141">
        <f t="shared" ca="1" si="2"/>
        <v>58</v>
      </c>
      <c r="E59" s="30">
        <f ca="1">VLOOKUP(A59,Rankings!B1:H651,6,FALSE)+(RAND()*0.00001)</f>
        <v>265.88334132473085</v>
      </c>
      <c r="F59" s="30">
        <f ca="1">E59-VLOOKUP(Settings!$K$3+Settings!$K$7,D$2:E$94,2,FALSE)</f>
        <v>-101.46666672310528</v>
      </c>
      <c r="G59" s="141">
        <f t="shared" ca="1" si="3"/>
        <v>60</v>
      </c>
      <c r="H59" s="30">
        <f ca="1">VLOOKUP(A59,Rankings!B1:H651,7,FALSE)+(RAND()*0.00001)</f>
        <v>-0.72502172180665247</v>
      </c>
      <c r="I59" s="30">
        <f ca="1">H59-VLOOKUP(Settings!$K$3+Settings!$K$7,G$2:H$94,2,FALSE)</f>
        <v>-3.0932256684280293</v>
      </c>
    </row>
    <row r="60" spans="1:9" ht="18.600000000000001" customHeight="1">
      <c r="A60" s="25" t="s">
        <v>670</v>
      </c>
      <c r="B60" s="26" t="s">
        <v>225</v>
      </c>
      <c r="C60" s="127" t="s">
        <v>27</v>
      </c>
      <c r="D60" s="141">
        <f t="shared" ca="1" si="2"/>
        <v>59</v>
      </c>
      <c r="E60" s="30">
        <f ca="1">VLOOKUP(A60,Rankings!B1:H651,6,FALSE)+(RAND()*0.00001)</f>
        <v>257.45000438738015</v>
      </c>
      <c r="F60" s="30">
        <f ca="1">E60-VLOOKUP(Settings!$K$3+Settings!$K$7,D$2:E$94,2,FALSE)</f>
        <v>-109.90000366045598</v>
      </c>
      <c r="G60" s="141">
        <f t="shared" ca="1" si="3"/>
        <v>69</v>
      </c>
      <c r="H60" s="30">
        <f ca="1">VLOOKUP(A60,Rankings!B1:H651,7,FALSE)+(RAND()*0.00001)</f>
        <v>-1.7589734949206091</v>
      </c>
      <c r="I60" s="30">
        <f ca="1">H60-VLOOKUP(Settings!$K$3+Settings!$K$7,G$2:H$94,2,FALSE)</f>
        <v>-4.1271774415419857</v>
      </c>
    </row>
    <row r="61" spans="1:9" ht="18.600000000000001" customHeight="1">
      <c r="A61" s="25" t="s">
        <v>640</v>
      </c>
      <c r="B61" s="26" t="s">
        <v>99</v>
      </c>
      <c r="C61" s="127" t="s">
        <v>27</v>
      </c>
      <c r="D61" s="141">
        <f t="shared" ca="1" si="2"/>
        <v>60</v>
      </c>
      <c r="E61" s="30">
        <f ca="1">VLOOKUP(A61,Rankings!B1:H651,6,FALSE)+(RAND()*0.00001)</f>
        <v>254.15000708621073</v>
      </c>
      <c r="F61" s="30">
        <f ca="1">E61-VLOOKUP(Settings!$K$3+Settings!$K$7,D$2:E$94,2,FALSE)</f>
        <v>-113.20000096162539</v>
      </c>
      <c r="G61" s="141">
        <f t="shared" ca="1" si="3"/>
        <v>62</v>
      </c>
      <c r="H61" s="30">
        <f ca="1">VLOOKUP(A61,Rankings!B1:H651,7,FALSE)+(RAND()*0.00001)</f>
        <v>-1.1932555646197531</v>
      </c>
      <c r="I61" s="30">
        <f ca="1">H61-VLOOKUP(Settings!$K$3+Settings!$K$7,G$2:H$94,2,FALSE)</f>
        <v>-3.5614595112411296</v>
      </c>
    </row>
    <row r="62" spans="1:9" ht="18.600000000000001" customHeight="1">
      <c r="A62" s="25" t="s">
        <v>689</v>
      </c>
      <c r="B62" s="26" t="s">
        <v>122</v>
      </c>
      <c r="C62" s="127" t="s">
        <v>27</v>
      </c>
      <c r="D62" s="141">
        <f t="shared" ca="1" si="2"/>
        <v>61</v>
      </c>
      <c r="E62" s="30">
        <f ca="1">VLOOKUP(A62,Rankings!B1:H651,6,FALSE)+(RAND()*0.00001)</f>
        <v>251.81666822022154</v>
      </c>
      <c r="F62" s="30">
        <f ca="1">E62-VLOOKUP(Settings!$K$3+Settings!$K$7,D$2:E$94,2,FALSE)</f>
        <v>-115.53333982761458</v>
      </c>
      <c r="G62" s="141">
        <f t="shared" ca="1" si="3"/>
        <v>74</v>
      </c>
      <c r="H62" s="30">
        <f ca="1">VLOOKUP(A62,Rankings!B1:H651,7,FALSE)+(RAND()*0.00001)</f>
        <v>-2.2035837471781812</v>
      </c>
      <c r="I62" s="30">
        <f ca="1">H62-VLOOKUP(Settings!$K$3+Settings!$K$7,G$2:H$94,2,FALSE)</f>
        <v>-4.5717876937995579</v>
      </c>
    </row>
    <row r="63" spans="1:9" ht="18.600000000000001" customHeight="1">
      <c r="A63" s="25" t="s">
        <v>647</v>
      </c>
      <c r="B63" s="26" t="s">
        <v>142</v>
      </c>
      <c r="C63" s="122" t="s">
        <v>11</v>
      </c>
      <c r="D63" s="141">
        <f t="shared" ca="1" si="2"/>
        <v>62</v>
      </c>
      <c r="E63" s="30">
        <f ca="1">VLOOKUP(A63,Rankings!B1:H651,6,FALSE)+(RAND()*0.00001)</f>
        <v>249.23333670923009</v>
      </c>
      <c r="F63" s="30">
        <f ca="1">E63-VLOOKUP(Settings!$K$3+Settings!$K$7,D$2:E$94,2,FALSE)</f>
        <v>-118.11667133860604</v>
      </c>
      <c r="G63" s="141">
        <f t="shared" ca="1" si="3"/>
        <v>72</v>
      </c>
      <c r="H63" s="30">
        <f ca="1">VLOOKUP(A63,Rankings!B1:H651,7,FALSE)+(RAND()*0.00001)</f>
        <v>-1.9876756205938606</v>
      </c>
      <c r="I63" s="30">
        <f ca="1">H63-VLOOKUP(Settings!$K$3+Settings!$K$7,G$2:H$94,2,FALSE)</f>
        <v>-4.3558795672152373</v>
      </c>
    </row>
    <row r="64" spans="1:9" ht="18.600000000000001" customHeight="1">
      <c r="A64" s="25" t="s">
        <v>624</v>
      </c>
      <c r="B64" s="26" t="s">
        <v>125</v>
      </c>
      <c r="C64" s="122" t="s">
        <v>11</v>
      </c>
      <c r="D64" s="141">
        <f t="shared" ca="1" si="2"/>
        <v>63</v>
      </c>
      <c r="E64" s="30">
        <f ca="1">VLOOKUP(A64,Rankings!B1:H651,6,FALSE)+(RAND()*0.00001)</f>
        <v>247.36666809259123</v>
      </c>
      <c r="F64" s="30">
        <f ca="1">E64-VLOOKUP(Settings!$K$3+Settings!$K$7,D$2:E$94,2,FALSE)</f>
        <v>-119.9833399552449</v>
      </c>
      <c r="G64" s="141">
        <f t="shared" ca="1" si="3"/>
        <v>65</v>
      </c>
      <c r="H64" s="30">
        <f ca="1">VLOOKUP(A64,Rankings!B1:H651,7,FALSE)+(RAND()*0.00001)</f>
        <v>-1.5715105136206586</v>
      </c>
      <c r="I64" s="30">
        <f ca="1">H64-VLOOKUP(Settings!$K$3+Settings!$K$7,G$2:H$94,2,FALSE)</f>
        <v>-3.9397144602420351</v>
      </c>
    </row>
    <row r="65" spans="1:9" ht="18.600000000000001" customHeight="1">
      <c r="A65" s="25" t="s">
        <v>660</v>
      </c>
      <c r="B65" s="26" t="s">
        <v>82</v>
      </c>
      <c r="C65" s="127" t="s">
        <v>27</v>
      </c>
      <c r="D65" s="141">
        <f t="shared" ca="1" si="2"/>
        <v>64</v>
      </c>
      <c r="E65" s="30">
        <f ca="1">VLOOKUP(A65,Rankings!B1:H651,6,FALSE)+(RAND()*0.00001)</f>
        <v>245.18333449742889</v>
      </c>
      <c r="F65" s="30">
        <f ca="1">E65-VLOOKUP(Settings!$K$3+Settings!$K$7,D$2:E$94,2,FALSE)</f>
        <v>-122.16667355040724</v>
      </c>
      <c r="G65" s="141">
        <f t="shared" ca="1" si="3"/>
        <v>66</v>
      </c>
      <c r="H65" s="30">
        <f ca="1">VLOOKUP(A65,Rankings!B1:H651,7,FALSE)+(RAND()*0.00001)</f>
        <v>-1.6118307205511937</v>
      </c>
      <c r="I65" s="30">
        <f ca="1">H65-VLOOKUP(Settings!$K$3+Settings!$K$7,G$2:H$94,2,FALSE)</f>
        <v>-3.9800346671725704</v>
      </c>
    </row>
    <row r="66" spans="1:9" ht="18.600000000000001" customHeight="1">
      <c r="A66" s="25" t="s">
        <v>583</v>
      </c>
      <c r="B66" s="26" t="s">
        <v>69</v>
      </c>
      <c r="C66" s="127" t="s">
        <v>27</v>
      </c>
      <c r="D66" s="141">
        <f t="shared" ref="D66:D94" ca="1" si="4">RANK(E66,E$2:E$94)</f>
        <v>65</v>
      </c>
      <c r="E66" s="30">
        <f ca="1">VLOOKUP(A66,Rankings!B1:H651,6,FALSE)+(RAND()*0.00001)</f>
        <v>239.18333776006304</v>
      </c>
      <c r="F66" s="30">
        <f ca="1">E66-VLOOKUP(Settings!$K$3+Settings!$K$7,D$2:E$94,2,FALSE)</f>
        <v>-128.16667028777309</v>
      </c>
      <c r="G66" s="141">
        <f t="shared" ref="G66:G94" ca="1" si="5">RANK(H66,H$2:H$94)</f>
        <v>55</v>
      </c>
      <c r="H66" s="30">
        <f ca="1">VLOOKUP(A66,Rankings!B1:H651,7,FALSE)+(RAND()*0.00001)</f>
        <v>-0.48788493287725204</v>
      </c>
      <c r="I66" s="30">
        <f ca="1">H66-VLOOKUP(Settings!$K$3+Settings!$K$7,G$2:H$94,2,FALSE)</f>
        <v>-2.8560888794986288</v>
      </c>
    </row>
    <row r="67" spans="1:9" ht="18.600000000000001" customHeight="1">
      <c r="A67" s="25" t="s">
        <v>563</v>
      </c>
      <c r="B67" s="26" t="s">
        <v>105</v>
      </c>
      <c r="C67" s="122" t="s">
        <v>11</v>
      </c>
      <c r="D67" s="141">
        <f t="shared" ca="1" si="4"/>
        <v>66</v>
      </c>
      <c r="E67" s="30">
        <f ca="1">VLOOKUP(A67,Rankings!B1:H651,6,FALSE)+(RAND()*0.00001)</f>
        <v>235.66666982564061</v>
      </c>
      <c r="F67" s="30">
        <f ca="1">E67-VLOOKUP(Settings!$K$3+Settings!$K$7,D$2:E$94,2,FALSE)</f>
        <v>-131.68333822219552</v>
      </c>
      <c r="G67" s="141">
        <f t="shared" ca="1" si="5"/>
        <v>61</v>
      </c>
      <c r="H67" s="30">
        <f ca="1">VLOOKUP(A67,Rankings!B1:H651,7,FALSE)+(RAND()*0.00001)</f>
        <v>-0.85061527207107779</v>
      </c>
      <c r="I67" s="30">
        <f ca="1">H67-VLOOKUP(Settings!$K$3+Settings!$K$7,G$2:H$94,2,FALSE)</f>
        <v>-3.2188192186924542</v>
      </c>
    </row>
    <row r="68" spans="1:9" ht="18.600000000000001" customHeight="1">
      <c r="A68" s="25" t="s">
        <v>645</v>
      </c>
      <c r="B68" s="26"/>
      <c r="C68" s="127" t="s">
        <v>27</v>
      </c>
      <c r="D68" s="141">
        <f t="shared" ca="1" si="4"/>
        <v>67</v>
      </c>
      <c r="E68" s="30">
        <f ca="1">VLOOKUP(A68,Rankings!B1:H651,6,FALSE)+(RAND()*0.00001)</f>
        <v>235.11667543026914</v>
      </c>
      <c r="F68" s="30">
        <f ca="1">E68-VLOOKUP(Settings!$K$3+Settings!$K$7,D$2:E$94,2,FALSE)</f>
        <v>-132.23333261756699</v>
      </c>
      <c r="G68" s="141">
        <f t="shared" ca="1" si="5"/>
        <v>64</v>
      </c>
      <c r="H68" s="30">
        <f ca="1">VLOOKUP(A68,Rankings!B1:H651,7,FALSE)+(RAND()*0.00001)</f>
        <v>-1.2786447873689448</v>
      </c>
      <c r="I68" s="30">
        <f ca="1">H68-VLOOKUP(Settings!$K$3+Settings!$K$7,G$2:H$94,2,FALSE)</f>
        <v>-3.6468487339903213</v>
      </c>
    </row>
    <row r="69" spans="1:9" ht="18.600000000000001" customHeight="1">
      <c r="A69" s="25" t="s">
        <v>629</v>
      </c>
      <c r="B69" s="26" t="s">
        <v>72</v>
      </c>
      <c r="C69" s="122" t="s">
        <v>11</v>
      </c>
      <c r="D69" s="141">
        <f t="shared" ca="1" si="4"/>
        <v>68</v>
      </c>
      <c r="E69" s="30">
        <f ca="1">VLOOKUP(A69,Rankings!B1:H651,6,FALSE)+(RAND()*0.00001)</f>
        <v>230.68333817591176</v>
      </c>
      <c r="F69" s="30">
        <f ca="1">E69-VLOOKUP(Settings!$K$3+Settings!$K$7,D$2:E$94,2,FALSE)</f>
        <v>-136.66666987192437</v>
      </c>
      <c r="G69" s="141">
        <f t="shared" ca="1" si="5"/>
        <v>68</v>
      </c>
      <c r="H69" s="30">
        <f ca="1">VLOOKUP(A69,Rankings!B1:H651,7,FALSE)+(RAND()*0.00001)</f>
        <v>-1.6700171457715232</v>
      </c>
      <c r="I69" s="30">
        <f ca="1">H69-VLOOKUP(Settings!$K$3+Settings!$K$7,G$2:H$94,2,FALSE)</f>
        <v>-4.0382210923928996</v>
      </c>
    </row>
    <row r="70" spans="1:9" ht="18.600000000000001" customHeight="1">
      <c r="A70" s="25" t="s">
        <v>677</v>
      </c>
      <c r="B70" s="26" t="s">
        <v>158</v>
      </c>
      <c r="C70" s="127" t="s">
        <v>27</v>
      </c>
      <c r="D70" s="141">
        <f t="shared" ca="1" si="4"/>
        <v>69</v>
      </c>
      <c r="E70" s="30">
        <f ca="1">VLOOKUP(A70,Rankings!B1:H651,6,FALSE)+(RAND()*0.00001)</f>
        <v>230.4833395288382</v>
      </c>
      <c r="F70" s="30">
        <f ca="1">E70-VLOOKUP(Settings!$K$3+Settings!$K$7,D$2:E$94,2,FALSE)</f>
        <v>-136.86666851899793</v>
      </c>
      <c r="G70" s="141">
        <f t="shared" ca="1" si="5"/>
        <v>70</v>
      </c>
      <c r="H70" s="30">
        <f ca="1">VLOOKUP(A70,Rankings!B1:H651,7,FALSE)+(RAND()*0.00001)</f>
        <v>-1.8612227086097137</v>
      </c>
      <c r="I70" s="30">
        <f ca="1">H70-VLOOKUP(Settings!$K$3+Settings!$K$7,G$2:H$94,2,FALSE)</f>
        <v>-4.2294266552310908</v>
      </c>
    </row>
    <row r="71" spans="1:9" ht="18.600000000000001" customHeight="1">
      <c r="A71" s="25" t="s">
        <v>643</v>
      </c>
      <c r="B71" s="26" t="s">
        <v>103</v>
      </c>
      <c r="C71" s="122" t="s">
        <v>11</v>
      </c>
      <c r="D71" s="141">
        <f t="shared" ca="1" si="4"/>
        <v>70</v>
      </c>
      <c r="E71" s="30">
        <f ca="1">VLOOKUP(A71,Rankings!B1:H651,6,FALSE)+(RAND()*0.00001)</f>
        <v>228.75000420379598</v>
      </c>
      <c r="F71" s="30">
        <f ca="1">E71-VLOOKUP(Settings!$K$3+Settings!$K$7,D$2:E$94,2,FALSE)</f>
        <v>-138.60000384404015</v>
      </c>
      <c r="G71" s="141">
        <f t="shared" ca="1" si="5"/>
        <v>71</v>
      </c>
      <c r="H71" s="30">
        <f ca="1">VLOOKUP(A71,Rankings!B1:H651,7,FALSE)+(RAND()*0.00001)</f>
        <v>-1.9153315465939083</v>
      </c>
      <c r="I71" s="30">
        <f ca="1">H71-VLOOKUP(Settings!$K$3+Settings!$K$7,G$2:H$94,2,FALSE)</f>
        <v>-4.2835354932152852</v>
      </c>
    </row>
    <row r="72" spans="1:9" ht="18.600000000000001" customHeight="1">
      <c r="A72" s="25" t="s">
        <v>549</v>
      </c>
      <c r="B72" s="26" t="s">
        <v>136</v>
      </c>
      <c r="C72" s="122" t="s">
        <v>11</v>
      </c>
      <c r="D72" s="141">
        <f t="shared" ca="1" si="4"/>
        <v>71</v>
      </c>
      <c r="E72" s="30">
        <f ca="1">VLOOKUP(A72,Rankings!B1:H651,6,FALSE)+(RAND()*0.00001)</f>
        <v>228.40000473432576</v>
      </c>
      <c r="F72" s="30">
        <f ca="1">E72-VLOOKUP(Settings!$K$3+Settings!$K$7,D$2:E$94,2,FALSE)</f>
        <v>-138.95000331351036</v>
      </c>
      <c r="G72" s="141">
        <f t="shared" ca="1" si="5"/>
        <v>58</v>
      </c>
      <c r="H72" s="30">
        <f ca="1">VLOOKUP(A72,Rankings!B1:H651,7,FALSE)+(RAND()*0.00001)</f>
        <v>-0.68961055635920521</v>
      </c>
      <c r="I72" s="30">
        <f ca="1">H72-VLOOKUP(Settings!$K$3+Settings!$K$7,G$2:H$94,2,FALSE)</f>
        <v>-3.0578145029805821</v>
      </c>
    </row>
    <row r="73" spans="1:9" ht="18.600000000000001" customHeight="1">
      <c r="A73" s="25" t="s">
        <v>594</v>
      </c>
      <c r="B73" s="26" t="s">
        <v>105</v>
      </c>
      <c r="C73" s="122" t="s">
        <v>11</v>
      </c>
      <c r="D73" s="141">
        <f t="shared" ca="1" si="4"/>
        <v>72</v>
      </c>
      <c r="E73" s="30">
        <f ca="1">VLOOKUP(A73,Rankings!B1:H651,6,FALSE)+(RAND()*0.00001)</f>
        <v>225.86667437665079</v>
      </c>
      <c r="F73" s="30">
        <f ca="1">E73-VLOOKUP(Settings!$K$3+Settings!$K$7,D$2:E$94,2,FALSE)</f>
        <v>-141.48333367118533</v>
      </c>
      <c r="G73" s="141">
        <f t="shared" ca="1" si="5"/>
        <v>63</v>
      </c>
      <c r="H73" s="30">
        <f ca="1">VLOOKUP(A73,Rankings!B1:H651,7,FALSE)+(RAND()*0.00001)</f>
        <v>-1.2293047940829256</v>
      </c>
      <c r="I73" s="30">
        <f ca="1">H73-VLOOKUP(Settings!$K$3+Settings!$K$7,G$2:H$94,2,FALSE)</f>
        <v>-3.5975087407043023</v>
      </c>
    </row>
    <row r="74" spans="1:9" ht="18.600000000000001" customHeight="1">
      <c r="A74" s="25" t="s">
        <v>725</v>
      </c>
      <c r="B74" s="26" t="s">
        <v>142</v>
      </c>
      <c r="C74" s="127" t="s">
        <v>27</v>
      </c>
      <c r="D74" s="141">
        <f t="shared" ca="1" si="4"/>
        <v>73</v>
      </c>
      <c r="E74" s="30">
        <f ca="1">VLOOKUP(A74,Rankings!B1:H651,6,FALSE)+(RAND()*0.00001)</f>
        <v>221.91667104769917</v>
      </c>
      <c r="F74" s="30">
        <f ca="1">E74-VLOOKUP(Settings!$K$3+Settings!$K$7,D$2:E$94,2,FALSE)</f>
        <v>-145.43333700013696</v>
      </c>
      <c r="G74" s="141">
        <f t="shared" ca="1" si="5"/>
        <v>80</v>
      </c>
      <c r="H74" s="30">
        <f ca="1">VLOOKUP(A74,Rankings!B1:H651,7,FALSE)+(RAND()*0.00001)</f>
        <v>-3.7159740057690689</v>
      </c>
      <c r="I74" s="30">
        <f ca="1">H74-VLOOKUP(Settings!$K$3+Settings!$K$7,G$2:H$94,2,FALSE)</f>
        <v>-6.084177952390446</v>
      </c>
    </row>
    <row r="75" spans="1:9" ht="18.600000000000001" customHeight="1">
      <c r="A75" s="25" t="s">
        <v>700</v>
      </c>
      <c r="B75" s="26" t="s">
        <v>69</v>
      </c>
      <c r="C75" s="127" t="s">
        <v>27</v>
      </c>
      <c r="D75" s="141">
        <f t="shared" ca="1" si="4"/>
        <v>74</v>
      </c>
      <c r="E75" s="30">
        <f ca="1">VLOOKUP(A75,Rankings!B1:H651,6,FALSE)+(RAND()*0.00001)</f>
        <v>202.45000147785879</v>
      </c>
      <c r="F75" s="30">
        <f ca="1">E75-VLOOKUP(Settings!$K$3+Settings!$K$7,D$2:E$94,2,FALSE)</f>
        <v>-164.90000656997734</v>
      </c>
      <c r="G75" s="141">
        <f t="shared" ca="1" si="5"/>
        <v>76</v>
      </c>
      <c r="H75" s="30">
        <f ca="1">VLOOKUP(A75,Rankings!B1:H651,7,FALSE)+(RAND()*0.00001)</f>
        <v>-2.5029476700282549</v>
      </c>
      <c r="I75" s="30">
        <f ca="1">H75-VLOOKUP(Settings!$K$3+Settings!$K$7,G$2:H$94,2,FALSE)</f>
        <v>-4.871151616649632</v>
      </c>
    </row>
    <row r="76" spans="1:9" ht="18.600000000000001" customHeight="1">
      <c r="A76" s="25" t="s">
        <v>674</v>
      </c>
      <c r="B76" s="26" t="s">
        <v>85</v>
      </c>
      <c r="C76" s="122" t="s">
        <v>11</v>
      </c>
      <c r="D76" s="141">
        <f t="shared" ca="1" si="4"/>
        <v>75</v>
      </c>
      <c r="E76" s="30">
        <f ca="1">VLOOKUP(A76,Rankings!B1:H651,6,FALSE)+(RAND()*0.00001)</f>
        <v>202.36666781241934</v>
      </c>
      <c r="F76" s="30">
        <f ca="1">E76-VLOOKUP(Settings!$K$3+Settings!$K$7,D$2:E$94,2,FALSE)</f>
        <v>-164.98334023541679</v>
      </c>
      <c r="G76" s="141">
        <f t="shared" ca="1" si="5"/>
        <v>77</v>
      </c>
      <c r="H76" s="30">
        <f ca="1">VLOOKUP(A76,Rankings!B1:H651,7,FALSE)+(RAND()*0.00001)</f>
        <v>-2.5290509079672945</v>
      </c>
      <c r="I76" s="30">
        <f ca="1">H76-VLOOKUP(Settings!$K$3+Settings!$K$7,G$2:H$94,2,FALSE)</f>
        <v>-4.8972548545886712</v>
      </c>
    </row>
    <row r="77" spans="1:9" ht="18.600000000000001" customHeight="1">
      <c r="A77" s="25" t="s">
        <v>661</v>
      </c>
      <c r="B77" s="26" t="s">
        <v>69</v>
      </c>
      <c r="C77" s="127" t="s">
        <v>27</v>
      </c>
      <c r="D77" s="141">
        <f t="shared" ca="1" si="4"/>
        <v>76</v>
      </c>
      <c r="E77" s="30">
        <f ca="1">VLOOKUP(A77,Rankings!B1:H651,6,FALSE)+(RAND()*0.00001)</f>
        <v>202.22500847963147</v>
      </c>
      <c r="F77" s="30">
        <f ca="1">E77-VLOOKUP(Settings!$K$3+Settings!$K$7,D$2:E$94,2,FALSE)</f>
        <v>-165.12499956820466</v>
      </c>
      <c r="G77" s="141">
        <f t="shared" ca="1" si="5"/>
        <v>67</v>
      </c>
      <c r="H77" s="30">
        <f ca="1">VLOOKUP(A77,Rankings!B1:H651,7,FALSE)+(RAND()*0.00001)</f>
        <v>-1.6124915179930763</v>
      </c>
      <c r="I77" s="30">
        <f ca="1">H77-VLOOKUP(Settings!$K$3+Settings!$K$7,G$2:H$94,2,FALSE)</f>
        <v>-3.980695464614453</v>
      </c>
    </row>
    <row r="78" spans="1:9" ht="18.600000000000001" customHeight="1">
      <c r="A78" s="25" t="s">
        <v>691</v>
      </c>
      <c r="B78" s="26" t="s">
        <v>101</v>
      </c>
      <c r="C78" s="127" t="s">
        <v>27</v>
      </c>
      <c r="D78" s="141">
        <f t="shared" ca="1" si="4"/>
        <v>77</v>
      </c>
      <c r="E78" s="30">
        <f ca="1">VLOOKUP(A78,Rankings!B1:H651,6,FALSE)+(RAND()*0.00001)</f>
        <v>197.95000690299054</v>
      </c>
      <c r="F78" s="30">
        <f ca="1">E78-VLOOKUP(Settings!$K$3+Settings!$K$7,D$2:E$94,2,FALSE)</f>
        <v>-169.40000114484559</v>
      </c>
      <c r="G78" s="141">
        <f t="shared" ca="1" si="5"/>
        <v>75</v>
      </c>
      <c r="H78" s="30">
        <f ca="1">VLOOKUP(A78,Rankings!B1:H651,7,FALSE)+(RAND()*0.00001)</f>
        <v>-2.2450408604630301</v>
      </c>
      <c r="I78" s="30">
        <f ca="1">H78-VLOOKUP(Settings!$K$3+Settings!$K$7,G$2:H$94,2,FALSE)</f>
        <v>-4.6132448070844063</v>
      </c>
    </row>
    <row r="79" spans="1:9" ht="18.600000000000001" customHeight="1">
      <c r="A79" s="25" t="s">
        <v>713</v>
      </c>
      <c r="B79" s="26" t="s">
        <v>79</v>
      </c>
      <c r="C79" s="127" t="s">
        <v>27</v>
      </c>
      <c r="D79" s="141">
        <f t="shared" ca="1" si="4"/>
        <v>78</v>
      </c>
      <c r="E79" s="30">
        <f ca="1">VLOOKUP(A79,Rankings!B1:H651,6,FALSE)+(RAND()*0.00001)</f>
        <v>189.88334257469108</v>
      </c>
      <c r="F79" s="30">
        <f ca="1">E79-VLOOKUP(Settings!$K$3+Settings!$K$7,D$2:E$94,2,FALSE)</f>
        <v>-177.46666547314504</v>
      </c>
      <c r="G79" s="141">
        <f t="shared" ca="1" si="5"/>
        <v>78</v>
      </c>
      <c r="H79" s="30">
        <f ca="1">VLOOKUP(A79,Rankings!B1:H651,7,FALSE)+(RAND()*0.00001)</f>
        <v>-3.0220820286150869</v>
      </c>
      <c r="I79" s="30">
        <f ca="1">H79-VLOOKUP(Settings!$K$3+Settings!$K$7,G$2:H$94,2,FALSE)</f>
        <v>-5.3902859752364636</v>
      </c>
    </row>
    <row r="80" spans="1:9" ht="18.600000000000001" customHeight="1">
      <c r="A80" s="25" t="s">
        <v>687</v>
      </c>
      <c r="B80" s="26" t="s">
        <v>158</v>
      </c>
      <c r="C80" s="127" t="s">
        <v>27</v>
      </c>
      <c r="D80" s="141">
        <f t="shared" ca="1" si="4"/>
        <v>79</v>
      </c>
      <c r="E80" s="30">
        <f ca="1">VLOOKUP(A80,Rankings!B1:H651,6,FALSE)+(RAND()*0.00001)</f>
        <v>183.85000535122524</v>
      </c>
      <c r="F80" s="30">
        <f ca="1">E80-VLOOKUP(Settings!$K$3+Settings!$K$7,D$2:E$94,2,FALSE)</f>
        <v>-183.50000269661089</v>
      </c>
      <c r="G80" s="141">
        <f t="shared" ca="1" si="5"/>
        <v>73</v>
      </c>
      <c r="H80" s="30">
        <f ca="1">VLOOKUP(A80,Rankings!B1:H651,7,FALSE)+(RAND()*0.00001)</f>
        <v>-2.1278473295067473</v>
      </c>
      <c r="I80" s="30">
        <f ca="1">H80-VLOOKUP(Settings!$K$3+Settings!$K$7,G$2:H$94,2,FALSE)</f>
        <v>-4.4960512761281244</v>
      </c>
    </row>
    <row r="81" spans="1:9" ht="18.600000000000001" customHeight="1">
      <c r="A81" s="25" t="s">
        <v>702</v>
      </c>
      <c r="B81" s="26" t="s">
        <v>74</v>
      </c>
      <c r="C81" s="122" t="s">
        <v>11</v>
      </c>
      <c r="D81" s="141">
        <f t="shared" ca="1" si="4"/>
        <v>80</v>
      </c>
      <c r="E81" s="30">
        <f ca="1">VLOOKUP(A81,Rankings!B1:H651,6,FALSE)+(RAND()*0.00001)</f>
        <v>182.36666682291283</v>
      </c>
      <c r="F81" s="30">
        <f ca="1">E81-VLOOKUP(Settings!$K$3+Settings!$K$7,D$2:E$94,2,FALSE)</f>
        <v>-184.98334122492329</v>
      </c>
      <c r="G81" s="141">
        <f t="shared" ca="1" si="5"/>
        <v>79</v>
      </c>
      <c r="H81" s="30">
        <f ca="1">VLOOKUP(A81,Rankings!B1:H651,7,FALSE)+(RAND()*0.00001)</f>
        <v>-3.2370948731103533</v>
      </c>
      <c r="I81" s="30">
        <f ca="1">H81-VLOOKUP(Settings!$K$3+Settings!$K$7,G$2:H$94,2,FALSE)</f>
        <v>-5.6052988197317299</v>
      </c>
    </row>
    <row r="82" spans="1:9" ht="18.600000000000001" customHeight="1">
      <c r="A82" s="25" t="s">
        <v>743</v>
      </c>
      <c r="B82" s="26" t="s">
        <v>103</v>
      </c>
      <c r="C82" s="127" t="s">
        <v>27</v>
      </c>
      <c r="D82" s="141">
        <f t="shared" ca="1" si="4"/>
        <v>81</v>
      </c>
      <c r="E82" s="30">
        <f ca="1">VLOOKUP(A82,Rankings!B1:H651,6,FALSE)+(RAND()*0.00001)</f>
        <v>161.43333338552677</v>
      </c>
      <c r="F82" s="30">
        <f ca="1">E82-VLOOKUP(Settings!$K$3+Settings!$K$7,D$2:E$94,2,FALSE)</f>
        <v>-205.91667466230936</v>
      </c>
      <c r="G82" s="141">
        <f t="shared" ca="1" si="5"/>
        <v>89</v>
      </c>
      <c r="H82" s="30">
        <f ca="1">VLOOKUP(A82,Rankings!B1:H651,7,FALSE)+(RAND()*0.00001)</f>
        <v>-5.7266289084083173</v>
      </c>
      <c r="I82" s="30">
        <f ca="1">H82-VLOOKUP(Settings!$K$3+Settings!$K$7,G$2:H$94,2,FALSE)</f>
        <v>-8.0948328550296935</v>
      </c>
    </row>
    <row r="83" spans="1:9" ht="18.600000000000001" customHeight="1">
      <c r="A83" s="25" t="s">
        <v>723</v>
      </c>
      <c r="B83" s="26" t="s">
        <v>260</v>
      </c>
      <c r="C83" s="122" t="s">
        <v>11</v>
      </c>
      <c r="D83" s="141">
        <f t="shared" ca="1" si="4"/>
        <v>82</v>
      </c>
      <c r="E83" s="30">
        <f ca="1">VLOOKUP(A83,Rankings!B1:H651,6,FALSE)+(RAND()*0.00001)</f>
        <v>152.93333889211505</v>
      </c>
      <c r="F83" s="30">
        <f ca="1">E83-VLOOKUP(Settings!$K$3+Settings!$K$7,D$2:E$94,2,FALSE)</f>
        <v>-214.41666915572108</v>
      </c>
      <c r="G83" s="141">
        <f t="shared" ca="1" si="5"/>
        <v>83</v>
      </c>
      <c r="H83" s="30">
        <f ca="1">VLOOKUP(A83,Rankings!B1:H651,7,FALSE)+(RAND()*0.00001)</f>
        <v>-4.2981036739703882</v>
      </c>
      <c r="I83" s="30">
        <f ca="1">H83-VLOOKUP(Settings!$K$3+Settings!$K$7,G$2:H$94,2,FALSE)</f>
        <v>-6.6663076205917644</v>
      </c>
    </row>
    <row r="84" spans="1:9" ht="18.600000000000001" customHeight="1">
      <c r="A84" s="25" t="s">
        <v>720</v>
      </c>
      <c r="B84" s="26" t="s">
        <v>116</v>
      </c>
      <c r="C84" s="122" t="s">
        <v>11</v>
      </c>
      <c r="D84" s="141">
        <f t="shared" ca="1" si="4"/>
        <v>83</v>
      </c>
      <c r="E84" s="30">
        <f ca="1">VLOOKUP(A84,Rankings!B1:H651,6,FALSE)+(RAND()*0.00001)</f>
        <v>147.61667481402509</v>
      </c>
      <c r="F84" s="30">
        <f ca="1">E84-VLOOKUP(Settings!$K$3+Settings!$K$7,D$2:E$94,2,FALSE)</f>
        <v>-219.73333323381104</v>
      </c>
      <c r="G84" s="141">
        <f t="shared" ca="1" si="5"/>
        <v>81</v>
      </c>
      <c r="H84" s="30">
        <f ca="1">VLOOKUP(A84,Rankings!B1:H651,7,FALSE)+(RAND()*0.00001)</f>
        <v>-4.0789654004522156</v>
      </c>
      <c r="I84" s="30">
        <f ca="1">H84-VLOOKUP(Settings!$K$3+Settings!$K$7,G$2:H$94,2,FALSE)</f>
        <v>-6.4471693470735918</v>
      </c>
    </row>
    <row r="85" spans="1:9" ht="18.600000000000001" customHeight="1">
      <c r="A85" s="25" t="s">
        <v>742</v>
      </c>
      <c r="B85" s="26" t="s">
        <v>125</v>
      </c>
      <c r="C85" s="127" t="s">
        <v>27</v>
      </c>
      <c r="D85" s="141">
        <f t="shared" ca="1" si="4"/>
        <v>84</v>
      </c>
      <c r="E85" s="30">
        <f ca="1">VLOOKUP(A85,Rankings!B1:H651,6,FALSE)+(RAND()*0.00001)</f>
        <v>144.8333376218593</v>
      </c>
      <c r="F85" s="30">
        <f ca="1">E85-VLOOKUP(Settings!$K$3+Settings!$K$7,D$2:E$94,2,FALSE)</f>
        <v>-222.51667042597683</v>
      </c>
      <c r="G85" s="141">
        <f t="shared" ca="1" si="5"/>
        <v>87</v>
      </c>
      <c r="H85" s="30">
        <f ca="1">VLOOKUP(A85,Rankings!B1:H651,7,FALSE)+(RAND()*0.00001)</f>
        <v>-5.6346906910317296</v>
      </c>
      <c r="I85" s="30">
        <f ca="1">H85-VLOOKUP(Settings!$K$3+Settings!$K$7,G$2:H$94,2,FALSE)</f>
        <v>-8.0028946376531067</v>
      </c>
    </row>
    <row r="86" spans="1:9" ht="18.600000000000001" customHeight="1">
      <c r="A86" s="25" t="s">
        <v>722</v>
      </c>
      <c r="B86" s="26" t="s">
        <v>92</v>
      </c>
      <c r="C86" s="122" t="s">
        <v>11</v>
      </c>
      <c r="D86" s="141">
        <f t="shared" ca="1" si="4"/>
        <v>85</v>
      </c>
      <c r="E86" s="30">
        <f ca="1">VLOOKUP(A86,Rankings!B1:H651,6,FALSE)+(RAND()*0.00001)</f>
        <v>131.66667469339723</v>
      </c>
      <c r="F86" s="30">
        <f ca="1">E86-VLOOKUP(Settings!$K$3+Settings!$K$7,D$2:E$94,2,FALSE)</f>
        <v>-235.6833333544389</v>
      </c>
      <c r="G86" s="141">
        <f t="shared" ca="1" si="5"/>
        <v>82</v>
      </c>
      <c r="H86" s="30">
        <f ca="1">VLOOKUP(A86,Rankings!B1:H651,7,FALSE)+(RAND()*0.00001)</f>
        <v>-4.0859743533887096</v>
      </c>
      <c r="I86" s="30">
        <f ca="1">H86-VLOOKUP(Settings!$K$3+Settings!$K$7,G$2:H$94,2,FALSE)</f>
        <v>-6.4541783000100867</v>
      </c>
    </row>
    <row r="87" spans="1:9" ht="18.600000000000001" customHeight="1">
      <c r="A87" s="25" t="s">
        <v>740</v>
      </c>
      <c r="B87" s="26" t="s">
        <v>99</v>
      </c>
      <c r="C87" s="122" t="s">
        <v>11</v>
      </c>
      <c r="D87" s="141">
        <f t="shared" ca="1" si="4"/>
        <v>86</v>
      </c>
      <c r="E87" s="30">
        <f ca="1">VLOOKUP(A87,Rankings!B1:H651,6,FALSE)+(RAND()*0.00001)</f>
        <v>127.63333797625909</v>
      </c>
      <c r="F87" s="30">
        <f ca="1">E87-VLOOKUP(Settings!$K$3+Settings!$K$7,D$2:E$94,2,FALSE)</f>
        <v>-239.71667007157703</v>
      </c>
      <c r="G87" s="141">
        <f t="shared" ca="1" si="5"/>
        <v>90</v>
      </c>
      <c r="H87" s="30">
        <f ca="1">VLOOKUP(A87,Rankings!B1:H651,7,FALSE)+(RAND()*0.00001)</f>
        <v>-5.8341896124648125</v>
      </c>
      <c r="I87" s="30">
        <f ca="1">H87-VLOOKUP(Settings!$K$3+Settings!$K$7,G$2:H$94,2,FALSE)</f>
        <v>-8.2023935590861896</v>
      </c>
    </row>
    <row r="88" spans="1:9" ht="18.600000000000001" customHeight="1">
      <c r="A88" s="25" t="s">
        <v>744</v>
      </c>
      <c r="B88" s="26" t="s">
        <v>122</v>
      </c>
      <c r="C88" s="127" t="s">
        <v>27</v>
      </c>
      <c r="D88" s="141">
        <f t="shared" ca="1" si="4"/>
        <v>87</v>
      </c>
      <c r="E88" s="30">
        <f ca="1">VLOOKUP(A88,Rankings!B1:H651,6,FALSE)+(RAND()*0.00001)</f>
        <v>123.20000656798369</v>
      </c>
      <c r="F88" s="30">
        <f ca="1">E88-VLOOKUP(Settings!$K$3+Settings!$K$7,D$2:E$94,2,FALSE)</f>
        <v>-244.15000147985245</v>
      </c>
      <c r="G88" s="141">
        <f t="shared" ca="1" si="5"/>
        <v>91</v>
      </c>
      <c r="H88" s="30">
        <f ca="1">VLOOKUP(A88,Rankings!B1:H651,7,FALSE)+(RAND()*0.00001)</f>
        <v>-6.044728641060745</v>
      </c>
      <c r="I88" s="30">
        <f ca="1">H88-VLOOKUP(Settings!$K$3+Settings!$K$7,G$2:H$94,2,FALSE)</f>
        <v>-8.4129325876821213</v>
      </c>
    </row>
    <row r="89" spans="1:9" ht="18.600000000000001" customHeight="1">
      <c r="A89" s="25" t="s">
        <v>732</v>
      </c>
      <c r="B89" s="26" t="s">
        <v>116</v>
      </c>
      <c r="C89" s="122" t="s">
        <v>11</v>
      </c>
      <c r="D89" s="141">
        <f t="shared" ca="1" si="4"/>
        <v>88</v>
      </c>
      <c r="E89" s="30">
        <f ca="1">VLOOKUP(A89,Rankings!B1:H651,6,FALSE)+(RAND()*0.00001)</f>
        <v>110.60000907049132</v>
      </c>
      <c r="F89" s="30">
        <f ca="1">E89-VLOOKUP(Settings!$K$3+Settings!$K$7,D$2:E$94,2,FALSE)</f>
        <v>-256.74999897734483</v>
      </c>
      <c r="G89" s="141">
        <f t="shared" ca="1" si="5"/>
        <v>85</v>
      </c>
      <c r="H89" s="30">
        <f ca="1">VLOOKUP(A89,Rankings!B1:H651,7,FALSE)+(RAND()*0.00001)</f>
        <v>-4.9907084337484608</v>
      </c>
      <c r="I89" s="30">
        <f ca="1">H89-VLOOKUP(Settings!$K$3+Settings!$K$7,G$2:H$94,2,FALSE)</f>
        <v>-7.3589123803698371</v>
      </c>
    </row>
    <row r="90" spans="1:9" ht="18.600000000000001" customHeight="1">
      <c r="A90" s="25" t="s">
        <v>727</v>
      </c>
      <c r="B90" s="26" t="s">
        <v>116</v>
      </c>
      <c r="C90" s="122" t="s">
        <v>11</v>
      </c>
      <c r="D90" s="141">
        <f t="shared" ca="1" si="4"/>
        <v>89</v>
      </c>
      <c r="E90" s="30">
        <f ca="1">VLOOKUP(A90,Rankings!B1:H651,6,FALSE)+(RAND()*0.00001)</f>
        <v>109.38333833701708</v>
      </c>
      <c r="F90" s="30">
        <f ca="1">E90-VLOOKUP(Settings!$K$3+Settings!$K$7,D$2:E$94,2,FALSE)</f>
        <v>-257.96666971081902</v>
      </c>
      <c r="G90" s="141">
        <f t="shared" ca="1" si="5"/>
        <v>84</v>
      </c>
      <c r="H90" s="30">
        <f ca="1">VLOOKUP(A90,Rankings!B1:H651,7,FALSE)+(RAND()*0.00001)</f>
        <v>-4.4683348657365789</v>
      </c>
      <c r="I90" s="30">
        <f ca="1">H90-VLOOKUP(Settings!$K$3+Settings!$K$7,G$2:H$94,2,FALSE)</f>
        <v>-6.836538812357956</v>
      </c>
    </row>
    <row r="91" spans="1:9" ht="18.600000000000001" customHeight="1">
      <c r="A91" s="25" t="s">
        <v>738</v>
      </c>
      <c r="B91" s="26" t="s">
        <v>116</v>
      </c>
      <c r="C91" s="122" t="s">
        <v>11</v>
      </c>
      <c r="D91" s="141">
        <f t="shared" ca="1" si="4"/>
        <v>90</v>
      </c>
      <c r="E91" s="30">
        <f ca="1">VLOOKUP(A91,Rankings!B1:H651,6,FALSE)+(RAND()*0.00001)</f>
        <v>96.383337834188353</v>
      </c>
      <c r="F91" s="30">
        <f ca="1">E91-VLOOKUP(Settings!$K$3+Settings!$K$7,D$2:E$94,2,FALSE)</f>
        <v>-270.96667021364777</v>
      </c>
      <c r="G91" s="141">
        <f t="shared" ca="1" si="5"/>
        <v>88</v>
      </c>
      <c r="H91" s="30">
        <f ca="1">VLOOKUP(A91,Rankings!B1:H651,7,FALSE)+(RAND()*0.00001)</f>
        <v>-5.6608236528631002</v>
      </c>
      <c r="I91" s="30">
        <f ca="1">H91-VLOOKUP(Settings!$K$3+Settings!$K$7,G$2:H$94,2,FALSE)</f>
        <v>-8.0290275994844773</v>
      </c>
    </row>
    <row r="92" spans="1:9" ht="18.600000000000001" customHeight="1">
      <c r="A92" s="25" t="s">
        <v>745</v>
      </c>
      <c r="B92" s="26" t="s">
        <v>260</v>
      </c>
      <c r="C92" s="127" t="s">
        <v>27</v>
      </c>
      <c r="D92" s="141">
        <f t="shared" ca="1" si="4"/>
        <v>91</v>
      </c>
      <c r="E92" s="30">
        <f ca="1">VLOOKUP(A92,Rankings!B1:H651,6,FALSE)+(RAND()*0.00001)</f>
        <v>86.333341448895126</v>
      </c>
      <c r="F92" s="30">
        <f ca="1">E92-VLOOKUP(Settings!$K$3+Settings!$K$7,D$2:E$94,2,FALSE)</f>
        <v>-281.01666659894101</v>
      </c>
      <c r="G92" s="141">
        <f t="shared" ca="1" si="5"/>
        <v>92</v>
      </c>
      <c r="H92" s="30">
        <f ca="1">VLOOKUP(A92,Rankings!B1:H651,7,FALSE)+(RAND()*0.00001)</f>
        <v>-6.833610710959495</v>
      </c>
      <c r="I92" s="30">
        <f ca="1">H92-VLOOKUP(Settings!$K$3+Settings!$K$7,G$2:H$94,2,FALSE)</f>
        <v>-9.2018146575808721</v>
      </c>
    </row>
    <row r="93" spans="1:9" ht="18.600000000000001" customHeight="1">
      <c r="A93" s="25" t="s">
        <v>741</v>
      </c>
      <c r="B93" s="26" t="s">
        <v>178</v>
      </c>
      <c r="C93" s="127" t="s">
        <v>27</v>
      </c>
      <c r="D93" s="141">
        <f t="shared" ca="1" si="4"/>
        <v>92</v>
      </c>
      <c r="E93" s="30">
        <f ca="1">VLOOKUP(A93,Rankings!B1:H651,6,FALSE)+(RAND()*0.00001)</f>
        <v>81.31666737829724</v>
      </c>
      <c r="F93" s="30">
        <f ca="1">E93-VLOOKUP(Settings!$K$3+Settings!$K$7,D$2:E$94,2,FALSE)</f>
        <v>-286.03334066953892</v>
      </c>
      <c r="G93" s="141">
        <f t="shared" ca="1" si="5"/>
        <v>86</v>
      </c>
      <c r="H93" s="30">
        <f ca="1">VLOOKUP(A93,Rankings!B1:H651,7,FALSE)+(RAND()*0.00001)</f>
        <v>-5.2096879648731642</v>
      </c>
      <c r="I93" s="30">
        <f ca="1">H93-VLOOKUP(Settings!$K$3+Settings!$K$7,G$2:H$94,2,FALSE)</f>
        <v>-7.5778919114945413</v>
      </c>
    </row>
    <row r="94" spans="1:9" ht="18.600000000000001" customHeight="1">
      <c r="A94" s="134" t="s">
        <v>746</v>
      </c>
      <c r="B94" s="135" t="s">
        <v>225</v>
      </c>
      <c r="C94" s="127" t="s">
        <v>27</v>
      </c>
      <c r="D94" s="141">
        <f t="shared" ca="1" si="4"/>
        <v>93</v>
      </c>
      <c r="E94" s="30">
        <f ca="1">VLOOKUP(A94,Rankings!B1:H651,6,FALSE)+(RAND()*0.00001)</f>
        <v>73.550004323911878</v>
      </c>
      <c r="F94" s="30">
        <f ca="1">E94-VLOOKUP(Settings!$K$3+Settings!$K$7,D$2:E$94,2,FALSE)</f>
        <v>-293.80000372392425</v>
      </c>
      <c r="G94" s="141">
        <f t="shared" ca="1" si="5"/>
        <v>93</v>
      </c>
      <c r="H94" s="30">
        <f ca="1">VLOOKUP(A94,Rankings!B1:H651,7,FALSE)+(RAND()*0.00001)</f>
        <v>-7.3643628532928496</v>
      </c>
      <c r="I94" s="30">
        <f ca="1">H94-VLOOKUP(Settings!$K$3+Settings!$K$7,G$2:H$94,2,FALSE)</f>
        <v>-9.7325667999142258</v>
      </c>
    </row>
  </sheetData>
  <autoFilter ref="A1:I94" xr:uid="{00000000-0001-0000-0C00-000000000000}">
    <sortState xmlns:xlrd2="http://schemas.microsoft.com/office/spreadsheetml/2017/richdata2" ref="A2:I94">
      <sortCondition ref="D1:D94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S251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19" width="7.140625" style="1" customWidth="1"/>
    <col min="20" max="20" width="16.28515625" style="1" customWidth="1"/>
    <col min="21" max="16384" width="16.28515625" style="1"/>
  </cols>
  <sheetData>
    <row r="1" spans="1:19" ht="18.600000000000001" customHeight="1">
      <c r="A1" s="142" t="s">
        <v>750</v>
      </c>
      <c r="B1" s="143" t="s">
        <v>751</v>
      </c>
      <c r="C1" s="143" t="s">
        <v>752</v>
      </c>
      <c r="D1" s="143" t="s">
        <v>6</v>
      </c>
      <c r="E1" s="143" t="s">
        <v>10</v>
      </c>
      <c r="F1" s="143" t="s">
        <v>14</v>
      </c>
      <c r="G1" s="143" t="s">
        <v>18</v>
      </c>
      <c r="H1" s="143" t="s">
        <v>22</v>
      </c>
      <c r="I1" s="143" t="s">
        <v>26</v>
      </c>
      <c r="J1" s="143" t="s">
        <v>30</v>
      </c>
      <c r="K1" s="143" t="s">
        <v>33</v>
      </c>
      <c r="L1" s="143" t="s">
        <v>36</v>
      </c>
      <c r="M1" s="143" t="s">
        <v>13</v>
      </c>
      <c r="N1" s="143" t="s">
        <v>39</v>
      </c>
      <c r="O1" s="143" t="s">
        <v>41</v>
      </c>
      <c r="P1" s="143" t="s">
        <v>46</v>
      </c>
      <c r="Q1" s="143" t="s">
        <v>48</v>
      </c>
      <c r="R1" s="143" t="s">
        <v>755</v>
      </c>
      <c r="S1" s="143" t="s">
        <v>56</v>
      </c>
    </row>
    <row r="2" spans="1:19" ht="18.600000000000001" customHeight="1">
      <c r="A2" s="25" t="s">
        <v>93</v>
      </c>
      <c r="B2" s="26" t="s">
        <v>69</v>
      </c>
      <c r="C2" s="35" t="s">
        <v>31</v>
      </c>
      <c r="D2" s="30">
        <v>192.6</v>
      </c>
      <c r="E2" s="32">
        <v>3.2959501557632396</v>
      </c>
      <c r="F2" s="32">
        <v>1.0441329179646937</v>
      </c>
      <c r="G2" s="30">
        <v>242.9</v>
      </c>
      <c r="H2" s="30">
        <v>14.133333333333333</v>
      </c>
      <c r="I2" s="30">
        <v>0</v>
      </c>
      <c r="J2" s="30">
        <v>70.533333333333331</v>
      </c>
      <c r="K2" s="30">
        <v>153.79999999999998</v>
      </c>
      <c r="L2" s="30">
        <v>47.300000000000004</v>
      </c>
      <c r="M2" s="30">
        <v>25</v>
      </c>
      <c r="N2" s="30">
        <v>31.599999999999998</v>
      </c>
      <c r="O2" s="30">
        <v>31.599999999999998</v>
      </c>
      <c r="P2" s="30">
        <v>7.8</v>
      </c>
      <c r="Q2" s="30">
        <v>21</v>
      </c>
      <c r="R2" s="30">
        <v>0</v>
      </c>
      <c r="S2" s="30">
        <v>0</v>
      </c>
    </row>
    <row r="3" spans="1:19" ht="18.600000000000001" customHeight="1">
      <c r="A3" s="25" t="s">
        <v>98</v>
      </c>
      <c r="B3" s="26" t="s">
        <v>99</v>
      </c>
      <c r="C3" s="35" t="s">
        <v>31</v>
      </c>
      <c r="D3" s="30">
        <v>188.26666666666665</v>
      </c>
      <c r="E3" s="32">
        <v>3.0387747875354103</v>
      </c>
      <c r="F3" s="32">
        <v>1.0541784702549577</v>
      </c>
      <c r="G3" s="30">
        <v>234.73333333333335</v>
      </c>
      <c r="H3" s="30">
        <v>12.4</v>
      </c>
      <c r="I3" s="30">
        <v>0</v>
      </c>
      <c r="J3" s="30">
        <v>63.566666666666663</v>
      </c>
      <c r="K3" s="30">
        <v>147.16666666666666</v>
      </c>
      <c r="L3" s="30">
        <v>51.300000000000004</v>
      </c>
      <c r="M3" s="30">
        <v>21</v>
      </c>
      <c r="N3" s="30">
        <v>30.933333333333334</v>
      </c>
      <c r="O3" s="30">
        <v>30.599999999999998</v>
      </c>
      <c r="P3" s="30">
        <v>7.333333333333333</v>
      </c>
      <c r="Q3" s="30">
        <v>21</v>
      </c>
      <c r="R3" s="30">
        <v>0</v>
      </c>
      <c r="S3" s="30">
        <v>0</v>
      </c>
    </row>
    <row r="4" spans="1:19" ht="18.600000000000001" customHeight="1">
      <c r="A4" s="25" t="s">
        <v>106</v>
      </c>
      <c r="B4" s="26" t="s">
        <v>69</v>
      </c>
      <c r="C4" s="35" t="s">
        <v>31</v>
      </c>
      <c r="D4" s="30">
        <v>168.9</v>
      </c>
      <c r="E4" s="32">
        <v>3.1296625222024859</v>
      </c>
      <c r="F4" s="32">
        <v>1.0582198539569765</v>
      </c>
      <c r="G4" s="30">
        <v>218.6</v>
      </c>
      <c r="H4" s="30">
        <v>13.166666666666666</v>
      </c>
      <c r="I4" s="30">
        <v>0</v>
      </c>
      <c r="J4" s="30">
        <v>58.733333333333327</v>
      </c>
      <c r="K4" s="30">
        <v>129.9</v>
      </c>
      <c r="L4" s="30">
        <v>48.833333333333336</v>
      </c>
      <c r="M4" s="30">
        <v>21</v>
      </c>
      <c r="N4" s="30">
        <v>30.066666666666666</v>
      </c>
      <c r="O4" s="30">
        <v>29.400000000000002</v>
      </c>
      <c r="P4" s="30">
        <v>7.5333333333333341</v>
      </c>
      <c r="Q4" s="30">
        <v>19</v>
      </c>
      <c r="R4" s="30">
        <v>0</v>
      </c>
      <c r="S4" s="30">
        <v>0</v>
      </c>
    </row>
    <row r="5" spans="1:19" ht="18.600000000000001" customHeight="1">
      <c r="A5" s="25" t="s">
        <v>86</v>
      </c>
      <c r="B5" s="26" t="s">
        <v>87</v>
      </c>
      <c r="C5" s="35" t="s">
        <v>31</v>
      </c>
      <c r="D5" s="30">
        <v>133.43333333333331</v>
      </c>
      <c r="E5" s="32">
        <v>2.5293529852610548</v>
      </c>
      <c r="F5" s="32">
        <v>0.87459405445915572</v>
      </c>
      <c r="G5" s="30">
        <v>190.36666666666667</v>
      </c>
      <c r="H5" s="30">
        <v>9.4333333333333336</v>
      </c>
      <c r="I5" s="30">
        <v>0</v>
      </c>
      <c r="J5" s="30">
        <v>37.5</v>
      </c>
      <c r="K5" s="30">
        <v>90.399999999999991</v>
      </c>
      <c r="L5" s="30">
        <v>26.3</v>
      </c>
      <c r="M5" s="30">
        <v>17</v>
      </c>
      <c r="N5" s="30">
        <v>23.766666666666666</v>
      </c>
      <c r="O5" s="30">
        <v>23.766666666666666</v>
      </c>
      <c r="P5" s="30">
        <v>5.5</v>
      </c>
      <c r="Q5" s="30">
        <v>19</v>
      </c>
      <c r="R5" s="30">
        <v>0</v>
      </c>
      <c r="S5" s="30">
        <v>0</v>
      </c>
    </row>
    <row r="6" spans="1:19" ht="18.600000000000001" customHeight="1">
      <c r="A6" s="25" t="s">
        <v>123</v>
      </c>
      <c r="B6" s="26" t="s">
        <v>92</v>
      </c>
      <c r="C6" s="35" t="s">
        <v>31</v>
      </c>
      <c r="D6" s="30">
        <v>194.46666666666667</v>
      </c>
      <c r="E6" s="32">
        <v>3.5234830305107989</v>
      </c>
      <c r="F6" s="32">
        <v>1.072505999314364</v>
      </c>
      <c r="G6" s="30">
        <v>220.73333333333335</v>
      </c>
      <c r="H6" s="30">
        <v>12.733333333333334</v>
      </c>
      <c r="I6" s="30">
        <v>0</v>
      </c>
      <c r="J6" s="30">
        <v>76.13333333333334</v>
      </c>
      <c r="K6" s="30">
        <v>169.36666666666667</v>
      </c>
      <c r="L6" s="30">
        <v>39.199999999999996</v>
      </c>
      <c r="M6" s="30">
        <v>25</v>
      </c>
      <c r="N6" s="30">
        <v>31.599999999999998</v>
      </c>
      <c r="O6" s="30">
        <v>31.599999999999998</v>
      </c>
      <c r="P6" s="30">
        <v>9.4333333333333336</v>
      </c>
      <c r="Q6" s="30">
        <v>20</v>
      </c>
      <c r="R6" s="30">
        <v>0</v>
      </c>
      <c r="S6" s="30">
        <v>0</v>
      </c>
    </row>
    <row r="7" spans="1:19" ht="18.600000000000001" customHeight="1">
      <c r="A7" s="25" t="s">
        <v>113</v>
      </c>
      <c r="B7" s="26" t="s">
        <v>74</v>
      </c>
      <c r="C7" s="35" t="s">
        <v>31</v>
      </c>
      <c r="D7" s="30">
        <v>148.79999999999998</v>
      </c>
      <c r="E7" s="32">
        <v>2.995967741935484</v>
      </c>
      <c r="F7" s="32">
        <v>1.0683243727598568</v>
      </c>
      <c r="G7" s="30">
        <v>209.4</v>
      </c>
      <c r="H7" s="30">
        <v>11.799999999999999</v>
      </c>
      <c r="I7" s="30">
        <v>0</v>
      </c>
      <c r="J7" s="30">
        <v>49.533333333333331</v>
      </c>
      <c r="K7" s="30">
        <v>106.83333333333333</v>
      </c>
      <c r="L7" s="30">
        <v>52.133333333333333</v>
      </c>
      <c r="M7" s="30">
        <v>15</v>
      </c>
      <c r="N7" s="30">
        <v>27.933333333333334</v>
      </c>
      <c r="O7" s="30">
        <v>27.933333333333334</v>
      </c>
      <c r="P7" s="30">
        <v>6.3</v>
      </c>
      <c r="Q7" s="30">
        <v>16</v>
      </c>
      <c r="R7" s="30">
        <v>0</v>
      </c>
      <c r="S7" s="30">
        <v>0</v>
      </c>
    </row>
    <row r="8" spans="1:19" ht="18.600000000000001" customHeight="1">
      <c r="A8" s="25" t="s">
        <v>84</v>
      </c>
      <c r="B8" s="26" t="s">
        <v>85</v>
      </c>
      <c r="C8" s="35" t="s">
        <v>31</v>
      </c>
      <c r="D8" s="30">
        <v>165.7</v>
      </c>
      <c r="E8" s="32">
        <v>3.1041038020519012</v>
      </c>
      <c r="F8" s="32">
        <v>1.072420036210018</v>
      </c>
      <c r="G8" s="30">
        <v>207.2</v>
      </c>
      <c r="H8" s="30">
        <v>12.4</v>
      </c>
      <c r="I8" s="30">
        <v>0</v>
      </c>
      <c r="J8" s="30">
        <v>57.15</v>
      </c>
      <c r="K8" s="30">
        <v>129.85</v>
      </c>
      <c r="L8" s="30">
        <v>47.85</v>
      </c>
      <c r="M8" s="30">
        <v>20</v>
      </c>
      <c r="N8" s="30">
        <v>36.75</v>
      </c>
      <c r="O8" s="30">
        <v>28.25</v>
      </c>
      <c r="P8" s="30">
        <v>7.2</v>
      </c>
      <c r="Q8" s="30">
        <v>18</v>
      </c>
      <c r="R8" s="30">
        <v>0</v>
      </c>
      <c r="S8" s="30">
        <v>0</v>
      </c>
    </row>
    <row r="9" spans="1:19" ht="18.600000000000001" customHeight="1">
      <c r="A9" s="25" t="s">
        <v>112</v>
      </c>
      <c r="B9" s="26" t="s">
        <v>97</v>
      </c>
      <c r="C9" s="35" t="s">
        <v>31</v>
      </c>
      <c r="D9" s="30">
        <v>162.76666666666668</v>
      </c>
      <c r="E9" s="32">
        <v>3.0559082531230799</v>
      </c>
      <c r="F9" s="32">
        <v>1.0114683596149907</v>
      </c>
      <c r="G9" s="30">
        <v>199.06666666666669</v>
      </c>
      <c r="H9" s="30">
        <v>11.566666666666668</v>
      </c>
      <c r="I9" s="30">
        <v>0</v>
      </c>
      <c r="J9" s="30">
        <v>55.266666666666673</v>
      </c>
      <c r="K9" s="30">
        <v>129.66666666666666</v>
      </c>
      <c r="L9" s="30">
        <v>34.966666666666669</v>
      </c>
      <c r="M9" s="30">
        <v>25</v>
      </c>
      <c r="N9" s="30">
        <v>27.166666666666668</v>
      </c>
      <c r="O9" s="30">
        <v>27.166666666666668</v>
      </c>
      <c r="P9" s="30">
        <v>6.6333333333333329</v>
      </c>
      <c r="Q9" s="30">
        <v>20</v>
      </c>
      <c r="R9" s="30">
        <v>0</v>
      </c>
      <c r="S9" s="30">
        <v>0</v>
      </c>
    </row>
    <row r="10" spans="1:19" ht="18.600000000000001" customHeight="1">
      <c r="A10" s="25" t="s">
        <v>117</v>
      </c>
      <c r="B10" s="26" t="s">
        <v>103</v>
      </c>
      <c r="C10" s="35" t="s">
        <v>31</v>
      </c>
      <c r="D10" s="30">
        <v>171.1</v>
      </c>
      <c r="E10" s="32">
        <v>3.0280537697253065</v>
      </c>
      <c r="F10" s="32">
        <v>1.0656536138710306</v>
      </c>
      <c r="G10" s="30">
        <v>197.5</v>
      </c>
      <c r="H10" s="30">
        <v>12.299999999999999</v>
      </c>
      <c r="I10" s="30">
        <v>0</v>
      </c>
      <c r="J10" s="30">
        <v>57.566666666666663</v>
      </c>
      <c r="K10" s="30">
        <v>137.03333333333333</v>
      </c>
      <c r="L10" s="30">
        <v>45.300000000000004</v>
      </c>
      <c r="M10" s="30">
        <v>18</v>
      </c>
      <c r="N10" s="30">
        <v>29.400000000000002</v>
      </c>
      <c r="O10" s="30">
        <v>29.400000000000002</v>
      </c>
      <c r="P10" s="30">
        <v>7.333333333333333</v>
      </c>
      <c r="Q10" s="30">
        <v>20</v>
      </c>
      <c r="R10" s="30">
        <v>0</v>
      </c>
      <c r="S10" s="30">
        <v>0</v>
      </c>
    </row>
    <row r="11" spans="1:19" ht="18.600000000000001" customHeight="1">
      <c r="A11" s="25" t="s">
        <v>109</v>
      </c>
      <c r="B11" s="26" t="s">
        <v>97</v>
      </c>
      <c r="C11" s="35" t="s">
        <v>31</v>
      </c>
      <c r="D11" s="30">
        <v>167.76666666666668</v>
      </c>
      <c r="E11" s="32">
        <v>3.1347109080071531</v>
      </c>
      <c r="F11" s="32">
        <v>0.99701967017683291</v>
      </c>
      <c r="G11" s="30">
        <v>186</v>
      </c>
      <c r="H11" s="30">
        <v>13</v>
      </c>
      <c r="I11" s="30">
        <v>0</v>
      </c>
      <c r="J11" s="30">
        <v>58.433333333333337</v>
      </c>
      <c r="K11" s="30">
        <v>133.33333333333334</v>
      </c>
      <c r="L11" s="30">
        <v>33.93333333333333</v>
      </c>
      <c r="M11" s="30">
        <v>24</v>
      </c>
      <c r="N11" s="30">
        <v>28.066666666666666</v>
      </c>
      <c r="O11" s="30">
        <v>28.066666666666666</v>
      </c>
      <c r="P11" s="30">
        <v>6.7333333333333334</v>
      </c>
      <c r="Q11" s="30">
        <v>18</v>
      </c>
      <c r="R11" s="30">
        <v>0</v>
      </c>
      <c r="S11" s="30">
        <v>0</v>
      </c>
    </row>
    <row r="12" spans="1:19" ht="18.600000000000001" customHeight="1">
      <c r="A12" s="25" t="s">
        <v>148</v>
      </c>
      <c r="B12" s="26" t="s">
        <v>116</v>
      </c>
      <c r="C12" s="35" t="s">
        <v>31</v>
      </c>
      <c r="D12" s="30">
        <v>177.56666666666669</v>
      </c>
      <c r="E12" s="32">
        <v>3.3553594893936549</v>
      </c>
      <c r="F12" s="32">
        <v>1.189975596020274</v>
      </c>
      <c r="G12" s="30">
        <v>216.36666666666667</v>
      </c>
      <c r="H12" s="30">
        <v>12.566666666666668</v>
      </c>
      <c r="I12" s="30">
        <v>0</v>
      </c>
      <c r="J12" s="30">
        <v>66.2</v>
      </c>
      <c r="K12" s="30">
        <v>138.76666666666668</v>
      </c>
      <c r="L12" s="30">
        <v>72.533333333333331</v>
      </c>
      <c r="M12" s="30">
        <v>25</v>
      </c>
      <c r="N12" s="30">
        <v>31.599999999999998</v>
      </c>
      <c r="O12" s="30">
        <v>31.266666666666666</v>
      </c>
      <c r="P12" s="30">
        <v>8.4</v>
      </c>
      <c r="Q12" s="30">
        <v>17</v>
      </c>
      <c r="R12" s="30">
        <v>0</v>
      </c>
      <c r="S12" s="30">
        <v>0</v>
      </c>
    </row>
    <row r="13" spans="1:19" ht="18.600000000000001" customHeight="1">
      <c r="A13" s="25" t="s">
        <v>130</v>
      </c>
      <c r="B13" s="26" t="s">
        <v>99</v>
      </c>
      <c r="C13" s="35" t="s">
        <v>31</v>
      </c>
      <c r="D13" s="30">
        <v>172.79999999999998</v>
      </c>
      <c r="E13" s="32">
        <v>3.2361111111111116</v>
      </c>
      <c r="F13" s="32">
        <v>1.0850694444444446</v>
      </c>
      <c r="G13" s="30">
        <v>202.9</v>
      </c>
      <c r="H13" s="30">
        <v>11.533333333333333</v>
      </c>
      <c r="I13" s="30">
        <v>0</v>
      </c>
      <c r="J13" s="30">
        <v>62.133333333333333</v>
      </c>
      <c r="K13" s="30">
        <v>140.70000000000002</v>
      </c>
      <c r="L13" s="30">
        <v>46.800000000000004</v>
      </c>
      <c r="M13" s="30">
        <v>22</v>
      </c>
      <c r="N13" s="30">
        <v>29.933333333333334</v>
      </c>
      <c r="O13" s="30">
        <v>29.933333333333334</v>
      </c>
      <c r="P13" s="30">
        <v>8.1</v>
      </c>
      <c r="Q13" s="30">
        <v>17</v>
      </c>
      <c r="R13" s="30">
        <v>0</v>
      </c>
      <c r="S13" s="30">
        <v>0</v>
      </c>
    </row>
    <row r="14" spans="1:19" ht="18.600000000000001" customHeight="1">
      <c r="A14" s="25" t="s">
        <v>140</v>
      </c>
      <c r="B14" s="26" t="s">
        <v>77</v>
      </c>
      <c r="C14" s="35" t="s">
        <v>31</v>
      </c>
      <c r="D14" s="30">
        <v>181.9666666666667</v>
      </c>
      <c r="E14" s="32">
        <v>3.2824693167246739</v>
      </c>
      <c r="F14" s="32">
        <v>1.1221835501007509</v>
      </c>
      <c r="G14" s="30">
        <v>196.79999999999998</v>
      </c>
      <c r="H14" s="30">
        <v>12.566666666666668</v>
      </c>
      <c r="I14" s="30">
        <v>0</v>
      </c>
      <c r="J14" s="30">
        <v>66.36666666666666</v>
      </c>
      <c r="K14" s="30">
        <v>162.13333333333333</v>
      </c>
      <c r="L14" s="30">
        <v>42.06666666666667</v>
      </c>
      <c r="M14" s="30">
        <v>24</v>
      </c>
      <c r="N14" s="30">
        <v>29.599999999999998</v>
      </c>
      <c r="O14" s="30">
        <v>29.266666666666666</v>
      </c>
      <c r="P14" s="30">
        <v>7.7</v>
      </c>
      <c r="Q14" s="30">
        <v>21</v>
      </c>
      <c r="R14" s="30">
        <v>0</v>
      </c>
      <c r="S14" s="30">
        <v>0</v>
      </c>
    </row>
    <row r="15" spans="1:19" ht="18.600000000000001" customHeight="1">
      <c r="A15" s="25" t="s">
        <v>135</v>
      </c>
      <c r="B15" s="26" t="s">
        <v>136</v>
      </c>
      <c r="C15" s="35" t="s">
        <v>31</v>
      </c>
      <c r="D15" s="30">
        <v>203.76666666666665</v>
      </c>
      <c r="E15" s="32">
        <v>3.1859381645673164</v>
      </c>
      <c r="F15" s="32">
        <v>1.1102568297071815</v>
      </c>
      <c r="G15" s="30">
        <v>190.43333333333331</v>
      </c>
      <c r="H15" s="30">
        <v>12.5</v>
      </c>
      <c r="I15" s="30">
        <v>0</v>
      </c>
      <c r="J15" s="30">
        <v>72.132000000000005</v>
      </c>
      <c r="K15" s="30">
        <v>175.9</v>
      </c>
      <c r="L15" s="30">
        <v>50.333333333333336</v>
      </c>
      <c r="M15" s="30">
        <v>21</v>
      </c>
      <c r="N15" s="30">
        <v>30.599999999999998</v>
      </c>
      <c r="O15" s="30">
        <v>30.599999999999998</v>
      </c>
      <c r="P15" s="30">
        <v>9.7666666666666675</v>
      </c>
      <c r="Q15" s="30">
        <v>22</v>
      </c>
      <c r="R15" s="30">
        <v>0</v>
      </c>
      <c r="S15" s="30">
        <v>0</v>
      </c>
    </row>
    <row r="16" spans="1:19" ht="18.600000000000001" customHeight="1">
      <c r="A16" s="25" t="s">
        <v>149</v>
      </c>
      <c r="B16" s="26" t="s">
        <v>95</v>
      </c>
      <c r="C16" s="35" t="s">
        <v>31</v>
      </c>
      <c r="D16" s="30">
        <v>176.26666666666665</v>
      </c>
      <c r="E16" s="32">
        <v>3.4022314674735257</v>
      </c>
      <c r="F16" s="32">
        <v>1.1446671709531013</v>
      </c>
      <c r="G16" s="30">
        <v>199.23333333333335</v>
      </c>
      <c r="H16" s="30">
        <v>11.966666666666667</v>
      </c>
      <c r="I16" s="30">
        <v>0</v>
      </c>
      <c r="J16" s="30">
        <v>66.63333333333334</v>
      </c>
      <c r="K16" s="30">
        <v>164.13333333333333</v>
      </c>
      <c r="L16" s="30">
        <v>37.633333333333333</v>
      </c>
      <c r="M16" s="30">
        <v>25</v>
      </c>
      <c r="N16" s="30">
        <v>30.933333333333334</v>
      </c>
      <c r="O16" s="30">
        <v>30.933333333333334</v>
      </c>
      <c r="P16" s="30">
        <v>8.1</v>
      </c>
      <c r="Q16" s="30">
        <v>17</v>
      </c>
      <c r="R16" s="30">
        <v>0</v>
      </c>
      <c r="S16" s="30">
        <v>0</v>
      </c>
    </row>
    <row r="17" spans="1:19" ht="18.600000000000001" customHeight="1">
      <c r="A17" s="25" t="s">
        <v>145</v>
      </c>
      <c r="B17" s="26" t="s">
        <v>64</v>
      </c>
      <c r="C17" s="35" t="s">
        <v>31</v>
      </c>
      <c r="D17" s="30">
        <v>186.80000000000004</v>
      </c>
      <c r="E17" s="32">
        <v>3.6488222698072796</v>
      </c>
      <c r="F17" s="32">
        <v>1.0924339757316199</v>
      </c>
      <c r="G17" s="30">
        <v>192.56666666666669</v>
      </c>
      <c r="H17" s="30">
        <v>13.166666666666666</v>
      </c>
      <c r="I17" s="30">
        <v>0</v>
      </c>
      <c r="J17" s="30">
        <v>75.733333333333334</v>
      </c>
      <c r="K17" s="30">
        <v>160</v>
      </c>
      <c r="L17" s="30">
        <v>44.066666666666663</v>
      </c>
      <c r="M17" s="30">
        <v>27</v>
      </c>
      <c r="N17" s="30">
        <v>29.933333333333334</v>
      </c>
      <c r="O17" s="30">
        <v>29.933333333333334</v>
      </c>
      <c r="P17" s="30">
        <v>8.9</v>
      </c>
      <c r="Q17" s="30">
        <v>18</v>
      </c>
      <c r="R17" s="30">
        <v>0</v>
      </c>
      <c r="S17" s="30">
        <v>0</v>
      </c>
    </row>
    <row r="18" spans="1:19" ht="18.600000000000001" customHeight="1">
      <c r="A18" s="25" t="s">
        <v>154</v>
      </c>
      <c r="B18" s="26" t="s">
        <v>79</v>
      </c>
      <c r="C18" s="35" t="s">
        <v>31</v>
      </c>
      <c r="D18" s="30">
        <v>162.26666666666665</v>
      </c>
      <c r="E18" s="32">
        <v>3.5534100246507805</v>
      </c>
      <c r="F18" s="32">
        <v>1.10456039441249</v>
      </c>
      <c r="G18" s="30">
        <v>199.20000000000002</v>
      </c>
      <c r="H18" s="30">
        <v>11.233333333333334</v>
      </c>
      <c r="I18" s="30">
        <v>0</v>
      </c>
      <c r="J18" s="30">
        <v>64.066666666666663</v>
      </c>
      <c r="K18" s="30">
        <v>116.93333333333334</v>
      </c>
      <c r="L18" s="30">
        <v>62.300000000000004</v>
      </c>
      <c r="M18" s="30">
        <v>25</v>
      </c>
      <c r="N18" s="30">
        <v>29.066666666666666</v>
      </c>
      <c r="O18" s="30">
        <v>28.733333333333334</v>
      </c>
      <c r="P18" s="30">
        <v>7.3666666666666671</v>
      </c>
      <c r="Q18" s="30">
        <v>15</v>
      </c>
      <c r="R18" s="30">
        <v>0</v>
      </c>
      <c r="S18" s="30">
        <v>0</v>
      </c>
    </row>
    <row r="19" spans="1:19" ht="18.600000000000001" customHeight="1">
      <c r="A19" s="25" t="s">
        <v>191</v>
      </c>
      <c r="B19" s="26" t="s">
        <v>72</v>
      </c>
      <c r="C19" s="35" t="s">
        <v>31</v>
      </c>
      <c r="D19" s="30">
        <v>183.0333333333333</v>
      </c>
      <c r="E19" s="32">
        <v>3.7845565470770359</v>
      </c>
      <c r="F19" s="32">
        <v>1.1995993443817157</v>
      </c>
      <c r="G19" s="30">
        <v>211.76666666666665</v>
      </c>
      <c r="H19" s="30">
        <v>11.433333333333332</v>
      </c>
      <c r="I19" s="30">
        <v>0</v>
      </c>
      <c r="J19" s="30">
        <v>76.966666666666669</v>
      </c>
      <c r="K19" s="30">
        <v>158.53333333333333</v>
      </c>
      <c r="L19" s="30">
        <v>61.033333333333331</v>
      </c>
      <c r="M19" s="30">
        <v>28</v>
      </c>
      <c r="N19" s="30">
        <v>31.266666666666666</v>
      </c>
      <c r="O19" s="30">
        <v>31.266666666666666</v>
      </c>
      <c r="P19" s="30">
        <v>9.7999999999999989</v>
      </c>
      <c r="Q19" s="30">
        <v>18</v>
      </c>
      <c r="R19" s="30">
        <v>0</v>
      </c>
      <c r="S19" s="30">
        <v>0</v>
      </c>
    </row>
    <row r="20" spans="1:19" ht="18.600000000000001" customHeight="1">
      <c r="A20" s="25" t="s">
        <v>164</v>
      </c>
      <c r="B20" s="26" t="s">
        <v>122</v>
      </c>
      <c r="C20" s="35" t="s">
        <v>31</v>
      </c>
      <c r="D20" s="30">
        <v>179.93333333333331</v>
      </c>
      <c r="E20" s="32">
        <v>3.4362726935902193</v>
      </c>
      <c r="F20" s="32">
        <v>1.1283808818080772</v>
      </c>
      <c r="G20" s="30">
        <v>191.93333333333331</v>
      </c>
      <c r="H20" s="30">
        <v>10.733333333333334</v>
      </c>
      <c r="I20" s="30">
        <v>0</v>
      </c>
      <c r="J20" s="30">
        <v>68.7</v>
      </c>
      <c r="K20" s="30">
        <v>147.13333333333333</v>
      </c>
      <c r="L20" s="30">
        <v>55.9</v>
      </c>
      <c r="M20" s="30">
        <v>21</v>
      </c>
      <c r="N20" s="30">
        <v>30.933333333333334</v>
      </c>
      <c r="O20" s="30">
        <v>30.933333333333334</v>
      </c>
      <c r="P20" s="30">
        <v>8.2000000000000011</v>
      </c>
      <c r="Q20" s="30">
        <v>17</v>
      </c>
      <c r="R20" s="30">
        <v>0</v>
      </c>
      <c r="S20" s="30">
        <v>0</v>
      </c>
    </row>
    <row r="21" spans="1:19" ht="18.600000000000001" customHeight="1">
      <c r="A21" s="25" t="s">
        <v>146</v>
      </c>
      <c r="B21" s="26" t="s">
        <v>92</v>
      </c>
      <c r="C21" s="35" t="s">
        <v>31</v>
      </c>
      <c r="D21" s="30">
        <v>174.83333333333334</v>
      </c>
      <c r="E21" s="32">
        <v>3.227645376549094</v>
      </c>
      <c r="F21" s="32">
        <v>1.1122974261201144</v>
      </c>
      <c r="G21" s="30">
        <v>178.06666666666669</v>
      </c>
      <c r="H21" s="30">
        <v>12.066666666666668</v>
      </c>
      <c r="I21" s="30">
        <v>0</v>
      </c>
      <c r="J21" s="30">
        <v>62.699999999999996</v>
      </c>
      <c r="K21" s="30">
        <v>153.53333333333333</v>
      </c>
      <c r="L21" s="30">
        <v>40.93333333333333</v>
      </c>
      <c r="M21" s="30">
        <v>21</v>
      </c>
      <c r="N21" s="30">
        <v>29.266666666666666</v>
      </c>
      <c r="O21" s="30">
        <v>29.266666666666666</v>
      </c>
      <c r="P21" s="30">
        <v>8</v>
      </c>
      <c r="Q21" s="30">
        <v>19</v>
      </c>
      <c r="R21" s="30">
        <v>0</v>
      </c>
      <c r="S21" s="30">
        <v>0</v>
      </c>
    </row>
    <row r="22" spans="1:19" ht="18.600000000000001" customHeight="1">
      <c r="A22" s="25" t="s">
        <v>179</v>
      </c>
      <c r="B22" s="26" t="s">
        <v>72</v>
      </c>
      <c r="C22" s="35" t="s">
        <v>31</v>
      </c>
      <c r="D22" s="30">
        <v>180.13333333333335</v>
      </c>
      <c r="E22" s="32">
        <v>3.3691709844559585</v>
      </c>
      <c r="F22" s="32">
        <v>1.1930051813471501</v>
      </c>
      <c r="G22" s="30">
        <v>192.96666666666667</v>
      </c>
      <c r="H22" s="30">
        <v>11.299999999999999</v>
      </c>
      <c r="I22" s="30">
        <v>0</v>
      </c>
      <c r="J22" s="30">
        <v>67.433333333333337</v>
      </c>
      <c r="K22" s="30">
        <v>156.6</v>
      </c>
      <c r="L22" s="30">
        <v>58.300000000000004</v>
      </c>
      <c r="M22" s="30">
        <v>19</v>
      </c>
      <c r="N22" s="30">
        <v>30.599999999999998</v>
      </c>
      <c r="O22" s="30">
        <v>30.599999999999998</v>
      </c>
      <c r="P22" s="30">
        <v>9.2666666666666675</v>
      </c>
      <c r="Q22" s="30">
        <v>20</v>
      </c>
      <c r="R22" s="30">
        <v>0</v>
      </c>
      <c r="S22" s="30">
        <v>0</v>
      </c>
    </row>
    <row r="23" spans="1:19" ht="18.600000000000001" customHeight="1">
      <c r="A23" s="25" t="s">
        <v>173</v>
      </c>
      <c r="B23" s="26" t="s">
        <v>64</v>
      </c>
      <c r="C23" s="35" t="s">
        <v>31</v>
      </c>
      <c r="D23" s="30">
        <v>182.23333333333335</v>
      </c>
      <c r="E23" s="32">
        <v>3.4620449972562652</v>
      </c>
      <c r="F23" s="32">
        <v>1.1505396012438265</v>
      </c>
      <c r="G23" s="30">
        <v>186.79999999999998</v>
      </c>
      <c r="H23" s="30">
        <v>11.433333333333332</v>
      </c>
      <c r="I23" s="30">
        <v>0</v>
      </c>
      <c r="J23" s="30">
        <v>70.100000000000009</v>
      </c>
      <c r="K23" s="30">
        <v>160.6</v>
      </c>
      <c r="L23" s="30">
        <v>49.066666666666663</v>
      </c>
      <c r="M23" s="30">
        <v>24</v>
      </c>
      <c r="N23" s="30">
        <v>30.933333333333334</v>
      </c>
      <c r="O23" s="30">
        <v>30.599999999999998</v>
      </c>
      <c r="P23" s="30">
        <v>8.5666666666666664</v>
      </c>
      <c r="Q23" s="30">
        <v>18</v>
      </c>
      <c r="R23" s="30">
        <v>0</v>
      </c>
      <c r="S23" s="30">
        <v>0</v>
      </c>
    </row>
    <row r="24" spans="1:19" ht="18.600000000000001" customHeight="1">
      <c r="A24" s="25" t="s">
        <v>171</v>
      </c>
      <c r="B24" s="26" t="s">
        <v>95</v>
      </c>
      <c r="C24" s="35" t="s">
        <v>31</v>
      </c>
      <c r="D24" s="30">
        <v>186.86666666666667</v>
      </c>
      <c r="E24" s="32">
        <v>3.7803853014627182</v>
      </c>
      <c r="F24" s="32">
        <v>1.1416339636104174</v>
      </c>
      <c r="G24" s="30">
        <v>183.13333333333333</v>
      </c>
      <c r="H24" s="30">
        <v>13.466666666666667</v>
      </c>
      <c r="I24" s="30">
        <v>0</v>
      </c>
      <c r="J24" s="30">
        <v>78.492000000000004</v>
      </c>
      <c r="K24" s="30">
        <v>157.16666666666666</v>
      </c>
      <c r="L24" s="30">
        <v>56.166666666666664</v>
      </c>
      <c r="M24" s="30">
        <v>30</v>
      </c>
      <c r="N24" s="30">
        <v>30.933333333333334</v>
      </c>
      <c r="O24" s="30">
        <v>30.933333333333334</v>
      </c>
      <c r="P24" s="30">
        <v>7.7</v>
      </c>
      <c r="Q24" s="30">
        <v>18</v>
      </c>
      <c r="R24" s="30">
        <v>0</v>
      </c>
      <c r="S24" s="30">
        <v>0</v>
      </c>
    </row>
    <row r="25" spans="1:19" ht="18.600000000000001" customHeight="1">
      <c r="A25" s="25" t="s">
        <v>181</v>
      </c>
      <c r="B25" s="26" t="s">
        <v>77</v>
      </c>
      <c r="C25" s="35" t="s">
        <v>31</v>
      </c>
      <c r="D25" s="30">
        <v>180.93333333333331</v>
      </c>
      <c r="E25" s="32">
        <v>3.8002947678703021</v>
      </c>
      <c r="F25" s="32">
        <v>1.1099852616064851</v>
      </c>
      <c r="G25" s="30">
        <v>187.79999999999998</v>
      </c>
      <c r="H25" s="30">
        <v>11.366666666666667</v>
      </c>
      <c r="I25" s="30">
        <v>0</v>
      </c>
      <c r="J25" s="30">
        <v>76.399999999999991</v>
      </c>
      <c r="K25" s="30">
        <v>146.43333333333334</v>
      </c>
      <c r="L25" s="30">
        <v>54.4</v>
      </c>
      <c r="M25" s="30">
        <v>29</v>
      </c>
      <c r="N25" s="30">
        <v>30.599999999999998</v>
      </c>
      <c r="O25" s="30">
        <v>30.599999999999998</v>
      </c>
      <c r="P25" s="30">
        <v>9.5666666666666664</v>
      </c>
      <c r="Q25" s="30">
        <v>16</v>
      </c>
      <c r="R25" s="30">
        <v>0</v>
      </c>
      <c r="S25" s="30">
        <v>0</v>
      </c>
    </row>
    <row r="26" spans="1:19" ht="18.600000000000001" customHeight="1">
      <c r="A26" s="25" t="s">
        <v>165</v>
      </c>
      <c r="B26" s="26" t="s">
        <v>79</v>
      </c>
      <c r="C26" s="35" t="s">
        <v>31</v>
      </c>
      <c r="D26" s="30">
        <v>188.33333333333334</v>
      </c>
      <c r="E26" s="32">
        <v>3.2754265486725664</v>
      </c>
      <c r="F26" s="32">
        <v>1.2394690265486725</v>
      </c>
      <c r="G26" s="30">
        <v>179.73333333333335</v>
      </c>
      <c r="H26" s="30">
        <v>14.233333333333334</v>
      </c>
      <c r="I26" s="30">
        <v>0</v>
      </c>
      <c r="J26" s="30">
        <v>68.541333333333341</v>
      </c>
      <c r="K26" s="30">
        <v>168.33333333333334</v>
      </c>
      <c r="L26" s="30">
        <v>65.100000000000009</v>
      </c>
      <c r="M26" s="30">
        <v>14</v>
      </c>
      <c r="N26" s="30">
        <v>30.599999999999998</v>
      </c>
      <c r="O26" s="30">
        <v>30.599999999999998</v>
      </c>
      <c r="P26" s="30">
        <v>7.0666666666666664</v>
      </c>
      <c r="Q26" s="30">
        <v>21</v>
      </c>
      <c r="R26" s="30">
        <v>0</v>
      </c>
      <c r="S26" s="30">
        <v>0</v>
      </c>
    </row>
    <row r="27" spans="1:19" ht="18.600000000000001" customHeight="1">
      <c r="A27" s="25" t="s">
        <v>155</v>
      </c>
      <c r="B27" s="26" t="s">
        <v>69</v>
      </c>
      <c r="C27" s="35" t="s">
        <v>31</v>
      </c>
      <c r="D27" s="30">
        <v>155.79999999999998</v>
      </c>
      <c r="E27" s="32">
        <v>3.2965340179717586</v>
      </c>
      <c r="F27" s="32">
        <v>1.0870774497218658</v>
      </c>
      <c r="G27" s="30">
        <v>172.1</v>
      </c>
      <c r="H27" s="30">
        <v>10.9</v>
      </c>
      <c r="I27" s="30">
        <v>0</v>
      </c>
      <c r="J27" s="30">
        <v>57.066666666666663</v>
      </c>
      <c r="K27" s="30">
        <v>122.7</v>
      </c>
      <c r="L27" s="30">
        <v>46.666666666666664</v>
      </c>
      <c r="M27" s="30">
        <v>20</v>
      </c>
      <c r="N27" s="30">
        <v>30.166666666666668</v>
      </c>
      <c r="O27" s="30">
        <v>29.166666666666668</v>
      </c>
      <c r="P27" s="30">
        <v>6.6000000000000005</v>
      </c>
      <c r="Q27" s="30">
        <v>14</v>
      </c>
      <c r="R27" s="30">
        <v>0.75</v>
      </c>
      <c r="S27" s="30">
        <v>0</v>
      </c>
    </row>
    <row r="28" spans="1:19" ht="18.600000000000001" customHeight="1">
      <c r="A28" s="25" t="s">
        <v>152</v>
      </c>
      <c r="B28" s="26" t="s">
        <v>82</v>
      </c>
      <c r="C28" s="35" t="s">
        <v>31</v>
      </c>
      <c r="D28" s="30">
        <v>175.6</v>
      </c>
      <c r="E28" s="32">
        <v>3.4546810933940777</v>
      </c>
      <c r="F28" s="32">
        <v>1.1182611996962795</v>
      </c>
      <c r="G28" s="30">
        <v>167.83333333333334</v>
      </c>
      <c r="H28" s="30">
        <v>13.4</v>
      </c>
      <c r="I28" s="30">
        <v>0</v>
      </c>
      <c r="J28" s="30">
        <v>67.404666666666671</v>
      </c>
      <c r="K28" s="30">
        <v>152.5</v>
      </c>
      <c r="L28" s="30">
        <v>43.866666666666667</v>
      </c>
      <c r="M28" s="30">
        <v>28</v>
      </c>
      <c r="N28" s="30">
        <v>30.933333333333334</v>
      </c>
      <c r="O28" s="30">
        <v>30.933333333333334</v>
      </c>
      <c r="P28" s="30">
        <v>6.8666666666666671</v>
      </c>
      <c r="Q28" s="30">
        <v>17</v>
      </c>
      <c r="R28" s="30">
        <v>0</v>
      </c>
      <c r="S28" s="30">
        <v>0</v>
      </c>
    </row>
    <row r="29" spans="1:19" ht="18.600000000000001" customHeight="1">
      <c r="A29" s="25" t="s">
        <v>153</v>
      </c>
      <c r="B29" s="26" t="s">
        <v>74</v>
      </c>
      <c r="C29" s="35" t="s">
        <v>31</v>
      </c>
      <c r="D29" s="30">
        <v>182.16666666666666</v>
      </c>
      <c r="E29" s="32">
        <v>3.3086404391582804</v>
      </c>
      <c r="F29" s="32">
        <v>1.1634034766697166</v>
      </c>
      <c r="G29" s="30">
        <v>166.79999999999998</v>
      </c>
      <c r="H29" s="30">
        <v>14.033333333333333</v>
      </c>
      <c r="I29" s="30">
        <v>0</v>
      </c>
      <c r="J29" s="30">
        <v>66.969333333333338</v>
      </c>
      <c r="K29" s="30">
        <v>169.70000000000002</v>
      </c>
      <c r="L29" s="30">
        <v>42.233333333333334</v>
      </c>
      <c r="M29" s="30">
        <v>20</v>
      </c>
      <c r="N29" s="30">
        <v>30.266666666666666</v>
      </c>
      <c r="O29" s="30">
        <v>30.266666666666666</v>
      </c>
      <c r="P29" s="30">
        <v>7.166666666666667</v>
      </c>
      <c r="Q29" s="30">
        <v>19</v>
      </c>
      <c r="R29" s="30">
        <v>0</v>
      </c>
      <c r="S29" s="30">
        <v>0</v>
      </c>
    </row>
    <row r="30" spans="1:19" ht="18.600000000000001" customHeight="1">
      <c r="A30" s="25" t="s">
        <v>172</v>
      </c>
      <c r="B30" s="26" t="s">
        <v>69</v>
      </c>
      <c r="C30" s="35" t="s">
        <v>31</v>
      </c>
      <c r="D30" s="30">
        <v>168.96666666666667</v>
      </c>
      <c r="E30" s="32">
        <v>3.5101597948313272</v>
      </c>
      <c r="F30" s="32">
        <v>1.1090944959558098</v>
      </c>
      <c r="G30" s="30">
        <v>175.23333333333335</v>
      </c>
      <c r="H30" s="30">
        <v>11.200000000000001</v>
      </c>
      <c r="I30" s="30">
        <v>0</v>
      </c>
      <c r="J30" s="30">
        <v>65.899999999999991</v>
      </c>
      <c r="K30" s="30">
        <v>141.16666666666666</v>
      </c>
      <c r="L30" s="30">
        <v>46.233333333333327</v>
      </c>
      <c r="M30" s="30">
        <v>26</v>
      </c>
      <c r="N30" s="30">
        <v>29.266666666666666</v>
      </c>
      <c r="O30" s="30">
        <v>29.266666666666666</v>
      </c>
      <c r="P30" s="30">
        <v>6.7333333333333334</v>
      </c>
      <c r="Q30" s="30">
        <v>14</v>
      </c>
      <c r="R30" s="30">
        <v>0</v>
      </c>
      <c r="S30" s="30">
        <v>0</v>
      </c>
    </row>
    <row r="31" spans="1:19" ht="18.600000000000001" customHeight="1">
      <c r="A31" s="25" t="s">
        <v>169</v>
      </c>
      <c r="B31" s="26" t="s">
        <v>103</v>
      </c>
      <c r="C31" s="35" t="s">
        <v>31</v>
      </c>
      <c r="D31" s="30">
        <v>127.83333333333333</v>
      </c>
      <c r="E31" s="32">
        <v>3.1329856584093871</v>
      </c>
      <c r="F31" s="32">
        <v>1.0745762711864408</v>
      </c>
      <c r="G31" s="30">
        <v>170.93333333333331</v>
      </c>
      <c r="H31" s="30">
        <v>8.2666666666666675</v>
      </c>
      <c r="I31" s="30">
        <v>0</v>
      </c>
      <c r="J31" s="30">
        <v>44.5</v>
      </c>
      <c r="K31" s="30">
        <v>95.833333333333329</v>
      </c>
      <c r="L31" s="30">
        <v>41.533333333333331</v>
      </c>
      <c r="M31" s="30">
        <v>17</v>
      </c>
      <c r="N31" s="30">
        <v>24.966666666666669</v>
      </c>
      <c r="O31" s="30">
        <v>24.966666666666669</v>
      </c>
      <c r="P31" s="30">
        <v>4.666666666666667</v>
      </c>
      <c r="Q31" s="30">
        <v>16</v>
      </c>
      <c r="R31" s="30">
        <v>0</v>
      </c>
      <c r="S31" s="30">
        <v>0</v>
      </c>
    </row>
    <row r="32" spans="1:19" ht="18.600000000000001" customHeight="1">
      <c r="A32" s="25" t="s">
        <v>224</v>
      </c>
      <c r="B32" s="26" t="s">
        <v>225</v>
      </c>
      <c r="C32" s="35" t="s">
        <v>31</v>
      </c>
      <c r="D32" s="30">
        <v>159.26666666666668</v>
      </c>
      <c r="E32" s="32">
        <v>3.9160736709920463</v>
      </c>
      <c r="F32" s="32">
        <v>1.1538300544160736</v>
      </c>
      <c r="G32" s="30">
        <v>197.73333333333335</v>
      </c>
      <c r="H32" s="30">
        <v>8.5333333333333332</v>
      </c>
      <c r="I32" s="30">
        <v>0</v>
      </c>
      <c r="J32" s="30">
        <v>69.3</v>
      </c>
      <c r="K32" s="30">
        <v>128.53333333333333</v>
      </c>
      <c r="L32" s="30">
        <v>55.233333333333327</v>
      </c>
      <c r="M32" s="30">
        <v>25</v>
      </c>
      <c r="N32" s="30">
        <v>29.733333333333334</v>
      </c>
      <c r="O32" s="30">
        <v>29.733333333333334</v>
      </c>
      <c r="P32" s="30">
        <v>9.9666666666666668</v>
      </c>
      <c r="Q32" s="30">
        <v>15</v>
      </c>
      <c r="R32" s="30">
        <v>0</v>
      </c>
      <c r="S32" s="30">
        <v>0</v>
      </c>
    </row>
    <row r="33" spans="1:19" ht="18.600000000000001" customHeight="1">
      <c r="A33" s="25" t="s">
        <v>233</v>
      </c>
      <c r="B33" s="26" t="s">
        <v>225</v>
      </c>
      <c r="C33" s="35" t="s">
        <v>31</v>
      </c>
      <c r="D33" s="30">
        <v>156.23333333333332</v>
      </c>
      <c r="E33" s="32">
        <v>3.6483891615105613</v>
      </c>
      <c r="F33" s="32">
        <v>1.1877533603584383</v>
      </c>
      <c r="G33" s="30">
        <v>187.86666666666667</v>
      </c>
      <c r="H33" s="30">
        <v>8.1</v>
      </c>
      <c r="I33" s="30">
        <v>0</v>
      </c>
      <c r="J33" s="30">
        <v>63.333333333333336</v>
      </c>
      <c r="K33" s="30">
        <v>131.6</v>
      </c>
      <c r="L33" s="30">
        <v>53.966666666666669</v>
      </c>
      <c r="M33" s="30">
        <v>21</v>
      </c>
      <c r="N33" s="30">
        <v>28.066666666666666</v>
      </c>
      <c r="O33" s="30">
        <v>27.733333333333334</v>
      </c>
      <c r="P33" s="30">
        <v>8.2999999999999989</v>
      </c>
      <c r="Q33" s="30">
        <v>17</v>
      </c>
      <c r="R33" s="30">
        <v>0</v>
      </c>
      <c r="S33" s="30">
        <v>0</v>
      </c>
    </row>
    <row r="34" spans="1:19" ht="18.600000000000001" customHeight="1">
      <c r="A34" s="25" t="s">
        <v>156</v>
      </c>
      <c r="B34" s="26" t="s">
        <v>82</v>
      </c>
      <c r="C34" s="35" t="s">
        <v>31</v>
      </c>
      <c r="D34" s="30">
        <v>134.70000000000002</v>
      </c>
      <c r="E34" s="32">
        <v>3.0979955456570152</v>
      </c>
      <c r="F34" s="32">
        <v>1.0737441227418953</v>
      </c>
      <c r="G34" s="30">
        <v>144.1</v>
      </c>
      <c r="H34" s="30">
        <v>11.033333333333333</v>
      </c>
      <c r="I34" s="30">
        <v>0</v>
      </c>
      <c r="J34" s="30">
        <v>46.366666666666667</v>
      </c>
      <c r="K34" s="30">
        <v>117.26666666666667</v>
      </c>
      <c r="L34" s="30">
        <v>27.366666666666664</v>
      </c>
      <c r="M34" s="30">
        <v>22</v>
      </c>
      <c r="N34" s="30">
        <v>24.099999999999998</v>
      </c>
      <c r="O34" s="30">
        <v>24.099999999999998</v>
      </c>
      <c r="P34" s="30">
        <v>5.8666666666666671</v>
      </c>
      <c r="Q34" s="30">
        <v>17</v>
      </c>
      <c r="R34" s="30">
        <v>0</v>
      </c>
      <c r="S34" s="30">
        <v>0</v>
      </c>
    </row>
    <row r="35" spans="1:19" ht="18.600000000000001" customHeight="1">
      <c r="A35" s="25" t="s">
        <v>226</v>
      </c>
      <c r="B35" s="26" t="s">
        <v>64</v>
      </c>
      <c r="C35" s="35" t="s">
        <v>31</v>
      </c>
      <c r="D35" s="30">
        <v>141.76666666666668</v>
      </c>
      <c r="E35" s="32">
        <v>3.5255114037150239</v>
      </c>
      <c r="F35" s="32">
        <v>1.2229014813073125</v>
      </c>
      <c r="G35" s="30">
        <v>179.53333333333333</v>
      </c>
      <c r="H35" s="30">
        <v>9.6666666666666661</v>
      </c>
      <c r="I35" s="30">
        <v>0</v>
      </c>
      <c r="J35" s="30">
        <v>55.533333333333331</v>
      </c>
      <c r="K35" s="30">
        <v>115.39999999999999</v>
      </c>
      <c r="L35" s="30">
        <v>57.966666666666669</v>
      </c>
      <c r="M35" s="30">
        <v>19</v>
      </c>
      <c r="N35" s="30">
        <v>27.5</v>
      </c>
      <c r="O35" s="30">
        <v>27.166666666666668</v>
      </c>
      <c r="P35" s="30">
        <v>7.0333333333333341</v>
      </c>
      <c r="Q35" s="30">
        <v>15</v>
      </c>
      <c r="R35" s="30">
        <v>0</v>
      </c>
      <c r="S35" s="30">
        <v>0</v>
      </c>
    </row>
    <row r="36" spans="1:19" ht="18.600000000000001" customHeight="1">
      <c r="A36" s="25" t="s">
        <v>195</v>
      </c>
      <c r="B36" s="26" t="s">
        <v>103</v>
      </c>
      <c r="C36" s="35" t="s">
        <v>31</v>
      </c>
      <c r="D36" s="30">
        <v>149.76666666666668</v>
      </c>
      <c r="E36" s="32">
        <v>3.2430447362563988</v>
      </c>
      <c r="F36" s="32">
        <v>1.135321611395504</v>
      </c>
      <c r="G36" s="30">
        <v>161.43333333333334</v>
      </c>
      <c r="H36" s="30">
        <v>9.1333333333333329</v>
      </c>
      <c r="I36" s="30">
        <v>0</v>
      </c>
      <c r="J36" s="30">
        <v>53.966666666666669</v>
      </c>
      <c r="K36" s="30">
        <v>129.83333333333334</v>
      </c>
      <c r="L36" s="30">
        <v>40.199999999999996</v>
      </c>
      <c r="M36" s="30">
        <v>19</v>
      </c>
      <c r="N36" s="30">
        <v>27.3</v>
      </c>
      <c r="O36" s="30">
        <v>26.966666666666669</v>
      </c>
      <c r="P36" s="30">
        <v>7.4666666666666659</v>
      </c>
      <c r="Q36" s="30">
        <v>12</v>
      </c>
      <c r="R36" s="30">
        <v>0</v>
      </c>
      <c r="S36" s="30">
        <v>0</v>
      </c>
    </row>
    <row r="37" spans="1:19" ht="18.600000000000001" customHeight="1">
      <c r="A37" s="25" t="s">
        <v>203</v>
      </c>
      <c r="B37" s="26" t="s">
        <v>158</v>
      </c>
      <c r="C37" s="35" t="s">
        <v>31</v>
      </c>
      <c r="D37" s="30">
        <v>161.73333333333332</v>
      </c>
      <c r="E37" s="32">
        <v>3.9101401483924159</v>
      </c>
      <c r="F37" s="32">
        <v>1.1265457543281121</v>
      </c>
      <c r="G37" s="30">
        <v>166.26666666666668</v>
      </c>
      <c r="H37" s="30">
        <v>11.6</v>
      </c>
      <c r="I37" s="30">
        <v>0</v>
      </c>
      <c r="J37" s="30">
        <v>70.266666666666666</v>
      </c>
      <c r="K37" s="30">
        <v>134.53333333333333</v>
      </c>
      <c r="L37" s="30">
        <v>47.666666666666664</v>
      </c>
      <c r="M37" s="30">
        <v>26</v>
      </c>
      <c r="N37" s="30">
        <v>29.933333333333334</v>
      </c>
      <c r="O37" s="30">
        <v>29.933333333333334</v>
      </c>
      <c r="P37" s="30">
        <v>8.2999999999999989</v>
      </c>
      <c r="Q37" s="30">
        <v>14</v>
      </c>
      <c r="R37" s="30">
        <v>0</v>
      </c>
      <c r="S37" s="30">
        <v>0</v>
      </c>
    </row>
    <row r="38" spans="1:19" ht="18.600000000000001" customHeight="1">
      <c r="A38" s="25" t="s">
        <v>242</v>
      </c>
      <c r="B38" s="26" t="s">
        <v>74</v>
      </c>
      <c r="C38" s="35" t="s">
        <v>31</v>
      </c>
      <c r="D38" s="30">
        <v>162.23333333333335</v>
      </c>
      <c r="E38" s="32">
        <v>3.9535648243271004</v>
      </c>
      <c r="F38" s="32">
        <v>1.2161495787959729</v>
      </c>
      <c r="G38" s="30">
        <v>182.56666666666669</v>
      </c>
      <c r="H38" s="30">
        <v>10.533333333333333</v>
      </c>
      <c r="I38" s="30">
        <v>0</v>
      </c>
      <c r="J38" s="30">
        <v>71.266666666666666</v>
      </c>
      <c r="K38" s="30">
        <v>142.76666666666668</v>
      </c>
      <c r="L38" s="30">
        <v>54.533333333333331</v>
      </c>
      <c r="M38" s="30">
        <v>19</v>
      </c>
      <c r="N38" s="30">
        <v>29.266666666666666</v>
      </c>
      <c r="O38" s="30">
        <v>29.266666666666666</v>
      </c>
      <c r="P38" s="30">
        <v>6.8</v>
      </c>
      <c r="Q38" s="30">
        <v>15</v>
      </c>
      <c r="R38" s="30">
        <v>0</v>
      </c>
      <c r="S38" s="30">
        <v>0</v>
      </c>
    </row>
    <row r="39" spans="1:19" ht="18.600000000000001" customHeight="1">
      <c r="A39" s="25" t="s">
        <v>227</v>
      </c>
      <c r="B39" s="26" t="s">
        <v>72</v>
      </c>
      <c r="C39" s="35" t="s">
        <v>31</v>
      </c>
      <c r="D39" s="30">
        <v>179.26666666666665</v>
      </c>
      <c r="E39" s="32">
        <v>3.8501859427296399</v>
      </c>
      <c r="F39" s="32">
        <v>1.1868724432874675</v>
      </c>
      <c r="G39" s="30">
        <v>171.4</v>
      </c>
      <c r="H39" s="30">
        <v>11</v>
      </c>
      <c r="I39" s="30">
        <v>0</v>
      </c>
      <c r="J39" s="30">
        <v>76.69</v>
      </c>
      <c r="K39" s="30">
        <v>166.13333333333333</v>
      </c>
      <c r="L39" s="30">
        <v>46.633333333333333</v>
      </c>
      <c r="M39" s="30">
        <v>24</v>
      </c>
      <c r="N39" s="30">
        <v>30.599999999999998</v>
      </c>
      <c r="O39" s="30">
        <v>30.599999999999998</v>
      </c>
      <c r="P39" s="30">
        <v>8.1333333333333329</v>
      </c>
      <c r="Q39" s="30">
        <v>16</v>
      </c>
      <c r="R39" s="30">
        <v>0</v>
      </c>
      <c r="S39" s="30">
        <v>0</v>
      </c>
    </row>
    <row r="40" spans="1:19" ht="18.600000000000001" customHeight="1">
      <c r="A40" s="25" t="s">
        <v>216</v>
      </c>
      <c r="B40" s="26" t="s">
        <v>116</v>
      </c>
      <c r="C40" s="35" t="s">
        <v>31</v>
      </c>
      <c r="D40" s="30">
        <v>165.73333333333335</v>
      </c>
      <c r="E40" s="32">
        <v>3.7650844730490745</v>
      </c>
      <c r="F40" s="32">
        <v>1.155068382944489</v>
      </c>
      <c r="G40" s="30">
        <v>165.70000000000002</v>
      </c>
      <c r="H40" s="30">
        <v>10.5</v>
      </c>
      <c r="I40" s="30">
        <v>0</v>
      </c>
      <c r="J40" s="30">
        <v>69.333333333333329</v>
      </c>
      <c r="K40" s="30">
        <v>152.03333333333333</v>
      </c>
      <c r="L40" s="30">
        <v>39.4</v>
      </c>
      <c r="M40" s="30">
        <v>26</v>
      </c>
      <c r="N40" s="30">
        <v>28.933333333333334</v>
      </c>
      <c r="O40" s="30">
        <v>28.933333333333334</v>
      </c>
      <c r="P40" s="30">
        <v>8.5333333333333332</v>
      </c>
      <c r="Q40" s="30">
        <v>16</v>
      </c>
      <c r="R40" s="30">
        <v>0</v>
      </c>
      <c r="S40" s="30">
        <v>0</v>
      </c>
    </row>
    <row r="41" spans="1:19" ht="18.600000000000001" customHeight="1">
      <c r="A41" s="25" t="s">
        <v>212</v>
      </c>
      <c r="B41" s="26" t="s">
        <v>72</v>
      </c>
      <c r="C41" s="35" t="s">
        <v>31</v>
      </c>
      <c r="D41" s="30">
        <v>166.26666666666665</v>
      </c>
      <c r="E41" s="32">
        <v>3.5341419406575785</v>
      </c>
      <c r="F41" s="32">
        <v>1.1641940657578189</v>
      </c>
      <c r="G41" s="30">
        <v>163.36666666666667</v>
      </c>
      <c r="H41" s="30">
        <v>9.7333333333333325</v>
      </c>
      <c r="I41" s="30">
        <v>0</v>
      </c>
      <c r="J41" s="30">
        <v>65.290000000000006</v>
      </c>
      <c r="K41" s="30">
        <v>159.86666666666667</v>
      </c>
      <c r="L41" s="30">
        <v>33.699999999999996</v>
      </c>
      <c r="M41" s="30">
        <v>17</v>
      </c>
      <c r="N41" s="30">
        <v>29.733333333333334</v>
      </c>
      <c r="O41" s="30">
        <v>29.733333333333334</v>
      </c>
      <c r="P41" s="30">
        <v>7.2333333333333334</v>
      </c>
      <c r="Q41" s="30">
        <v>13</v>
      </c>
      <c r="R41" s="30">
        <v>0</v>
      </c>
      <c r="S41" s="30">
        <v>0</v>
      </c>
    </row>
    <row r="42" spans="1:19" ht="18.600000000000001" customHeight="1">
      <c r="A42" s="25" t="s">
        <v>209</v>
      </c>
      <c r="B42" s="26" t="s">
        <v>95</v>
      </c>
      <c r="C42" s="35" t="s">
        <v>31</v>
      </c>
      <c r="D42" s="30">
        <v>178.16666666666666</v>
      </c>
      <c r="E42" s="32">
        <v>3.7471318989710012</v>
      </c>
      <c r="F42" s="32">
        <v>1.1973807296538821</v>
      </c>
      <c r="G42" s="30">
        <v>160.63333333333333</v>
      </c>
      <c r="H42" s="30">
        <v>12.666666666666666</v>
      </c>
      <c r="I42" s="30">
        <v>0</v>
      </c>
      <c r="J42" s="30">
        <v>74.179333333333332</v>
      </c>
      <c r="K42" s="30">
        <v>164.6</v>
      </c>
      <c r="L42" s="30">
        <v>48.733333333333327</v>
      </c>
      <c r="M42" s="30">
        <v>25</v>
      </c>
      <c r="N42" s="30">
        <v>29.933333333333334</v>
      </c>
      <c r="O42" s="30">
        <v>29.933333333333334</v>
      </c>
      <c r="P42" s="30">
        <v>8.3666666666666671</v>
      </c>
      <c r="Q42" s="30">
        <v>15</v>
      </c>
      <c r="R42" s="30">
        <v>0</v>
      </c>
      <c r="S42" s="30">
        <v>0</v>
      </c>
    </row>
    <row r="43" spans="1:19" ht="18.600000000000001" customHeight="1">
      <c r="A43" s="25" t="s">
        <v>221</v>
      </c>
      <c r="B43" s="26" t="s">
        <v>219</v>
      </c>
      <c r="C43" s="35" t="s">
        <v>31</v>
      </c>
      <c r="D43" s="30">
        <v>180.6</v>
      </c>
      <c r="E43" s="32">
        <v>3.5953156146179399</v>
      </c>
      <c r="F43" s="32">
        <v>1.245108896271687</v>
      </c>
      <c r="G43" s="30">
        <v>157.83333333333334</v>
      </c>
      <c r="H43" s="30">
        <v>12.933333333333332</v>
      </c>
      <c r="I43" s="30">
        <v>0</v>
      </c>
      <c r="J43" s="30">
        <v>72.146000000000001</v>
      </c>
      <c r="K43" s="30">
        <v>174.76666666666665</v>
      </c>
      <c r="L43" s="30">
        <v>50.1</v>
      </c>
      <c r="M43" s="30">
        <v>17</v>
      </c>
      <c r="N43" s="30">
        <v>31.266666666666666</v>
      </c>
      <c r="O43" s="30">
        <v>30.599999999999998</v>
      </c>
      <c r="P43" s="30">
        <v>9.0666666666666664</v>
      </c>
      <c r="Q43" s="30">
        <v>18</v>
      </c>
      <c r="R43" s="30">
        <v>0</v>
      </c>
      <c r="S43" s="30">
        <v>0</v>
      </c>
    </row>
    <row r="44" spans="1:19" ht="18.600000000000001" customHeight="1">
      <c r="A44" s="25" t="s">
        <v>280</v>
      </c>
      <c r="B44" s="26" t="s">
        <v>116</v>
      </c>
      <c r="C44" s="35" t="s">
        <v>31</v>
      </c>
      <c r="D44" s="30">
        <v>169.43333333333334</v>
      </c>
      <c r="E44" s="32">
        <v>4.1644698012984449</v>
      </c>
      <c r="F44" s="32">
        <v>1.2626401731261065</v>
      </c>
      <c r="G44" s="30">
        <v>181.83333333333334</v>
      </c>
      <c r="H44" s="30">
        <v>10.866666666666667</v>
      </c>
      <c r="I44" s="30">
        <v>0</v>
      </c>
      <c r="J44" s="30">
        <v>78.399999999999991</v>
      </c>
      <c r="K44" s="30">
        <v>156.93333333333334</v>
      </c>
      <c r="L44" s="30">
        <v>57</v>
      </c>
      <c r="M44" s="30">
        <v>27</v>
      </c>
      <c r="N44" s="30">
        <v>30.933333333333334</v>
      </c>
      <c r="O44" s="30">
        <v>30.599999999999998</v>
      </c>
      <c r="P44" s="30">
        <v>8.9333333333333336</v>
      </c>
      <c r="Q44" s="30">
        <v>15</v>
      </c>
      <c r="R44" s="30">
        <v>0</v>
      </c>
      <c r="S44" s="30">
        <v>0</v>
      </c>
    </row>
    <row r="45" spans="1:19" ht="18.600000000000001" customHeight="1">
      <c r="A45" s="25" t="s">
        <v>238</v>
      </c>
      <c r="B45" s="26" t="s">
        <v>74</v>
      </c>
      <c r="C45" s="35" t="s">
        <v>31</v>
      </c>
      <c r="D45" s="30">
        <v>174.5</v>
      </c>
      <c r="E45" s="32">
        <v>3.7704412607449855</v>
      </c>
      <c r="F45" s="32">
        <v>1.2710601719197709</v>
      </c>
      <c r="G45" s="30">
        <v>162</v>
      </c>
      <c r="H45" s="30">
        <v>13.066666666666668</v>
      </c>
      <c r="I45" s="30">
        <v>0</v>
      </c>
      <c r="J45" s="30">
        <v>73.104666666666674</v>
      </c>
      <c r="K45" s="30">
        <v>164.46666666666667</v>
      </c>
      <c r="L45" s="30">
        <v>57.333333333333336</v>
      </c>
      <c r="M45" s="30">
        <v>20</v>
      </c>
      <c r="N45" s="30">
        <v>29.266666666666666</v>
      </c>
      <c r="O45" s="30">
        <v>29.266666666666666</v>
      </c>
      <c r="P45" s="30">
        <v>8</v>
      </c>
      <c r="Q45" s="30">
        <v>17</v>
      </c>
      <c r="R45" s="30">
        <v>0</v>
      </c>
      <c r="S45" s="30">
        <v>0</v>
      </c>
    </row>
    <row r="46" spans="1:19" ht="18.600000000000001" customHeight="1">
      <c r="A46" s="25" t="s">
        <v>246</v>
      </c>
      <c r="B46" s="26" t="s">
        <v>158</v>
      </c>
      <c r="C46" s="35" t="s">
        <v>31</v>
      </c>
      <c r="D46" s="30">
        <v>166.23333333333332</v>
      </c>
      <c r="E46" s="32">
        <v>3.7492119510727888</v>
      </c>
      <c r="F46" s="32">
        <v>1.2041307399238019</v>
      </c>
      <c r="G46" s="30">
        <v>164.1</v>
      </c>
      <c r="H46" s="30">
        <v>10</v>
      </c>
      <c r="I46" s="30">
        <v>0</v>
      </c>
      <c r="J46" s="30">
        <v>69.249333333333325</v>
      </c>
      <c r="K46" s="30">
        <v>152.43333333333334</v>
      </c>
      <c r="L46" s="30">
        <v>47.733333333333327</v>
      </c>
      <c r="M46" s="30">
        <v>21</v>
      </c>
      <c r="N46" s="30">
        <v>29.733333333333334</v>
      </c>
      <c r="O46" s="30">
        <v>29.733333333333334</v>
      </c>
      <c r="P46" s="30">
        <v>8.7999999999999989</v>
      </c>
      <c r="Q46" s="30">
        <v>16</v>
      </c>
      <c r="R46" s="30">
        <v>0</v>
      </c>
      <c r="S46" s="30">
        <v>0</v>
      </c>
    </row>
    <row r="47" spans="1:19" ht="18.600000000000001" customHeight="1">
      <c r="A47" s="25" t="s">
        <v>234</v>
      </c>
      <c r="B47" s="26" t="s">
        <v>125</v>
      </c>
      <c r="C47" s="35" t="s">
        <v>31</v>
      </c>
      <c r="D47" s="30">
        <v>171.93333333333331</v>
      </c>
      <c r="E47" s="32">
        <v>3.6605118262892602</v>
      </c>
      <c r="F47" s="32">
        <v>1.1826289259402871</v>
      </c>
      <c r="G47" s="30">
        <v>157.6</v>
      </c>
      <c r="H47" s="30">
        <v>10.166666666666666</v>
      </c>
      <c r="I47" s="30">
        <v>0</v>
      </c>
      <c r="J47" s="30">
        <v>69.929333333333332</v>
      </c>
      <c r="K47" s="30">
        <v>160.46666666666667</v>
      </c>
      <c r="L47" s="30">
        <v>42.866666666666667</v>
      </c>
      <c r="M47" s="30">
        <v>20</v>
      </c>
      <c r="N47" s="30">
        <v>30.933333333333334</v>
      </c>
      <c r="O47" s="30">
        <v>30.933333333333334</v>
      </c>
      <c r="P47" s="30">
        <v>7.666666666666667</v>
      </c>
      <c r="Q47" s="30">
        <v>16</v>
      </c>
      <c r="R47" s="30">
        <v>0</v>
      </c>
      <c r="S47" s="30">
        <v>0</v>
      </c>
    </row>
    <row r="48" spans="1:19" ht="18.600000000000001" customHeight="1">
      <c r="A48" s="25" t="s">
        <v>240</v>
      </c>
      <c r="B48" s="26" t="s">
        <v>105</v>
      </c>
      <c r="C48" s="35" t="s">
        <v>31</v>
      </c>
      <c r="D48" s="30">
        <v>128.66666666666666</v>
      </c>
      <c r="E48" s="32">
        <v>3.7049222797927466</v>
      </c>
      <c r="F48" s="32">
        <v>1.1178756476683938</v>
      </c>
      <c r="G48" s="30">
        <v>156.56666666666666</v>
      </c>
      <c r="H48" s="30">
        <v>7.7333333333333334</v>
      </c>
      <c r="I48" s="30">
        <v>0</v>
      </c>
      <c r="J48" s="30">
        <v>52.966666666666669</v>
      </c>
      <c r="K48" s="30">
        <v>109.46666666666665</v>
      </c>
      <c r="L48" s="30">
        <v>34.366666666666667</v>
      </c>
      <c r="M48" s="30">
        <v>17</v>
      </c>
      <c r="N48" s="30">
        <v>24.766666666666666</v>
      </c>
      <c r="O48" s="30">
        <v>24.766666666666666</v>
      </c>
      <c r="P48" s="30">
        <v>7.2333333333333334</v>
      </c>
      <c r="Q48" s="30">
        <v>14</v>
      </c>
      <c r="R48" s="30">
        <v>0</v>
      </c>
      <c r="S48" s="30">
        <v>0</v>
      </c>
    </row>
    <row r="49" spans="1:19" ht="18.600000000000001" customHeight="1">
      <c r="A49" s="25" t="s">
        <v>271</v>
      </c>
      <c r="B49" s="26" t="s">
        <v>119</v>
      </c>
      <c r="C49" s="35" t="s">
        <v>31</v>
      </c>
      <c r="D49" s="30">
        <v>173.33333333333334</v>
      </c>
      <c r="E49" s="32">
        <v>3.8226807692307689</v>
      </c>
      <c r="F49" s="32">
        <v>1.2509615384615385</v>
      </c>
      <c r="G49" s="30">
        <v>162.46666666666667</v>
      </c>
      <c r="H49" s="30">
        <v>10.299999999999999</v>
      </c>
      <c r="I49" s="30">
        <v>0</v>
      </c>
      <c r="J49" s="30">
        <v>73.622</v>
      </c>
      <c r="K49" s="30">
        <v>166.03333333333333</v>
      </c>
      <c r="L49" s="30">
        <v>50.800000000000004</v>
      </c>
      <c r="M49" s="30">
        <v>19</v>
      </c>
      <c r="N49" s="30">
        <v>29.599999999999998</v>
      </c>
      <c r="O49" s="30">
        <v>29.599999999999998</v>
      </c>
      <c r="P49" s="30">
        <v>9.0333333333333332</v>
      </c>
      <c r="Q49" s="30">
        <v>17</v>
      </c>
      <c r="R49" s="30">
        <v>0</v>
      </c>
      <c r="S49" s="30">
        <v>0</v>
      </c>
    </row>
    <row r="50" spans="1:19" ht="18.600000000000001" customHeight="1">
      <c r="A50" s="25" t="s">
        <v>256</v>
      </c>
      <c r="B50" s="26" t="s">
        <v>219</v>
      </c>
      <c r="C50" s="35" t="s">
        <v>31</v>
      </c>
      <c r="D50" s="30">
        <v>161.46666666666667</v>
      </c>
      <c r="E50" s="32">
        <v>3.5600165152766312</v>
      </c>
      <c r="F50" s="32">
        <v>1.2291494632535096</v>
      </c>
      <c r="G50" s="30">
        <v>156.29999999999998</v>
      </c>
      <c r="H50" s="30">
        <v>9.1333333333333329</v>
      </c>
      <c r="I50" s="30">
        <v>0</v>
      </c>
      <c r="J50" s="30">
        <v>63.869333333333337</v>
      </c>
      <c r="K50" s="30">
        <v>151.13333333333333</v>
      </c>
      <c r="L50" s="30">
        <v>47.333333333333336</v>
      </c>
      <c r="M50" s="30">
        <v>14</v>
      </c>
      <c r="N50" s="30">
        <v>28.733333333333334</v>
      </c>
      <c r="O50" s="30">
        <v>28.733333333333334</v>
      </c>
      <c r="P50" s="30">
        <v>7.9666666666666659</v>
      </c>
      <c r="Q50" s="30">
        <v>16</v>
      </c>
      <c r="R50" s="30">
        <v>0</v>
      </c>
      <c r="S50" s="30">
        <v>0</v>
      </c>
    </row>
    <row r="51" spans="1:19" ht="18.600000000000001" customHeight="1">
      <c r="A51" s="25" t="s">
        <v>276</v>
      </c>
      <c r="B51" s="26" t="s">
        <v>87</v>
      </c>
      <c r="C51" s="35" t="s">
        <v>31</v>
      </c>
      <c r="D51" s="30">
        <v>131.73333333333332</v>
      </c>
      <c r="E51" s="32">
        <v>3.8350202429149802</v>
      </c>
      <c r="F51" s="32">
        <v>1.1606781376518218</v>
      </c>
      <c r="G51" s="30">
        <v>157.73333333333332</v>
      </c>
      <c r="H51" s="30">
        <v>7.4666666666666659</v>
      </c>
      <c r="I51" s="30">
        <v>0</v>
      </c>
      <c r="J51" s="30">
        <v>56.133333333333333</v>
      </c>
      <c r="K51" s="30">
        <v>116.39999999999999</v>
      </c>
      <c r="L51" s="30">
        <v>36.5</v>
      </c>
      <c r="M51" s="30">
        <v>19</v>
      </c>
      <c r="N51" s="30">
        <v>26.166666666666668</v>
      </c>
      <c r="O51" s="30">
        <v>26.166666666666668</v>
      </c>
      <c r="P51" s="30">
        <v>7.8</v>
      </c>
      <c r="Q51" s="30">
        <v>13</v>
      </c>
      <c r="R51" s="30">
        <v>0</v>
      </c>
      <c r="S51" s="30">
        <v>0</v>
      </c>
    </row>
    <row r="52" spans="1:19" ht="18.600000000000001" customHeight="1">
      <c r="A52" s="25" t="s">
        <v>301</v>
      </c>
      <c r="B52" s="26" t="s">
        <v>87</v>
      </c>
      <c r="C52" s="35" t="s">
        <v>31</v>
      </c>
      <c r="D52" s="30">
        <v>160.43333333333334</v>
      </c>
      <c r="E52" s="32">
        <v>4.0633700394764185</v>
      </c>
      <c r="F52" s="32">
        <v>1.2148348223561189</v>
      </c>
      <c r="G52" s="30">
        <v>161.79999999999998</v>
      </c>
      <c r="H52" s="30">
        <v>8.7333333333333325</v>
      </c>
      <c r="I52" s="30">
        <v>0</v>
      </c>
      <c r="J52" s="30">
        <v>72.433333333333337</v>
      </c>
      <c r="K52" s="30">
        <v>143.76666666666668</v>
      </c>
      <c r="L52" s="30">
        <v>51.133333333333333</v>
      </c>
      <c r="M52" s="30">
        <v>22</v>
      </c>
      <c r="N52" s="30">
        <v>29.933333333333334</v>
      </c>
      <c r="O52" s="30">
        <v>29.933333333333334</v>
      </c>
      <c r="P52" s="30">
        <v>10</v>
      </c>
      <c r="Q52" s="30">
        <v>15</v>
      </c>
      <c r="R52" s="30">
        <v>0</v>
      </c>
      <c r="S52" s="30">
        <v>0</v>
      </c>
    </row>
    <row r="53" spans="1:19" ht="18.600000000000001" customHeight="1">
      <c r="A53" s="25" t="s">
        <v>232</v>
      </c>
      <c r="B53" s="26" t="s">
        <v>82</v>
      </c>
      <c r="C53" s="35" t="s">
        <v>31</v>
      </c>
      <c r="D53" s="30">
        <v>141.23333333333332</v>
      </c>
      <c r="E53" s="32">
        <v>3.6277413264101956</v>
      </c>
      <c r="F53" s="32">
        <v>1.1569506726457401</v>
      </c>
      <c r="G53" s="30">
        <v>134.76666666666668</v>
      </c>
      <c r="H53" s="30">
        <v>10.799999999999999</v>
      </c>
      <c r="I53" s="30">
        <v>0</v>
      </c>
      <c r="J53" s="30">
        <v>56.928666666666665</v>
      </c>
      <c r="K53" s="30">
        <v>117.26666666666667</v>
      </c>
      <c r="L53" s="30">
        <v>46.133333333333333</v>
      </c>
      <c r="M53" s="30">
        <v>23</v>
      </c>
      <c r="N53" s="30">
        <v>26.733333333333334</v>
      </c>
      <c r="O53" s="30">
        <v>26.733333333333334</v>
      </c>
      <c r="P53" s="30">
        <v>5.833333333333333</v>
      </c>
      <c r="Q53" s="30">
        <v>12</v>
      </c>
      <c r="R53" s="30">
        <v>0</v>
      </c>
      <c r="S53" s="30">
        <v>0</v>
      </c>
    </row>
    <row r="54" spans="1:19" ht="18.600000000000001" customHeight="1">
      <c r="A54" s="25" t="s">
        <v>285</v>
      </c>
      <c r="B54" s="26" t="s">
        <v>122</v>
      </c>
      <c r="C54" s="35" t="s">
        <v>31</v>
      </c>
      <c r="D54" s="30">
        <v>181.86666666666665</v>
      </c>
      <c r="E54" s="32">
        <v>4.0532991202346045</v>
      </c>
      <c r="F54" s="32">
        <v>1.2485337243401762</v>
      </c>
      <c r="G54" s="30">
        <v>156.23333333333332</v>
      </c>
      <c r="H54" s="30">
        <v>11.133333333333333</v>
      </c>
      <c r="I54" s="30">
        <v>0</v>
      </c>
      <c r="J54" s="30">
        <v>81.906666666666666</v>
      </c>
      <c r="K54" s="30">
        <v>173.5</v>
      </c>
      <c r="L54" s="30">
        <v>53.566666666666663</v>
      </c>
      <c r="M54" s="30">
        <v>26</v>
      </c>
      <c r="N54" s="30">
        <v>30.266666666666666</v>
      </c>
      <c r="O54" s="30">
        <v>30.266666666666666</v>
      </c>
      <c r="P54" s="30">
        <v>9.8333333333333339</v>
      </c>
      <c r="Q54" s="30">
        <v>17</v>
      </c>
      <c r="R54" s="30">
        <v>0</v>
      </c>
      <c r="S54" s="30">
        <v>0</v>
      </c>
    </row>
    <row r="55" spans="1:19" ht="18.600000000000001" customHeight="1">
      <c r="A55" s="25" t="s">
        <v>254</v>
      </c>
      <c r="B55" s="26" t="s">
        <v>99</v>
      </c>
      <c r="C55" s="35" t="s">
        <v>31</v>
      </c>
      <c r="D55" s="30">
        <v>127.66666666666667</v>
      </c>
      <c r="E55" s="32">
        <v>3.7198433420365538</v>
      </c>
      <c r="F55" s="32">
        <v>1.1446475195822454</v>
      </c>
      <c r="G55" s="30">
        <v>145.73333333333332</v>
      </c>
      <c r="H55" s="30">
        <v>8.2000000000000011</v>
      </c>
      <c r="I55" s="30">
        <v>0</v>
      </c>
      <c r="J55" s="30">
        <v>52.766666666666673</v>
      </c>
      <c r="K55" s="30">
        <v>98.633333333333326</v>
      </c>
      <c r="L55" s="30">
        <v>47.5</v>
      </c>
      <c r="M55" s="30">
        <v>20</v>
      </c>
      <c r="N55" s="30">
        <v>25.099999999999998</v>
      </c>
      <c r="O55" s="30">
        <v>25.099999999999998</v>
      </c>
      <c r="P55" s="30">
        <v>6.3</v>
      </c>
      <c r="Q55" s="30">
        <v>11</v>
      </c>
      <c r="R55" s="30">
        <v>0</v>
      </c>
      <c r="S55" s="30">
        <v>0</v>
      </c>
    </row>
    <row r="56" spans="1:19" ht="18.600000000000001" customHeight="1">
      <c r="A56" s="25" t="s">
        <v>351</v>
      </c>
      <c r="B56" s="26" t="s">
        <v>79</v>
      </c>
      <c r="C56" s="35" t="s">
        <v>31</v>
      </c>
      <c r="D56" s="30">
        <v>149.25</v>
      </c>
      <c r="E56" s="32">
        <v>3.9332663316582921</v>
      </c>
      <c r="F56" s="32">
        <v>1.216929089893914</v>
      </c>
      <c r="G56" s="30">
        <v>149.95333333333335</v>
      </c>
      <c r="H56" s="30">
        <v>10.76</v>
      </c>
      <c r="I56" s="30">
        <v>0</v>
      </c>
      <c r="J56" s="30">
        <v>65.226666666666674</v>
      </c>
      <c r="K56" s="30">
        <v>135.14666666666668</v>
      </c>
      <c r="L56" s="30">
        <v>46.48</v>
      </c>
      <c r="M56" s="30">
        <v>23</v>
      </c>
      <c r="N56" s="30">
        <v>27.826666666666668</v>
      </c>
      <c r="O56" s="30">
        <v>27.826666666666668</v>
      </c>
      <c r="P56" s="30">
        <v>7.75</v>
      </c>
      <c r="Q56" s="30">
        <v>13</v>
      </c>
      <c r="R56" s="30">
        <v>0</v>
      </c>
      <c r="S56" s="30">
        <v>0</v>
      </c>
    </row>
    <row r="57" spans="1:19" ht="18.600000000000001" customHeight="1">
      <c r="A57" s="25" t="s">
        <v>299</v>
      </c>
      <c r="B57" s="26" t="s">
        <v>97</v>
      </c>
      <c r="C57" s="35" t="s">
        <v>31</v>
      </c>
      <c r="D57" s="30">
        <v>143.10000000000002</v>
      </c>
      <c r="E57" s="32">
        <v>3.8207547169811313</v>
      </c>
      <c r="F57" s="32">
        <v>1.2627533193570926</v>
      </c>
      <c r="G57" s="30">
        <v>156.5</v>
      </c>
      <c r="H57" s="30">
        <v>9.35</v>
      </c>
      <c r="I57" s="30">
        <v>0</v>
      </c>
      <c r="J57" s="30">
        <v>60.75</v>
      </c>
      <c r="K57" s="30">
        <v>125.25</v>
      </c>
      <c r="L57" s="30">
        <v>55.45</v>
      </c>
      <c r="M57" s="30">
        <v>18</v>
      </c>
      <c r="N57" s="30">
        <v>28.45</v>
      </c>
      <c r="O57" s="30">
        <v>25.95</v>
      </c>
      <c r="P57" s="30">
        <v>7.95</v>
      </c>
      <c r="Q57" s="30">
        <v>13</v>
      </c>
      <c r="R57" s="30">
        <v>0</v>
      </c>
      <c r="S57" s="30">
        <v>0</v>
      </c>
    </row>
    <row r="58" spans="1:19" ht="18.600000000000001" customHeight="1">
      <c r="A58" s="25" t="s">
        <v>263</v>
      </c>
      <c r="B58" s="26" t="s">
        <v>125</v>
      </c>
      <c r="C58" s="35" t="s">
        <v>31</v>
      </c>
      <c r="D58" s="30">
        <v>186.66666666666666</v>
      </c>
      <c r="E58" s="32">
        <v>3.9579428571428577</v>
      </c>
      <c r="F58" s="32">
        <v>1.1921428571428572</v>
      </c>
      <c r="G58" s="30">
        <v>141.6</v>
      </c>
      <c r="H58" s="30">
        <v>11.200000000000001</v>
      </c>
      <c r="I58" s="30">
        <v>0</v>
      </c>
      <c r="J58" s="30">
        <v>82.090666666666664</v>
      </c>
      <c r="K58" s="30">
        <v>182.16666666666666</v>
      </c>
      <c r="L58" s="30">
        <v>40.366666666666667</v>
      </c>
      <c r="M58" s="30">
        <v>25</v>
      </c>
      <c r="N58" s="30">
        <v>30.933333333333334</v>
      </c>
      <c r="O58" s="30">
        <v>30.933333333333334</v>
      </c>
      <c r="P58" s="30">
        <v>10.6</v>
      </c>
      <c r="Q58" s="30">
        <v>17</v>
      </c>
      <c r="R58" s="30">
        <v>0</v>
      </c>
      <c r="S58" s="30">
        <v>0</v>
      </c>
    </row>
    <row r="59" spans="1:19" ht="18.600000000000001" customHeight="1">
      <c r="A59" s="25" t="s">
        <v>316</v>
      </c>
      <c r="B59" s="26" t="s">
        <v>85</v>
      </c>
      <c r="C59" s="35" t="s">
        <v>31</v>
      </c>
      <c r="D59" s="30">
        <v>157.06666666666669</v>
      </c>
      <c r="E59" s="32">
        <v>3.6042020373514427</v>
      </c>
      <c r="F59" s="32">
        <v>1.3140916808149403</v>
      </c>
      <c r="G59" s="30">
        <v>156.33333333333334</v>
      </c>
      <c r="H59" s="30">
        <v>8.8666666666666671</v>
      </c>
      <c r="I59" s="30">
        <v>0</v>
      </c>
      <c r="J59" s="30">
        <v>62.9</v>
      </c>
      <c r="K59" s="30">
        <v>147.23333333333332</v>
      </c>
      <c r="L59" s="30">
        <v>59.166666666666664</v>
      </c>
      <c r="M59" s="30">
        <v>19</v>
      </c>
      <c r="N59" s="30">
        <v>28.599999999999998</v>
      </c>
      <c r="O59" s="30">
        <v>28.599999999999998</v>
      </c>
      <c r="P59" s="30">
        <v>8.5666666666666664</v>
      </c>
      <c r="Q59" s="30">
        <v>15</v>
      </c>
      <c r="R59" s="30">
        <v>0</v>
      </c>
      <c r="S59" s="30">
        <v>0</v>
      </c>
    </row>
    <row r="60" spans="1:19" ht="18.600000000000001" customHeight="1">
      <c r="A60" s="25" t="s">
        <v>339</v>
      </c>
      <c r="B60" s="26" t="s">
        <v>95</v>
      </c>
      <c r="C60" s="35" t="s">
        <v>31</v>
      </c>
      <c r="D60" s="30">
        <v>172.53333333333333</v>
      </c>
      <c r="E60" s="32">
        <v>4.3212519319938174</v>
      </c>
      <c r="F60" s="32">
        <v>1.2795595054095827</v>
      </c>
      <c r="G60" s="30">
        <v>158.93333333333334</v>
      </c>
      <c r="H60" s="30">
        <v>11.266666666666666</v>
      </c>
      <c r="I60" s="30">
        <v>0</v>
      </c>
      <c r="J60" s="30">
        <v>82.839999999999989</v>
      </c>
      <c r="K60" s="30">
        <v>174.9</v>
      </c>
      <c r="L60" s="30">
        <v>45.866666666666667</v>
      </c>
      <c r="M60" s="30">
        <v>27</v>
      </c>
      <c r="N60" s="30">
        <v>30.933333333333334</v>
      </c>
      <c r="O60" s="30">
        <v>30.933333333333334</v>
      </c>
      <c r="P60" s="30">
        <v>8.4</v>
      </c>
      <c r="Q60" s="30">
        <v>14</v>
      </c>
      <c r="R60" s="30">
        <v>0</v>
      </c>
      <c r="S60" s="30">
        <v>0</v>
      </c>
    </row>
    <row r="61" spans="1:19" ht="18.600000000000001" customHeight="1">
      <c r="A61" s="25" t="s">
        <v>255</v>
      </c>
      <c r="B61" s="26" t="s">
        <v>82</v>
      </c>
      <c r="C61" s="35" t="s">
        <v>31</v>
      </c>
      <c r="D61" s="30">
        <v>124.4</v>
      </c>
      <c r="E61" s="32">
        <v>3.5196945337620575</v>
      </c>
      <c r="F61" s="32">
        <v>1.1768488745980707</v>
      </c>
      <c r="G61" s="30">
        <v>133.15</v>
      </c>
      <c r="H61" s="30">
        <v>8.65</v>
      </c>
      <c r="I61" s="30">
        <v>0.5</v>
      </c>
      <c r="J61" s="30">
        <v>48.65</v>
      </c>
      <c r="K61" s="30">
        <v>108.4</v>
      </c>
      <c r="L61" s="30">
        <v>38</v>
      </c>
      <c r="M61" s="30">
        <v>14</v>
      </c>
      <c r="N61" s="30">
        <v>28.45</v>
      </c>
      <c r="O61" s="30">
        <v>23.95</v>
      </c>
      <c r="P61" s="30">
        <v>5.9</v>
      </c>
      <c r="Q61" s="30">
        <v>9</v>
      </c>
      <c r="R61" s="30">
        <v>0</v>
      </c>
      <c r="S61" s="30">
        <v>0</v>
      </c>
    </row>
    <row r="62" spans="1:19" ht="18.600000000000001" customHeight="1">
      <c r="A62" s="25" t="s">
        <v>312</v>
      </c>
      <c r="B62" s="26" t="s">
        <v>136</v>
      </c>
      <c r="C62" s="35" t="s">
        <v>31</v>
      </c>
      <c r="D62" s="30">
        <v>138.46666666666667</v>
      </c>
      <c r="E62" s="32">
        <v>3.8391911410688486</v>
      </c>
      <c r="F62" s="32">
        <v>1.219547424169475</v>
      </c>
      <c r="G62" s="30">
        <v>151.20000000000002</v>
      </c>
      <c r="H62" s="30">
        <v>7.833333333333333</v>
      </c>
      <c r="I62" s="30">
        <v>0</v>
      </c>
      <c r="J62" s="30">
        <v>59.066666666666663</v>
      </c>
      <c r="K62" s="30">
        <v>119.96666666666665</v>
      </c>
      <c r="L62" s="30">
        <v>48.9</v>
      </c>
      <c r="M62" s="30">
        <v>18</v>
      </c>
      <c r="N62" s="30">
        <v>25.3</v>
      </c>
      <c r="O62" s="30">
        <v>25.3</v>
      </c>
      <c r="P62" s="30">
        <v>7.9333333333333336</v>
      </c>
      <c r="Q62" s="30">
        <v>13</v>
      </c>
      <c r="R62" s="30">
        <v>0</v>
      </c>
      <c r="S62" s="30">
        <v>0</v>
      </c>
    </row>
    <row r="63" spans="1:19" ht="18.600000000000001" customHeight="1">
      <c r="A63" s="25" t="s">
        <v>298</v>
      </c>
      <c r="B63" s="26" t="s">
        <v>158</v>
      </c>
      <c r="C63" s="35" t="s">
        <v>31</v>
      </c>
      <c r="D63" s="30">
        <v>141.76666666666668</v>
      </c>
      <c r="E63" s="32">
        <v>3.7434751939807196</v>
      </c>
      <c r="F63" s="32">
        <v>1.2325417352457086</v>
      </c>
      <c r="G63" s="30">
        <v>142.73333333333332</v>
      </c>
      <c r="H63" s="30">
        <v>8.9</v>
      </c>
      <c r="I63" s="30">
        <v>0</v>
      </c>
      <c r="J63" s="30">
        <v>58.966666666666669</v>
      </c>
      <c r="K63" s="30">
        <v>126.89999999999999</v>
      </c>
      <c r="L63" s="30">
        <v>47.833333333333336</v>
      </c>
      <c r="M63" s="30">
        <v>17</v>
      </c>
      <c r="N63" s="30">
        <v>28.066666666666666</v>
      </c>
      <c r="O63" s="30">
        <v>28.066666666666666</v>
      </c>
      <c r="P63" s="30">
        <v>7.7666666666666666</v>
      </c>
      <c r="Q63" s="30">
        <v>12</v>
      </c>
      <c r="R63" s="30">
        <v>0</v>
      </c>
      <c r="S63" s="30">
        <v>0</v>
      </c>
    </row>
    <row r="64" spans="1:19" ht="18.600000000000001" customHeight="1">
      <c r="A64" s="25" t="s">
        <v>296</v>
      </c>
      <c r="B64" s="26" t="s">
        <v>87</v>
      </c>
      <c r="C64" s="35" t="s">
        <v>31</v>
      </c>
      <c r="D64" s="30">
        <v>150.9</v>
      </c>
      <c r="E64" s="32">
        <v>3.8753479125248513</v>
      </c>
      <c r="F64" s="32">
        <v>1.2005743317870554</v>
      </c>
      <c r="G64" s="30">
        <v>142.06666666666666</v>
      </c>
      <c r="H64" s="30">
        <v>8.8333333333333339</v>
      </c>
      <c r="I64" s="30">
        <v>0</v>
      </c>
      <c r="J64" s="30">
        <v>64.976666666666674</v>
      </c>
      <c r="K64" s="30">
        <v>149.4</v>
      </c>
      <c r="L64" s="30">
        <v>31.766666666666666</v>
      </c>
      <c r="M64" s="30">
        <v>21</v>
      </c>
      <c r="N64" s="30">
        <v>27.599999999999998</v>
      </c>
      <c r="O64" s="30">
        <v>27.599999999999998</v>
      </c>
      <c r="P64" s="30">
        <v>7.6000000000000005</v>
      </c>
      <c r="Q64" s="30">
        <v>13</v>
      </c>
      <c r="R64" s="30">
        <v>0</v>
      </c>
      <c r="S64" s="30">
        <v>0</v>
      </c>
    </row>
    <row r="65" spans="1:19" ht="18.600000000000001" customHeight="1">
      <c r="A65" s="25" t="s">
        <v>346</v>
      </c>
      <c r="B65" s="26" t="s">
        <v>158</v>
      </c>
      <c r="C65" s="35" t="s">
        <v>31</v>
      </c>
      <c r="D65" s="30">
        <v>149.63333333333335</v>
      </c>
      <c r="E65" s="32">
        <v>4.096012474938739</v>
      </c>
      <c r="F65" s="32">
        <v>1.2396970372020493</v>
      </c>
      <c r="G65" s="30">
        <v>153.93333333333334</v>
      </c>
      <c r="H65" s="30">
        <v>8.5333333333333332</v>
      </c>
      <c r="I65" s="30">
        <v>0</v>
      </c>
      <c r="J65" s="30">
        <v>68.100000000000009</v>
      </c>
      <c r="K65" s="30">
        <v>134.76666666666668</v>
      </c>
      <c r="L65" s="30">
        <v>50.733333333333327</v>
      </c>
      <c r="M65" s="30">
        <v>24</v>
      </c>
      <c r="N65" s="30">
        <v>28.400000000000002</v>
      </c>
      <c r="O65" s="30">
        <v>28.400000000000002</v>
      </c>
      <c r="P65" s="30">
        <v>8.2000000000000011</v>
      </c>
      <c r="Q65" s="30">
        <v>14</v>
      </c>
      <c r="R65" s="30">
        <v>0</v>
      </c>
      <c r="S65" s="30">
        <v>0</v>
      </c>
    </row>
    <row r="66" spans="1:19" ht="18.600000000000001" customHeight="1">
      <c r="A66" s="25" t="s">
        <v>281</v>
      </c>
      <c r="B66" s="26" t="s">
        <v>103</v>
      </c>
      <c r="C66" s="35" t="s">
        <v>31</v>
      </c>
      <c r="D66" s="30">
        <v>153.60000000000002</v>
      </c>
      <c r="E66" s="32">
        <v>3.7617773437499991</v>
      </c>
      <c r="F66" s="32">
        <v>1.2008463541666665</v>
      </c>
      <c r="G66" s="30">
        <v>135.94999999999999</v>
      </c>
      <c r="H66" s="30">
        <v>9.5500000000000007</v>
      </c>
      <c r="I66" s="30">
        <v>0</v>
      </c>
      <c r="J66" s="30">
        <v>64.200999999999993</v>
      </c>
      <c r="K66" s="30">
        <v>142.30000000000001</v>
      </c>
      <c r="L66" s="30">
        <v>42.15</v>
      </c>
      <c r="M66" s="30">
        <v>21</v>
      </c>
      <c r="N66" s="30">
        <v>30.1</v>
      </c>
      <c r="O66" s="30">
        <v>29.6</v>
      </c>
      <c r="P66" s="30">
        <v>8.4</v>
      </c>
      <c r="Q66" s="30">
        <v>15</v>
      </c>
      <c r="R66" s="30">
        <v>0</v>
      </c>
      <c r="S66" s="30">
        <v>0</v>
      </c>
    </row>
    <row r="67" spans="1:19" ht="18.600000000000001" customHeight="1">
      <c r="A67" s="25" t="s">
        <v>356</v>
      </c>
      <c r="B67" s="26" t="s">
        <v>85</v>
      </c>
      <c r="C67" s="35" t="s">
        <v>31</v>
      </c>
      <c r="D67" s="30">
        <v>154.19999999999999</v>
      </c>
      <c r="E67" s="32">
        <v>4.1847665369649816</v>
      </c>
      <c r="F67" s="32">
        <v>1.2665369649805447</v>
      </c>
      <c r="G67" s="30">
        <v>154.9</v>
      </c>
      <c r="H67" s="30">
        <v>9.6</v>
      </c>
      <c r="I67" s="30">
        <v>0</v>
      </c>
      <c r="J67" s="30">
        <v>71.699000000000012</v>
      </c>
      <c r="K67" s="30">
        <v>140.94999999999999</v>
      </c>
      <c r="L67" s="30">
        <v>54.35</v>
      </c>
      <c r="M67" s="30">
        <v>22</v>
      </c>
      <c r="N67" s="30">
        <v>29.1</v>
      </c>
      <c r="O67" s="30">
        <v>29.1</v>
      </c>
      <c r="P67" s="30">
        <v>8.5</v>
      </c>
      <c r="Q67" s="30">
        <v>12</v>
      </c>
      <c r="R67" s="30">
        <v>0</v>
      </c>
      <c r="S67" s="30">
        <v>0</v>
      </c>
    </row>
    <row r="68" spans="1:19" ht="18.600000000000001" customHeight="1">
      <c r="A68" s="25" t="s">
        <v>284</v>
      </c>
      <c r="B68" s="26" t="s">
        <v>85</v>
      </c>
      <c r="C68" s="35" t="s">
        <v>31</v>
      </c>
      <c r="D68" s="30">
        <v>174</v>
      </c>
      <c r="E68" s="32">
        <v>3.9350000000000005</v>
      </c>
      <c r="F68" s="32">
        <v>1.2101532567049809</v>
      </c>
      <c r="G68" s="30">
        <v>134</v>
      </c>
      <c r="H68" s="30">
        <v>10.766666666666666</v>
      </c>
      <c r="I68" s="30">
        <v>0</v>
      </c>
      <c r="J68" s="30">
        <v>76.076666666666668</v>
      </c>
      <c r="K68" s="30">
        <v>167.16666666666666</v>
      </c>
      <c r="L68" s="30">
        <v>43.4</v>
      </c>
      <c r="M68" s="30">
        <v>30</v>
      </c>
      <c r="N68" s="30">
        <v>30.266666666666666</v>
      </c>
      <c r="O68" s="30">
        <v>29.599999999999998</v>
      </c>
      <c r="P68" s="30">
        <v>9.0333333333333332</v>
      </c>
      <c r="Q68" s="30">
        <v>15</v>
      </c>
      <c r="R68" s="30">
        <v>0</v>
      </c>
      <c r="S68" s="30">
        <v>0</v>
      </c>
    </row>
    <row r="69" spans="1:19" ht="18.600000000000001" customHeight="1">
      <c r="A69" s="25" t="s">
        <v>277</v>
      </c>
      <c r="B69" s="26" t="s">
        <v>79</v>
      </c>
      <c r="C69" s="35" t="s">
        <v>31</v>
      </c>
      <c r="D69" s="30">
        <v>123.17500000000001</v>
      </c>
      <c r="E69" s="32">
        <v>3.2149380962045866</v>
      </c>
      <c r="F69" s="32">
        <v>1.2340166429876192</v>
      </c>
      <c r="G69" s="30">
        <v>129</v>
      </c>
      <c r="H69" s="30">
        <v>7.9749999999999996</v>
      </c>
      <c r="I69" s="30">
        <v>0</v>
      </c>
      <c r="J69" s="30">
        <v>44</v>
      </c>
      <c r="K69" s="30">
        <v>107</v>
      </c>
      <c r="L69" s="30">
        <v>45</v>
      </c>
      <c r="M69" s="30">
        <v>9</v>
      </c>
      <c r="N69" s="30">
        <v>35.549999999999997</v>
      </c>
      <c r="O69" s="30">
        <v>19.549999999999997</v>
      </c>
      <c r="P69" s="30">
        <v>5.4499999999999993</v>
      </c>
      <c r="Q69" s="30">
        <v>5</v>
      </c>
      <c r="R69" s="30">
        <v>0</v>
      </c>
      <c r="S69" s="30">
        <v>0</v>
      </c>
    </row>
    <row r="70" spans="1:19" ht="18.600000000000001" customHeight="1">
      <c r="A70" s="25" t="s">
        <v>378</v>
      </c>
      <c r="B70" s="26" t="s">
        <v>219</v>
      </c>
      <c r="C70" s="35" t="s">
        <v>31</v>
      </c>
      <c r="D70" s="30">
        <v>162.06666666666669</v>
      </c>
      <c r="E70" s="32">
        <v>4.3566886055121348</v>
      </c>
      <c r="F70" s="32">
        <v>1.2669683257918551</v>
      </c>
      <c r="G70" s="30">
        <v>156.16666666666666</v>
      </c>
      <c r="H70" s="30">
        <v>9.0666666666666664</v>
      </c>
      <c r="I70" s="30">
        <v>0</v>
      </c>
      <c r="J70" s="30">
        <v>78.452666666666673</v>
      </c>
      <c r="K70" s="30">
        <v>160.56666666666666</v>
      </c>
      <c r="L70" s="30">
        <v>44.766666666666673</v>
      </c>
      <c r="M70" s="30">
        <v>21</v>
      </c>
      <c r="N70" s="30">
        <v>29.933333333333334</v>
      </c>
      <c r="O70" s="30">
        <v>29.599999999999998</v>
      </c>
      <c r="P70" s="30">
        <v>9.3333333333333339</v>
      </c>
      <c r="Q70" s="30">
        <v>13</v>
      </c>
      <c r="R70" s="30">
        <v>0</v>
      </c>
      <c r="S70" s="30">
        <v>0</v>
      </c>
    </row>
    <row r="71" spans="1:19" ht="18.600000000000001" customHeight="1">
      <c r="A71" s="25" t="s">
        <v>319</v>
      </c>
      <c r="B71" s="26" t="s">
        <v>160</v>
      </c>
      <c r="C71" s="35" t="s">
        <v>31</v>
      </c>
      <c r="D71" s="30">
        <v>166.29999999999998</v>
      </c>
      <c r="E71" s="32">
        <v>3.7340348767288041</v>
      </c>
      <c r="F71" s="32">
        <v>1.2579675285628384</v>
      </c>
      <c r="G71" s="30">
        <v>139.4</v>
      </c>
      <c r="H71" s="30">
        <v>8.9666666666666668</v>
      </c>
      <c r="I71" s="30">
        <v>0</v>
      </c>
      <c r="J71" s="30">
        <v>68.99666666666667</v>
      </c>
      <c r="K71" s="30">
        <v>162.9</v>
      </c>
      <c r="L71" s="30">
        <v>46.300000000000004</v>
      </c>
      <c r="M71" s="30">
        <v>20</v>
      </c>
      <c r="N71" s="30">
        <v>30.266666666666666</v>
      </c>
      <c r="O71" s="30">
        <v>30.266666666666666</v>
      </c>
      <c r="P71" s="30">
        <v>9.7333333333333325</v>
      </c>
      <c r="Q71" s="30">
        <v>15</v>
      </c>
      <c r="R71" s="30">
        <v>0</v>
      </c>
      <c r="S71" s="30">
        <v>0</v>
      </c>
    </row>
    <row r="72" spans="1:19" ht="18.600000000000001" customHeight="1">
      <c r="A72" s="25" t="s">
        <v>353</v>
      </c>
      <c r="B72" s="26" t="s">
        <v>97</v>
      </c>
      <c r="C72" s="35" t="s">
        <v>31</v>
      </c>
      <c r="D72" s="30">
        <v>158.25</v>
      </c>
      <c r="E72" s="32">
        <v>3.8235639810426538</v>
      </c>
      <c r="F72" s="32">
        <v>1.2856240126382306</v>
      </c>
      <c r="G72" s="30">
        <v>145.1</v>
      </c>
      <c r="H72" s="30">
        <v>8.75</v>
      </c>
      <c r="I72" s="30">
        <v>0</v>
      </c>
      <c r="J72" s="30">
        <v>67.230999999999995</v>
      </c>
      <c r="K72" s="30">
        <v>153.75</v>
      </c>
      <c r="L72" s="30">
        <v>49.7</v>
      </c>
      <c r="M72" s="30">
        <v>18</v>
      </c>
      <c r="N72" s="30">
        <v>30.4</v>
      </c>
      <c r="O72" s="30">
        <v>29.9</v>
      </c>
      <c r="P72" s="30">
        <v>8.35</v>
      </c>
      <c r="Q72" s="30">
        <v>14</v>
      </c>
      <c r="R72" s="30">
        <v>0</v>
      </c>
      <c r="S72" s="30">
        <v>0</v>
      </c>
    </row>
    <row r="73" spans="1:19" ht="18.600000000000001" customHeight="1">
      <c r="A73" s="25" t="s">
        <v>322</v>
      </c>
      <c r="B73" s="26" t="s">
        <v>125</v>
      </c>
      <c r="C73" s="35" t="s">
        <v>31</v>
      </c>
      <c r="D73" s="30">
        <v>181.20000000000002</v>
      </c>
      <c r="E73" s="32">
        <v>4.0043708609271524</v>
      </c>
      <c r="F73" s="32">
        <v>1.2866077998528329</v>
      </c>
      <c r="G73" s="30">
        <v>137.13333333333333</v>
      </c>
      <c r="H73" s="30">
        <v>11.733333333333334</v>
      </c>
      <c r="I73" s="30">
        <v>0</v>
      </c>
      <c r="J73" s="30">
        <v>80.62133333333334</v>
      </c>
      <c r="K73" s="30">
        <v>181.63333333333333</v>
      </c>
      <c r="L73" s="30">
        <v>51.5</v>
      </c>
      <c r="M73" s="30">
        <v>22</v>
      </c>
      <c r="N73" s="30">
        <v>29.933333333333334</v>
      </c>
      <c r="O73" s="30">
        <v>29.933333333333334</v>
      </c>
      <c r="P73" s="30">
        <v>9.7000000000000011</v>
      </c>
      <c r="Q73" s="30">
        <v>14</v>
      </c>
      <c r="R73" s="30">
        <v>0</v>
      </c>
      <c r="S73" s="30">
        <v>0</v>
      </c>
    </row>
    <row r="74" spans="1:19" ht="18.600000000000001" customHeight="1">
      <c r="A74" s="25" t="s">
        <v>336</v>
      </c>
      <c r="B74" s="26" t="s">
        <v>160</v>
      </c>
      <c r="C74" s="35" t="s">
        <v>31</v>
      </c>
      <c r="D74" s="30">
        <v>142.16666666666666</v>
      </c>
      <c r="E74" s="32">
        <v>3.6117749120750298</v>
      </c>
      <c r="F74" s="32">
        <v>1.2532239155920284</v>
      </c>
      <c r="G74" s="30">
        <v>138.23333333333332</v>
      </c>
      <c r="H74" s="30">
        <v>7.4666666666666659</v>
      </c>
      <c r="I74" s="30">
        <v>0</v>
      </c>
      <c r="J74" s="30">
        <v>57.052666666666674</v>
      </c>
      <c r="K74" s="30">
        <v>123.03333333333335</v>
      </c>
      <c r="L74" s="30">
        <v>55.133333333333333</v>
      </c>
      <c r="M74" s="30">
        <v>15</v>
      </c>
      <c r="N74" s="30">
        <v>27.966666666666669</v>
      </c>
      <c r="O74" s="30">
        <v>25.966666666666669</v>
      </c>
      <c r="P74" s="30">
        <v>7.7333333333333334</v>
      </c>
      <c r="Q74" s="30">
        <v>12</v>
      </c>
      <c r="R74" s="30">
        <v>0.5</v>
      </c>
      <c r="S74" s="30">
        <v>0</v>
      </c>
    </row>
    <row r="75" spans="1:19" ht="18.600000000000001" customHeight="1">
      <c r="A75" s="25" t="s">
        <v>348</v>
      </c>
      <c r="B75" s="26" t="s">
        <v>160</v>
      </c>
      <c r="C75" s="35" t="s">
        <v>31</v>
      </c>
      <c r="D75" s="30">
        <v>161.70000000000002</v>
      </c>
      <c r="E75" s="32">
        <v>4.2680890538033394</v>
      </c>
      <c r="F75" s="32">
        <v>1.2242836528550816</v>
      </c>
      <c r="G75" s="30">
        <v>139.29999999999998</v>
      </c>
      <c r="H75" s="30">
        <v>10.066666666666666</v>
      </c>
      <c r="I75" s="30">
        <v>0</v>
      </c>
      <c r="J75" s="30">
        <v>76.683333333333337</v>
      </c>
      <c r="K75" s="30">
        <v>158.70000000000002</v>
      </c>
      <c r="L75" s="30">
        <v>39.266666666666666</v>
      </c>
      <c r="M75" s="30">
        <v>27</v>
      </c>
      <c r="N75" s="30">
        <v>29.733333333333334</v>
      </c>
      <c r="O75" s="30">
        <v>29.733333333333334</v>
      </c>
      <c r="P75" s="30">
        <v>8.7666666666666675</v>
      </c>
      <c r="Q75" s="30">
        <v>14</v>
      </c>
      <c r="R75" s="30">
        <v>0</v>
      </c>
      <c r="S75" s="30">
        <v>0</v>
      </c>
    </row>
    <row r="76" spans="1:19" ht="18.600000000000001" customHeight="1">
      <c r="A76" s="25" t="s">
        <v>364</v>
      </c>
      <c r="B76" s="26" t="s">
        <v>97</v>
      </c>
      <c r="C76" s="35" t="s">
        <v>31</v>
      </c>
      <c r="D76" s="30">
        <v>142.96666666666667</v>
      </c>
      <c r="E76" s="32">
        <v>4.0488878526463044</v>
      </c>
      <c r="F76" s="32">
        <v>1.2902774539519701</v>
      </c>
      <c r="G76" s="30">
        <v>139.96666666666667</v>
      </c>
      <c r="H76" s="30">
        <v>9.7666666666666675</v>
      </c>
      <c r="I76" s="30">
        <v>0</v>
      </c>
      <c r="J76" s="30">
        <v>64.317333333333337</v>
      </c>
      <c r="K76" s="30">
        <v>142.43333333333334</v>
      </c>
      <c r="L76" s="30">
        <v>42.033333333333331</v>
      </c>
      <c r="M76" s="30">
        <v>19</v>
      </c>
      <c r="N76" s="30">
        <v>27.066666666666666</v>
      </c>
      <c r="O76" s="30">
        <v>27.066666666666666</v>
      </c>
      <c r="P76" s="30">
        <v>8.1</v>
      </c>
      <c r="Q76" s="30">
        <v>12</v>
      </c>
      <c r="R76" s="30">
        <v>0</v>
      </c>
      <c r="S76" s="30">
        <v>0</v>
      </c>
    </row>
    <row r="77" spans="1:19" ht="18.600000000000001" customHeight="1">
      <c r="A77" s="25" t="s">
        <v>392</v>
      </c>
      <c r="B77" s="26" t="s">
        <v>99</v>
      </c>
      <c r="C77" s="35" t="s">
        <v>31</v>
      </c>
      <c r="D77" s="30">
        <v>147.1</v>
      </c>
      <c r="E77" s="32">
        <v>4.2184772263766144</v>
      </c>
      <c r="F77" s="32">
        <v>1.2807613868116927</v>
      </c>
      <c r="G77" s="30">
        <v>143.33333333333334</v>
      </c>
      <c r="H77" s="30">
        <v>9.1666666666666661</v>
      </c>
      <c r="I77" s="30">
        <v>0</v>
      </c>
      <c r="J77" s="30">
        <v>68.948666666666668</v>
      </c>
      <c r="K77" s="30">
        <v>133.26666666666668</v>
      </c>
      <c r="L77" s="30">
        <v>55.133333333333333</v>
      </c>
      <c r="M77" s="30">
        <v>24</v>
      </c>
      <c r="N77" s="30">
        <v>27.066666666666666</v>
      </c>
      <c r="O77" s="30">
        <v>26.400000000000002</v>
      </c>
      <c r="P77" s="30">
        <v>7.9666666666666659</v>
      </c>
      <c r="Q77" s="30">
        <v>12</v>
      </c>
      <c r="R77" s="30">
        <v>0.5</v>
      </c>
      <c r="S77" s="30">
        <v>0</v>
      </c>
    </row>
    <row r="78" spans="1:19" ht="18.600000000000001" customHeight="1">
      <c r="A78" s="25" t="s">
        <v>439</v>
      </c>
      <c r="B78" s="26" t="s">
        <v>178</v>
      </c>
      <c r="C78" s="35" t="s">
        <v>31</v>
      </c>
      <c r="D78" s="30">
        <v>185.16666666666666</v>
      </c>
      <c r="E78" s="32">
        <v>4.7061170117011697</v>
      </c>
      <c r="F78" s="32">
        <v>1.3549954995499551</v>
      </c>
      <c r="G78" s="30">
        <v>159.83333333333334</v>
      </c>
      <c r="H78" s="30">
        <v>10.433333333333334</v>
      </c>
      <c r="I78" s="30">
        <v>0</v>
      </c>
      <c r="J78" s="30">
        <v>96.823999999999998</v>
      </c>
      <c r="K78" s="30">
        <v>189</v>
      </c>
      <c r="L78" s="30">
        <v>61.9</v>
      </c>
      <c r="M78" s="30">
        <v>28</v>
      </c>
      <c r="N78" s="30">
        <v>31.599999999999998</v>
      </c>
      <c r="O78" s="30">
        <v>31.266666666666666</v>
      </c>
      <c r="P78" s="30">
        <v>11.5</v>
      </c>
      <c r="Q78" s="30">
        <v>14</v>
      </c>
      <c r="R78" s="30">
        <v>0</v>
      </c>
      <c r="S78" s="30">
        <v>0</v>
      </c>
    </row>
    <row r="79" spans="1:19" ht="18.600000000000001" customHeight="1">
      <c r="A79" s="25" t="s">
        <v>338</v>
      </c>
      <c r="B79" s="26" t="s">
        <v>79</v>
      </c>
      <c r="C79" s="35" t="s">
        <v>31</v>
      </c>
      <c r="D79" s="30">
        <v>154.83333333333334</v>
      </c>
      <c r="E79" s="32">
        <v>4.3026781485468248</v>
      </c>
      <c r="F79" s="32">
        <v>1.1948331539289558</v>
      </c>
      <c r="G79" s="30">
        <v>127.60000000000001</v>
      </c>
      <c r="H79" s="30">
        <v>10.6</v>
      </c>
      <c r="I79" s="30">
        <v>0</v>
      </c>
      <c r="J79" s="30">
        <v>74.022000000000006</v>
      </c>
      <c r="K79" s="30">
        <v>148.4</v>
      </c>
      <c r="L79" s="30">
        <v>36.6</v>
      </c>
      <c r="M79" s="30">
        <v>27</v>
      </c>
      <c r="N79" s="30">
        <v>26.933333333333334</v>
      </c>
      <c r="O79" s="30">
        <v>26.933333333333334</v>
      </c>
      <c r="P79" s="30">
        <v>7.4666666666666659</v>
      </c>
      <c r="Q79" s="30">
        <v>12</v>
      </c>
      <c r="R79" s="30">
        <v>0</v>
      </c>
      <c r="S79" s="30">
        <v>0</v>
      </c>
    </row>
    <row r="80" spans="1:19" ht="18.600000000000001" customHeight="1">
      <c r="A80" s="25" t="s">
        <v>365</v>
      </c>
      <c r="B80" s="26" t="s">
        <v>92</v>
      </c>
      <c r="C80" s="35" t="s">
        <v>31</v>
      </c>
      <c r="D80" s="30">
        <v>161.86666666666667</v>
      </c>
      <c r="E80" s="32">
        <v>4.1883731466227347</v>
      </c>
      <c r="F80" s="32">
        <v>1.2697693574958813</v>
      </c>
      <c r="G80" s="30">
        <v>136.66666666666666</v>
      </c>
      <c r="H80" s="30">
        <v>10.066666666666666</v>
      </c>
      <c r="I80" s="30">
        <v>0</v>
      </c>
      <c r="J80" s="30">
        <v>75.328666666666663</v>
      </c>
      <c r="K80" s="30">
        <v>154.9</v>
      </c>
      <c r="L80" s="30">
        <v>50.633333333333333</v>
      </c>
      <c r="M80" s="30">
        <v>24</v>
      </c>
      <c r="N80" s="30">
        <v>29.933333333333334</v>
      </c>
      <c r="O80" s="30">
        <v>29.933333333333334</v>
      </c>
      <c r="P80" s="30">
        <v>8.7666666666666675</v>
      </c>
      <c r="Q80" s="30">
        <v>12</v>
      </c>
      <c r="R80" s="30">
        <v>0</v>
      </c>
      <c r="S80" s="30">
        <v>0</v>
      </c>
    </row>
    <row r="81" spans="1:19" ht="18.600000000000001" customHeight="1">
      <c r="A81" s="25" t="s">
        <v>362</v>
      </c>
      <c r="B81" s="26" t="s">
        <v>136</v>
      </c>
      <c r="C81" s="35" t="s">
        <v>31</v>
      </c>
      <c r="D81" s="30">
        <v>129.83333333333334</v>
      </c>
      <c r="E81" s="32">
        <v>3.8403080872913988</v>
      </c>
      <c r="F81" s="32">
        <v>1.2084724005134788</v>
      </c>
      <c r="G81" s="30">
        <v>132.63333333333333</v>
      </c>
      <c r="H81" s="30">
        <v>6.7</v>
      </c>
      <c r="I81" s="30">
        <v>0</v>
      </c>
      <c r="J81" s="30">
        <v>55.4</v>
      </c>
      <c r="K81" s="30">
        <v>101.3</v>
      </c>
      <c r="L81" s="30">
        <v>55.6</v>
      </c>
      <c r="M81" s="30">
        <v>16</v>
      </c>
      <c r="N81" s="30">
        <v>25.066666666666666</v>
      </c>
      <c r="O81" s="30">
        <v>25.066666666666666</v>
      </c>
      <c r="P81" s="30">
        <v>8.2999999999999989</v>
      </c>
      <c r="Q81" s="30">
        <v>11</v>
      </c>
      <c r="R81" s="30">
        <v>0</v>
      </c>
      <c r="S81" s="30">
        <v>0</v>
      </c>
    </row>
    <row r="82" spans="1:19" ht="18.600000000000001" customHeight="1">
      <c r="A82" s="25" t="s">
        <v>391</v>
      </c>
      <c r="B82" s="26" t="s">
        <v>87</v>
      </c>
      <c r="C82" s="35" t="s">
        <v>31</v>
      </c>
      <c r="D82" s="30">
        <v>169.76666666666665</v>
      </c>
      <c r="E82" s="32">
        <v>3.9487963871981155</v>
      </c>
      <c r="F82" s="32">
        <v>1.3483212252110741</v>
      </c>
      <c r="G82" s="30">
        <v>140.96666666666667</v>
      </c>
      <c r="H82" s="30">
        <v>9.9</v>
      </c>
      <c r="I82" s="30">
        <v>0</v>
      </c>
      <c r="J82" s="30">
        <v>74.486000000000004</v>
      </c>
      <c r="K82" s="30">
        <v>169.23333333333332</v>
      </c>
      <c r="L82" s="30">
        <v>59.666666666666664</v>
      </c>
      <c r="M82" s="30">
        <v>22</v>
      </c>
      <c r="N82" s="30">
        <v>31.066666666666666</v>
      </c>
      <c r="O82" s="30">
        <v>29.400000000000002</v>
      </c>
      <c r="P82" s="30">
        <v>9.4666666666666668</v>
      </c>
      <c r="Q82" s="30">
        <v>16</v>
      </c>
      <c r="R82" s="30">
        <v>0</v>
      </c>
      <c r="S82" s="30">
        <v>0</v>
      </c>
    </row>
    <row r="83" spans="1:19" ht="18.600000000000001" customHeight="1">
      <c r="A83" s="25" t="s">
        <v>381</v>
      </c>
      <c r="B83" s="26" t="s">
        <v>260</v>
      </c>
      <c r="C83" s="35" t="s">
        <v>31</v>
      </c>
      <c r="D83" s="30">
        <v>149.03333333333333</v>
      </c>
      <c r="E83" s="32">
        <v>4.0368955490941625</v>
      </c>
      <c r="F83" s="32">
        <v>1.3093267725341089</v>
      </c>
      <c r="G83" s="30">
        <v>138.03333333333333</v>
      </c>
      <c r="H83" s="30">
        <v>9.7000000000000011</v>
      </c>
      <c r="I83" s="30">
        <v>0</v>
      </c>
      <c r="J83" s="30">
        <v>66.847999999999999</v>
      </c>
      <c r="K83" s="30">
        <v>145.76666666666668</v>
      </c>
      <c r="L83" s="30">
        <v>49.366666666666667</v>
      </c>
      <c r="M83" s="30">
        <v>20</v>
      </c>
      <c r="N83" s="30">
        <v>28.066666666666666</v>
      </c>
      <c r="O83" s="30">
        <v>28.066666666666666</v>
      </c>
      <c r="P83" s="30">
        <v>8.4333333333333336</v>
      </c>
      <c r="Q83" s="30">
        <v>15</v>
      </c>
      <c r="R83" s="30">
        <v>0</v>
      </c>
      <c r="S83" s="30">
        <v>0</v>
      </c>
    </row>
    <row r="84" spans="1:19" ht="18.600000000000001" customHeight="1">
      <c r="A84" s="25" t="s">
        <v>359</v>
      </c>
      <c r="B84" s="26" t="s">
        <v>79</v>
      </c>
      <c r="C84" s="35" t="s">
        <v>31</v>
      </c>
      <c r="D84" s="30">
        <v>124.23333333333333</v>
      </c>
      <c r="E84" s="32">
        <v>3.6463643681244968</v>
      </c>
      <c r="F84" s="32">
        <v>1.2903139254091764</v>
      </c>
      <c r="G84" s="30">
        <v>126.03333333333335</v>
      </c>
      <c r="H84" s="30">
        <v>8.9</v>
      </c>
      <c r="I84" s="30">
        <v>0</v>
      </c>
      <c r="J84" s="30">
        <v>50.333333333333336</v>
      </c>
      <c r="K84" s="30">
        <v>109.10000000000001</v>
      </c>
      <c r="L84" s="30">
        <v>51.199999999999996</v>
      </c>
      <c r="M84" s="30">
        <v>16</v>
      </c>
      <c r="N84" s="30">
        <v>22.966666666666669</v>
      </c>
      <c r="O84" s="30">
        <v>22.966666666666669</v>
      </c>
      <c r="P84" s="30">
        <v>5.833333333333333</v>
      </c>
      <c r="Q84" s="30">
        <v>13</v>
      </c>
      <c r="R84" s="30">
        <v>0</v>
      </c>
      <c r="S84" s="30">
        <v>0</v>
      </c>
    </row>
    <row r="85" spans="1:19" ht="18.600000000000001" customHeight="1">
      <c r="A85" s="25" t="s">
        <v>479</v>
      </c>
      <c r="B85" s="26" t="s">
        <v>105</v>
      </c>
      <c r="C85" s="35" t="s">
        <v>31</v>
      </c>
      <c r="D85" s="30">
        <v>163.86666666666667</v>
      </c>
      <c r="E85" s="32">
        <v>4.7746135069161921</v>
      </c>
      <c r="F85" s="32">
        <v>1.3645240032546786</v>
      </c>
      <c r="G85" s="30">
        <v>159.13333333333333</v>
      </c>
      <c r="H85" s="30">
        <v>9.7666666666666675</v>
      </c>
      <c r="I85" s="30">
        <v>0</v>
      </c>
      <c r="J85" s="30">
        <v>86.933333333333337</v>
      </c>
      <c r="K85" s="30">
        <v>159.26666666666668</v>
      </c>
      <c r="L85" s="30">
        <v>64.333333333333329</v>
      </c>
      <c r="M85" s="30">
        <v>27</v>
      </c>
      <c r="N85" s="30">
        <v>30.266666666666666</v>
      </c>
      <c r="O85" s="30">
        <v>29.599999999999998</v>
      </c>
      <c r="P85" s="30">
        <v>9.7666666666666675</v>
      </c>
      <c r="Q85" s="30">
        <v>13</v>
      </c>
      <c r="R85" s="30">
        <v>0</v>
      </c>
      <c r="S85" s="30">
        <v>0</v>
      </c>
    </row>
    <row r="86" spans="1:19" ht="18.600000000000001" customHeight="1">
      <c r="A86" s="25" t="s">
        <v>354</v>
      </c>
      <c r="B86" s="26" t="s">
        <v>77</v>
      </c>
      <c r="C86" s="35" t="s">
        <v>31</v>
      </c>
      <c r="D86" s="30">
        <v>134.96666666666667</v>
      </c>
      <c r="E86" s="32">
        <v>4.0045443319338112</v>
      </c>
      <c r="F86" s="32">
        <v>1.169177574709805</v>
      </c>
      <c r="G86" s="30">
        <v>121.56666666666666</v>
      </c>
      <c r="H86" s="30">
        <v>7.666666666666667</v>
      </c>
      <c r="I86" s="30">
        <v>0</v>
      </c>
      <c r="J86" s="30">
        <v>60.053333333333335</v>
      </c>
      <c r="K86" s="30">
        <v>126.5</v>
      </c>
      <c r="L86" s="30">
        <v>31.3</v>
      </c>
      <c r="M86" s="30">
        <v>19</v>
      </c>
      <c r="N86" s="30">
        <v>26.066666666666666</v>
      </c>
      <c r="O86" s="30">
        <v>25.733333333333334</v>
      </c>
      <c r="P86" s="30">
        <v>7.3666666666666671</v>
      </c>
      <c r="Q86" s="30">
        <v>11</v>
      </c>
      <c r="R86" s="30">
        <v>0</v>
      </c>
      <c r="S86" s="30">
        <v>0</v>
      </c>
    </row>
    <row r="87" spans="1:19" ht="18.600000000000001" customHeight="1">
      <c r="A87" s="25" t="s">
        <v>340</v>
      </c>
      <c r="B87" s="26" t="s">
        <v>122</v>
      </c>
      <c r="C87" s="35" t="s">
        <v>31</v>
      </c>
      <c r="D87" s="30">
        <v>140.5</v>
      </c>
      <c r="E87" s="32">
        <v>3.7536725978647691</v>
      </c>
      <c r="F87" s="32">
        <v>1.1601423487544484</v>
      </c>
      <c r="G87" s="30">
        <v>117.5</v>
      </c>
      <c r="H87" s="30">
        <v>6.6</v>
      </c>
      <c r="I87" s="30">
        <v>0</v>
      </c>
      <c r="J87" s="30">
        <v>58.599000000000004</v>
      </c>
      <c r="K87" s="30">
        <v>119</v>
      </c>
      <c r="L87" s="30">
        <v>44</v>
      </c>
      <c r="M87" s="30">
        <v>18</v>
      </c>
      <c r="N87" s="30">
        <v>22.35</v>
      </c>
      <c r="O87" s="30">
        <v>22.35</v>
      </c>
      <c r="P87" s="30">
        <v>7.7</v>
      </c>
      <c r="Q87" s="30">
        <v>9</v>
      </c>
      <c r="R87" s="30">
        <v>0</v>
      </c>
      <c r="S87" s="30">
        <v>0</v>
      </c>
    </row>
    <row r="88" spans="1:19" ht="18.600000000000001" customHeight="1">
      <c r="A88" s="25" t="s">
        <v>389</v>
      </c>
      <c r="B88" s="26" t="s">
        <v>136</v>
      </c>
      <c r="C88" s="35" t="s">
        <v>31</v>
      </c>
      <c r="D88" s="30">
        <v>127.43333333333334</v>
      </c>
      <c r="E88" s="32">
        <v>3.8467172377713839</v>
      </c>
      <c r="F88" s="32">
        <v>1.2346324875752028</v>
      </c>
      <c r="G88" s="30">
        <v>129.5</v>
      </c>
      <c r="H88" s="30">
        <v>6.333333333333333</v>
      </c>
      <c r="I88" s="30">
        <v>0</v>
      </c>
      <c r="J88" s="30">
        <v>54.466666666666669</v>
      </c>
      <c r="K88" s="30">
        <v>112.66666666666667</v>
      </c>
      <c r="L88" s="30">
        <v>44.666666666666664</v>
      </c>
      <c r="M88" s="30">
        <v>15</v>
      </c>
      <c r="N88" s="30">
        <v>26.233333333333334</v>
      </c>
      <c r="O88" s="30">
        <v>24.566666666666666</v>
      </c>
      <c r="P88" s="30">
        <v>7.8666666666666671</v>
      </c>
      <c r="Q88" s="30">
        <v>10</v>
      </c>
      <c r="R88" s="30">
        <v>0</v>
      </c>
      <c r="S88" s="30">
        <v>0</v>
      </c>
    </row>
    <row r="89" spans="1:19" ht="18.600000000000001" customHeight="1">
      <c r="A89" s="25" t="s">
        <v>387</v>
      </c>
      <c r="B89" s="26" t="s">
        <v>92</v>
      </c>
      <c r="C89" s="35" t="s">
        <v>31</v>
      </c>
      <c r="D89" s="30">
        <v>148</v>
      </c>
      <c r="E89" s="32">
        <v>3.7957297297297301</v>
      </c>
      <c r="F89" s="32">
        <v>1.3281531531531532</v>
      </c>
      <c r="G89" s="30">
        <v>125.26666666666667</v>
      </c>
      <c r="H89" s="30">
        <v>9.4</v>
      </c>
      <c r="I89" s="30">
        <v>0.33333333333333331</v>
      </c>
      <c r="J89" s="30">
        <v>62.418666666666667</v>
      </c>
      <c r="K89" s="30">
        <v>143.36666666666667</v>
      </c>
      <c r="L89" s="30">
        <v>53.199999999999996</v>
      </c>
      <c r="M89" s="30">
        <v>19</v>
      </c>
      <c r="N89" s="30">
        <v>30.266666666666666</v>
      </c>
      <c r="O89" s="30">
        <v>26.266666666666666</v>
      </c>
      <c r="P89" s="30">
        <v>7.5333333333333341</v>
      </c>
      <c r="Q89" s="30">
        <v>15</v>
      </c>
      <c r="R89" s="30">
        <v>0</v>
      </c>
      <c r="S89" s="30">
        <v>0</v>
      </c>
    </row>
    <row r="90" spans="1:19" ht="18.600000000000001" customHeight="1">
      <c r="A90" s="25" t="s">
        <v>349</v>
      </c>
      <c r="B90" s="26" t="s">
        <v>219</v>
      </c>
      <c r="C90" s="35" t="s">
        <v>31</v>
      </c>
      <c r="D90" s="30">
        <v>138.53333333333333</v>
      </c>
      <c r="E90" s="32">
        <v>3.958397497593841</v>
      </c>
      <c r="F90" s="32">
        <v>1.1638594802694899</v>
      </c>
      <c r="G90" s="30">
        <v>114</v>
      </c>
      <c r="H90" s="30">
        <v>7.7</v>
      </c>
      <c r="I90" s="30">
        <v>0.33333333333333331</v>
      </c>
      <c r="J90" s="30">
        <v>60.930000000000007</v>
      </c>
      <c r="K90" s="30">
        <v>130.20000000000002</v>
      </c>
      <c r="L90" s="30">
        <v>31.033333333333331</v>
      </c>
      <c r="M90" s="30">
        <v>20</v>
      </c>
      <c r="N90" s="30">
        <v>29.733333333333334</v>
      </c>
      <c r="O90" s="30">
        <v>24.733333333333334</v>
      </c>
      <c r="P90" s="30">
        <v>7.333333333333333</v>
      </c>
      <c r="Q90" s="30">
        <v>10</v>
      </c>
      <c r="R90" s="30">
        <v>0</v>
      </c>
      <c r="S90" s="30">
        <v>0</v>
      </c>
    </row>
    <row r="91" spans="1:19" ht="18.600000000000001" customHeight="1">
      <c r="A91" s="25" t="s">
        <v>394</v>
      </c>
      <c r="B91" s="26" t="s">
        <v>64</v>
      </c>
      <c r="C91" s="35" t="s">
        <v>31</v>
      </c>
      <c r="D91" s="30">
        <v>134.83333333333334</v>
      </c>
      <c r="E91" s="32">
        <v>4.0538936959208893</v>
      </c>
      <c r="F91" s="32">
        <v>1.2093943139678613</v>
      </c>
      <c r="G91" s="30">
        <v>118.33333333333333</v>
      </c>
      <c r="H91" s="30">
        <v>6.5</v>
      </c>
      <c r="I91" s="30">
        <v>2</v>
      </c>
      <c r="J91" s="30">
        <v>60.733333333333327</v>
      </c>
      <c r="K91" s="30">
        <v>119.66666666666667</v>
      </c>
      <c r="L91" s="30">
        <v>43.4</v>
      </c>
      <c r="M91" s="30">
        <v>16</v>
      </c>
      <c r="N91" s="30">
        <v>30.900000000000002</v>
      </c>
      <c r="O91" s="30">
        <v>18.900000000000002</v>
      </c>
      <c r="P91" s="30">
        <v>6.3666666666666671</v>
      </c>
      <c r="Q91" s="30">
        <v>7</v>
      </c>
      <c r="R91" s="30">
        <v>2</v>
      </c>
      <c r="S91" s="30">
        <v>0</v>
      </c>
    </row>
    <row r="92" spans="1:19" ht="18.600000000000001" customHeight="1">
      <c r="A92" s="25" t="s">
        <v>467</v>
      </c>
      <c r="B92" s="26" t="s">
        <v>139</v>
      </c>
      <c r="C92" s="35" t="s">
        <v>31</v>
      </c>
      <c r="D92" s="30">
        <v>153.80000000000001</v>
      </c>
      <c r="E92" s="32">
        <v>4.3246814044213258</v>
      </c>
      <c r="F92" s="32">
        <v>1.3416775032509751</v>
      </c>
      <c r="G92" s="30">
        <v>143.44999999999999</v>
      </c>
      <c r="H92" s="30">
        <v>7.75</v>
      </c>
      <c r="I92" s="30">
        <v>0</v>
      </c>
      <c r="J92" s="30">
        <v>73.903999999999996</v>
      </c>
      <c r="K92" s="30">
        <v>153.94999999999999</v>
      </c>
      <c r="L92" s="30">
        <v>52.4</v>
      </c>
      <c r="M92" s="30">
        <v>22</v>
      </c>
      <c r="N92" s="30">
        <v>29.1</v>
      </c>
      <c r="O92" s="30">
        <v>29.1</v>
      </c>
      <c r="P92" s="30">
        <v>9.9</v>
      </c>
      <c r="Q92" s="30">
        <v>13</v>
      </c>
      <c r="R92" s="30">
        <v>0</v>
      </c>
      <c r="S92" s="30">
        <v>0</v>
      </c>
    </row>
    <row r="93" spans="1:19" ht="18.600000000000001" customHeight="1">
      <c r="A93" s="25" t="s">
        <v>457</v>
      </c>
      <c r="B93" s="26" t="s">
        <v>139</v>
      </c>
      <c r="C93" s="35" t="s">
        <v>31</v>
      </c>
      <c r="D93" s="30">
        <v>162.15</v>
      </c>
      <c r="E93" s="32">
        <v>4.2004995374653094</v>
      </c>
      <c r="F93" s="32">
        <v>1.3546099290780143</v>
      </c>
      <c r="G93" s="30">
        <v>140.5</v>
      </c>
      <c r="H93" s="30">
        <v>7.9</v>
      </c>
      <c r="I93" s="30">
        <v>0</v>
      </c>
      <c r="J93" s="30">
        <v>75.679000000000002</v>
      </c>
      <c r="K93" s="30">
        <v>158.75</v>
      </c>
      <c r="L93" s="30">
        <v>60.9</v>
      </c>
      <c r="M93" s="30">
        <v>19</v>
      </c>
      <c r="N93" s="30">
        <v>29.1</v>
      </c>
      <c r="O93" s="30">
        <v>29.1</v>
      </c>
      <c r="P93" s="30">
        <v>10.050000000000001</v>
      </c>
      <c r="Q93" s="30">
        <v>13</v>
      </c>
      <c r="R93" s="30">
        <v>0</v>
      </c>
      <c r="S93" s="30">
        <v>0</v>
      </c>
    </row>
    <row r="94" spans="1:19" ht="18.600000000000001" customHeight="1">
      <c r="A94" s="25" t="s">
        <v>409</v>
      </c>
      <c r="B94" s="26" t="s">
        <v>125</v>
      </c>
      <c r="C94" s="35" t="s">
        <v>31</v>
      </c>
      <c r="D94" s="30">
        <v>124.83333333333333</v>
      </c>
      <c r="E94" s="32">
        <v>4.0411802403204273</v>
      </c>
      <c r="F94" s="32">
        <v>1.2814419225634179</v>
      </c>
      <c r="G94" s="30">
        <v>122.86666666666667</v>
      </c>
      <c r="H94" s="30">
        <v>8.7333333333333325</v>
      </c>
      <c r="I94" s="30">
        <v>0</v>
      </c>
      <c r="J94" s="30">
        <v>56.052666666666674</v>
      </c>
      <c r="K94" s="30">
        <v>112</v>
      </c>
      <c r="L94" s="30">
        <v>47.966666666666669</v>
      </c>
      <c r="M94" s="30">
        <v>20</v>
      </c>
      <c r="N94" s="30">
        <v>27.5</v>
      </c>
      <c r="O94" s="30">
        <v>25.833333333333332</v>
      </c>
      <c r="P94" s="30">
        <v>6.4666666666666659</v>
      </c>
      <c r="Q94" s="30">
        <v>11</v>
      </c>
      <c r="R94" s="30">
        <v>0</v>
      </c>
      <c r="S94" s="30">
        <v>0</v>
      </c>
    </row>
    <row r="95" spans="1:19" ht="18.600000000000001" customHeight="1">
      <c r="A95" s="25" t="s">
        <v>468</v>
      </c>
      <c r="B95" s="26" t="s">
        <v>101</v>
      </c>
      <c r="C95" s="35" t="s">
        <v>31</v>
      </c>
      <c r="D95" s="30">
        <v>169.86666666666667</v>
      </c>
      <c r="E95" s="32">
        <v>4.5202747252747253</v>
      </c>
      <c r="F95" s="32">
        <v>1.3418367346938773</v>
      </c>
      <c r="G95" s="30">
        <v>140.4</v>
      </c>
      <c r="H95" s="30">
        <v>9.1666666666666661</v>
      </c>
      <c r="I95" s="30">
        <v>0</v>
      </c>
      <c r="J95" s="30">
        <v>85.316000000000003</v>
      </c>
      <c r="K95" s="30">
        <v>173.76666666666665</v>
      </c>
      <c r="L95" s="30">
        <v>54.166666666666664</v>
      </c>
      <c r="M95" s="30">
        <v>22</v>
      </c>
      <c r="N95" s="30">
        <v>30.266666666666666</v>
      </c>
      <c r="O95" s="30">
        <v>30.266666666666666</v>
      </c>
      <c r="P95" s="30">
        <v>9.8333333333333339</v>
      </c>
      <c r="Q95" s="30">
        <v>14</v>
      </c>
      <c r="R95" s="30">
        <v>0</v>
      </c>
      <c r="S95" s="30">
        <v>0</v>
      </c>
    </row>
    <row r="96" spans="1:19" ht="18.600000000000001" customHeight="1">
      <c r="A96" s="25" t="s">
        <v>396</v>
      </c>
      <c r="B96" s="26" t="s">
        <v>101</v>
      </c>
      <c r="C96" s="35" t="s">
        <v>31</v>
      </c>
      <c r="D96" s="30">
        <v>113.26666666666667</v>
      </c>
      <c r="E96" s="32">
        <v>3.8034137728075339</v>
      </c>
      <c r="F96" s="32">
        <v>1.2242495585638611</v>
      </c>
      <c r="G96" s="30">
        <v>116.83333333333333</v>
      </c>
      <c r="H96" s="30">
        <v>6.2666666666666666</v>
      </c>
      <c r="I96" s="30">
        <v>0</v>
      </c>
      <c r="J96" s="30">
        <v>47.866666666666667</v>
      </c>
      <c r="K96" s="30">
        <v>100.89999999999999</v>
      </c>
      <c r="L96" s="30">
        <v>37.766666666666666</v>
      </c>
      <c r="M96" s="30">
        <v>18</v>
      </c>
      <c r="N96" s="30">
        <v>21.433333333333334</v>
      </c>
      <c r="O96" s="30">
        <v>21.433333333333334</v>
      </c>
      <c r="P96" s="30">
        <v>7</v>
      </c>
      <c r="Q96" s="30">
        <v>12</v>
      </c>
      <c r="R96" s="30">
        <v>0</v>
      </c>
      <c r="S96" s="30">
        <v>0</v>
      </c>
    </row>
    <row r="97" spans="1:19" ht="18.600000000000001" customHeight="1">
      <c r="A97" s="25" t="s">
        <v>437</v>
      </c>
      <c r="B97" s="26" t="s">
        <v>139</v>
      </c>
      <c r="C97" s="35" t="s">
        <v>31</v>
      </c>
      <c r="D97" s="30">
        <v>138.80000000000001</v>
      </c>
      <c r="E97" s="32">
        <v>4.2244236311239192</v>
      </c>
      <c r="F97" s="32">
        <v>1.3004322766570604</v>
      </c>
      <c r="G97" s="30">
        <v>129.30000000000001</v>
      </c>
      <c r="H97" s="30">
        <v>7.8</v>
      </c>
      <c r="I97" s="30">
        <v>0</v>
      </c>
      <c r="J97" s="30">
        <v>65.150000000000006</v>
      </c>
      <c r="K97" s="30">
        <v>129</v>
      </c>
      <c r="L97" s="30">
        <v>51.5</v>
      </c>
      <c r="M97" s="30">
        <v>21</v>
      </c>
      <c r="N97" s="30">
        <v>27.95</v>
      </c>
      <c r="O97" s="30">
        <v>27.95</v>
      </c>
      <c r="P97" s="30">
        <v>8.5500000000000007</v>
      </c>
      <c r="Q97" s="30">
        <v>12</v>
      </c>
      <c r="R97" s="30">
        <v>0</v>
      </c>
      <c r="S97" s="30">
        <v>0</v>
      </c>
    </row>
    <row r="98" spans="1:19" ht="18.600000000000001" customHeight="1">
      <c r="A98" s="25" t="s">
        <v>427</v>
      </c>
      <c r="B98" s="26" t="s">
        <v>77</v>
      </c>
      <c r="C98" s="35" t="s">
        <v>31</v>
      </c>
      <c r="D98" s="30">
        <v>163.66666666666666</v>
      </c>
      <c r="E98" s="32">
        <v>4.49728716904277</v>
      </c>
      <c r="F98" s="32">
        <v>1.3140529531568228</v>
      </c>
      <c r="G98" s="30">
        <v>124.60000000000001</v>
      </c>
      <c r="H98" s="30">
        <v>10.866666666666667</v>
      </c>
      <c r="I98" s="30">
        <v>0</v>
      </c>
      <c r="J98" s="30">
        <v>81.783999999999992</v>
      </c>
      <c r="K98" s="30">
        <v>168.63333333333333</v>
      </c>
      <c r="L98" s="30">
        <v>46.433333333333337</v>
      </c>
      <c r="M98" s="30">
        <v>25</v>
      </c>
      <c r="N98" s="30">
        <v>32.6</v>
      </c>
      <c r="O98" s="30">
        <v>28.266666666666666</v>
      </c>
      <c r="P98" s="30">
        <v>7.2</v>
      </c>
      <c r="Q98" s="30">
        <v>13</v>
      </c>
      <c r="R98" s="30">
        <v>0.5</v>
      </c>
      <c r="S98" s="30">
        <v>0</v>
      </c>
    </row>
    <row r="99" spans="1:19" ht="18.600000000000001" customHeight="1">
      <c r="A99" s="25" t="s">
        <v>413</v>
      </c>
      <c r="B99" s="26" t="s">
        <v>97</v>
      </c>
      <c r="C99" s="35" t="s">
        <v>31</v>
      </c>
      <c r="D99" s="30">
        <v>105.86666666666667</v>
      </c>
      <c r="E99" s="32">
        <v>3.8255667506297226</v>
      </c>
      <c r="F99" s="32">
        <v>1.2531486146095716</v>
      </c>
      <c r="G99" s="30">
        <v>118.33333333333333</v>
      </c>
      <c r="H99" s="30">
        <v>6</v>
      </c>
      <c r="I99" s="30">
        <v>0</v>
      </c>
      <c r="J99" s="30">
        <v>45</v>
      </c>
      <c r="K99" s="30">
        <v>87.333333333333329</v>
      </c>
      <c r="L99" s="30">
        <v>45.333333333333336</v>
      </c>
      <c r="M99" s="30">
        <v>6</v>
      </c>
      <c r="N99" s="30">
        <v>35.800000000000004</v>
      </c>
      <c r="O99" s="30">
        <v>14.666666666666666</v>
      </c>
      <c r="P99" s="30">
        <v>3.7666666666666671</v>
      </c>
      <c r="Q99" s="30">
        <v>2</v>
      </c>
      <c r="R99" s="30">
        <v>2</v>
      </c>
      <c r="S99" s="30">
        <v>0</v>
      </c>
    </row>
    <row r="100" spans="1:19" ht="18.600000000000001" customHeight="1">
      <c r="A100" s="25" t="s">
        <v>403</v>
      </c>
      <c r="B100" s="26" t="s">
        <v>158</v>
      </c>
      <c r="C100" s="35" t="s">
        <v>31</v>
      </c>
      <c r="D100" s="30">
        <v>114.7</v>
      </c>
      <c r="E100" s="32">
        <v>3.889642545771578</v>
      </c>
      <c r="F100" s="32">
        <v>1.181633246149375</v>
      </c>
      <c r="G100" s="30">
        <v>109.7</v>
      </c>
      <c r="H100" s="30">
        <v>5.6333333333333329</v>
      </c>
      <c r="I100" s="30">
        <v>0</v>
      </c>
      <c r="J100" s="30">
        <v>49.571333333333335</v>
      </c>
      <c r="K100" s="30">
        <v>108.36666666666667</v>
      </c>
      <c r="L100" s="30">
        <v>27.166666666666668</v>
      </c>
      <c r="M100" s="30">
        <v>15</v>
      </c>
      <c r="N100" s="30">
        <v>24.366666666666664</v>
      </c>
      <c r="O100" s="30">
        <v>21.033333333333335</v>
      </c>
      <c r="P100" s="30">
        <v>6.3999999999999995</v>
      </c>
      <c r="Q100" s="30">
        <v>6</v>
      </c>
      <c r="R100" s="30">
        <v>0</v>
      </c>
      <c r="S100" s="30">
        <v>0</v>
      </c>
    </row>
    <row r="101" spans="1:19" ht="18.600000000000001" customHeight="1">
      <c r="A101" s="25" t="s">
        <v>411</v>
      </c>
      <c r="B101" s="26" t="s">
        <v>103</v>
      </c>
      <c r="C101" s="35" t="s">
        <v>31</v>
      </c>
      <c r="D101" s="30">
        <v>123.7</v>
      </c>
      <c r="E101" s="32">
        <v>4.0069523039611958</v>
      </c>
      <c r="F101" s="32">
        <v>1.2118027485852869</v>
      </c>
      <c r="G101" s="30">
        <v>108.86666666666667</v>
      </c>
      <c r="H101" s="30">
        <v>6.6333333333333329</v>
      </c>
      <c r="I101" s="30">
        <v>0.33333333333333331</v>
      </c>
      <c r="J101" s="30">
        <v>55.073333333333331</v>
      </c>
      <c r="K101" s="30">
        <v>122.73333333333333</v>
      </c>
      <c r="L101" s="30">
        <v>27.166666666666668</v>
      </c>
      <c r="M101" s="30">
        <v>20</v>
      </c>
      <c r="N101" s="30">
        <v>24.633333333333336</v>
      </c>
      <c r="O101" s="30">
        <v>23.3</v>
      </c>
      <c r="P101" s="30">
        <v>7.1000000000000005</v>
      </c>
      <c r="Q101" s="30">
        <v>12</v>
      </c>
      <c r="R101" s="30">
        <v>0.5</v>
      </c>
      <c r="S101" s="30">
        <v>0</v>
      </c>
    </row>
    <row r="102" spans="1:19" ht="18.600000000000001" customHeight="1">
      <c r="A102" s="25" t="s">
        <v>430</v>
      </c>
      <c r="B102" s="26" t="s">
        <v>219</v>
      </c>
      <c r="C102" s="35" t="s">
        <v>31</v>
      </c>
      <c r="D102" s="30">
        <v>116.73333333333333</v>
      </c>
      <c r="E102" s="32">
        <v>4.1684751570531118</v>
      </c>
      <c r="F102" s="32">
        <v>1.2438606510565391</v>
      </c>
      <c r="G102" s="30">
        <v>116.76666666666667</v>
      </c>
      <c r="H102" s="30">
        <v>6.9333333333333336</v>
      </c>
      <c r="I102" s="30">
        <v>0</v>
      </c>
      <c r="J102" s="30">
        <v>54.066666666666663</v>
      </c>
      <c r="K102" s="30">
        <v>113.93333333333334</v>
      </c>
      <c r="L102" s="30">
        <v>31.266666666666666</v>
      </c>
      <c r="M102" s="30">
        <v>14</v>
      </c>
      <c r="N102" s="30">
        <v>27.033333333333331</v>
      </c>
      <c r="O102" s="30">
        <v>21.366666666666664</v>
      </c>
      <c r="P102" s="30">
        <v>7.2666666666666666</v>
      </c>
      <c r="Q102" s="30">
        <v>8</v>
      </c>
      <c r="R102" s="30">
        <v>0</v>
      </c>
      <c r="S102" s="30">
        <v>0</v>
      </c>
    </row>
    <row r="103" spans="1:19" ht="18.600000000000001" customHeight="1">
      <c r="A103" s="25" t="s">
        <v>585</v>
      </c>
      <c r="B103" s="26" t="s">
        <v>309</v>
      </c>
      <c r="C103" s="35" t="s">
        <v>31</v>
      </c>
      <c r="D103" s="30">
        <v>148.73333333333335</v>
      </c>
      <c r="E103" s="32">
        <v>4.9941730165844902</v>
      </c>
      <c r="F103" s="32">
        <v>1.344016136261766</v>
      </c>
      <c r="G103" s="30">
        <v>151</v>
      </c>
      <c r="H103" s="30">
        <v>6.7333333333333334</v>
      </c>
      <c r="I103" s="30">
        <v>0</v>
      </c>
      <c r="J103" s="30">
        <v>82.533333333333331</v>
      </c>
      <c r="K103" s="30">
        <v>136.56666666666666</v>
      </c>
      <c r="L103" s="30">
        <v>63.333333333333336</v>
      </c>
      <c r="M103" s="30">
        <v>31</v>
      </c>
      <c r="N103" s="30">
        <v>28.266666666666666</v>
      </c>
      <c r="O103" s="30">
        <v>27.599999999999998</v>
      </c>
      <c r="P103" s="30">
        <v>9.3333333333333339</v>
      </c>
      <c r="Q103" s="30">
        <v>12</v>
      </c>
      <c r="R103" s="30">
        <v>0</v>
      </c>
      <c r="S103" s="30">
        <v>0</v>
      </c>
    </row>
    <row r="104" spans="1:19" ht="18.600000000000001" customHeight="1">
      <c r="A104" s="25" t="s">
        <v>435</v>
      </c>
      <c r="B104" s="26" t="s">
        <v>82</v>
      </c>
      <c r="C104" s="35" t="s">
        <v>31</v>
      </c>
      <c r="D104" s="30">
        <v>144.79999999999998</v>
      </c>
      <c r="E104" s="32">
        <v>4.4432734806629837</v>
      </c>
      <c r="F104" s="32">
        <v>1.2879834254143647</v>
      </c>
      <c r="G104" s="30">
        <v>115.5</v>
      </c>
      <c r="H104" s="30">
        <v>9.7999999999999989</v>
      </c>
      <c r="I104" s="30">
        <v>0</v>
      </c>
      <c r="J104" s="30">
        <v>71.487333333333325</v>
      </c>
      <c r="K104" s="30">
        <v>150.73333333333332</v>
      </c>
      <c r="L104" s="30">
        <v>35.766666666666666</v>
      </c>
      <c r="M104" s="30">
        <v>24</v>
      </c>
      <c r="N104" s="30">
        <v>26.766666666666666</v>
      </c>
      <c r="O104" s="30">
        <v>26.433333333333334</v>
      </c>
      <c r="P104" s="30">
        <v>8</v>
      </c>
      <c r="Q104" s="30">
        <v>10</v>
      </c>
      <c r="R104" s="30">
        <v>0</v>
      </c>
      <c r="S104" s="30">
        <v>0</v>
      </c>
    </row>
    <row r="105" spans="1:19" ht="18.600000000000001" customHeight="1">
      <c r="A105" s="25" t="s">
        <v>434</v>
      </c>
      <c r="B105" s="26" t="s">
        <v>72</v>
      </c>
      <c r="C105" s="35" t="s">
        <v>31</v>
      </c>
      <c r="D105" s="30">
        <v>171.6</v>
      </c>
      <c r="E105" s="32">
        <v>4.4181468531468528</v>
      </c>
      <c r="F105" s="32">
        <v>1.3038073038073039</v>
      </c>
      <c r="G105" s="30">
        <v>113</v>
      </c>
      <c r="H105" s="30">
        <v>10.366666666666667</v>
      </c>
      <c r="I105" s="30">
        <v>0</v>
      </c>
      <c r="J105" s="30">
        <v>84.239333333333335</v>
      </c>
      <c r="K105" s="30">
        <v>178.20000000000002</v>
      </c>
      <c r="L105" s="30">
        <v>45.533333333333331</v>
      </c>
      <c r="M105" s="30">
        <v>27</v>
      </c>
      <c r="N105" s="30">
        <v>29.599999999999998</v>
      </c>
      <c r="O105" s="30">
        <v>29.599999999999998</v>
      </c>
      <c r="P105" s="30">
        <v>10.566666666666666</v>
      </c>
      <c r="Q105" s="30">
        <v>12</v>
      </c>
      <c r="R105" s="30">
        <v>0</v>
      </c>
      <c r="S105" s="30">
        <v>0</v>
      </c>
    </row>
    <row r="106" spans="1:19" ht="18.600000000000001" customHeight="1">
      <c r="A106" s="25" t="s">
        <v>453</v>
      </c>
      <c r="B106" s="26" t="s">
        <v>101</v>
      </c>
      <c r="C106" s="35" t="s">
        <v>31</v>
      </c>
      <c r="D106" s="30">
        <v>164.70000000000002</v>
      </c>
      <c r="E106" s="32">
        <v>4.428925318761384</v>
      </c>
      <c r="F106" s="32">
        <v>1.2760574782432703</v>
      </c>
      <c r="G106" s="30">
        <v>115.5</v>
      </c>
      <c r="H106" s="30">
        <v>8.7000000000000011</v>
      </c>
      <c r="I106" s="30">
        <v>0</v>
      </c>
      <c r="J106" s="30">
        <v>81.049333333333337</v>
      </c>
      <c r="K106" s="30">
        <v>173</v>
      </c>
      <c r="L106" s="30">
        <v>37.166666666666664</v>
      </c>
      <c r="M106" s="30">
        <v>27</v>
      </c>
      <c r="N106" s="30">
        <v>29.266666666666666</v>
      </c>
      <c r="O106" s="30">
        <v>28.599999999999998</v>
      </c>
      <c r="P106" s="30">
        <v>11.366666666666667</v>
      </c>
      <c r="Q106" s="30">
        <v>13</v>
      </c>
      <c r="R106" s="30">
        <v>0</v>
      </c>
      <c r="S106" s="30">
        <v>0</v>
      </c>
    </row>
    <row r="107" spans="1:19" ht="18.600000000000001" customHeight="1">
      <c r="A107" s="25" t="s">
        <v>446</v>
      </c>
      <c r="B107" s="26" t="s">
        <v>142</v>
      </c>
      <c r="C107" s="35" t="s">
        <v>31</v>
      </c>
      <c r="D107" s="30">
        <v>142.85</v>
      </c>
      <c r="E107" s="32">
        <v>3.9123066153307668</v>
      </c>
      <c r="F107" s="32">
        <v>1.2614630731536576</v>
      </c>
      <c r="G107" s="30">
        <v>145.44999999999999</v>
      </c>
      <c r="H107" s="30">
        <v>7.1</v>
      </c>
      <c r="I107" s="30">
        <v>0</v>
      </c>
      <c r="J107" s="30">
        <v>62.097000000000001</v>
      </c>
      <c r="K107" s="30">
        <v>127.75</v>
      </c>
      <c r="L107" s="30">
        <v>52.45</v>
      </c>
      <c r="M107" s="30">
        <v>23</v>
      </c>
      <c r="N107" s="30">
        <v>30.85</v>
      </c>
      <c r="O107" s="30">
        <v>29.35</v>
      </c>
      <c r="P107" s="30">
        <v>10.5</v>
      </c>
      <c r="Q107" s="30">
        <v>10</v>
      </c>
      <c r="R107" s="30">
        <v>0</v>
      </c>
      <c r="S107" s="30">
        <v>0</v>
      </c>
    </row>
    <row r="108" spans="1:19" ht="18.600000000000001" customHeight="1">
      <c r="A108" s="25" t="s">
        <v>444</v>
      </c>
      <c r="B108" s="26" t="s">
        <v>260</v>
      </c>
      <c r="C108" s="35" t="s">
        <v>31</v>
      </c>
      <c r="D108" s="30">
        <v>120.45</v>
      </c>
      <c r="E108" s="32">
        <v>4.1255043586550428</v>
      </c>
      <c r="F108" s="32">
        <v>1.2266500622665006</v>
      </c>
      <c r="G108" s="30">
        <v>108.55</v>
      </c>
      <c r="H108" s="30">
        <v>5.9</v>
      </c>
      <c r="I108" s="30">
        <v>0</v>
      </c>
      <c r="J108" s="30">
        <v>55.212999999999994</v>
      </c>
      <c r="K108" s="30">
        <v>111.95</v>
      </c>
      <c r="L108" s="30">
        <v>35.799999999999997</v>
      </c>
      <c r="M108" s="30">
        <v>22</v>
      </c>
      <c r="N108" s="30">
        <v>24.65</v>
      </c>
      <c r="O108" s="30">
        <v>24.15</v>
      </c>
      <c r="P108" s="30">
        <v>8.9</v>
      </c>
      <c r="Q108" s="30">
        <v>13</v>
      </c>
      <c r="R108" s="30">
        <v>0</v>
      </c>
      <c r="S108" s="30">
        <v>0</v>
      </c>
    </row>
    <row r="109" spans="1:19" ht="18.600000000000001" customHeight="1">
      <c r="A109" s="25" t="s">
        <v>476</v>
      </c>
      <c r="B109" s="26" t="s">
        <v>64</v>
      </c>
      <c r="C109" s="35" t="s">
        <v>31</v>
      </c>
      <c r="D109" s="30">
        <v>128.9</v>
      </c>
      <c r="E109" s="32">
        <v>4.371574864235841</v>
      </c>
      <c r="F109" s="32">
        <v>1.2767002844582362</v>
      </c>
      <c r="G109" s="30">
        <v>111.13333333333333</v>
      </c>
      <c r="H109" s="30">
        <v>7.833333333333333</v>
      </c>
      <c r="I109" s="30">
        <v>0</v>
      </c>
      <c r="J109" s="30">
        <v>62.610666666666667</v>
      </c>
      <c r="K109" s="30">
        <v>130.36666666666667</v>
      </c>
      <c r="L109" s="30">
        <v>34.199999999999996</v>
      </c>
      <c r="M109" s="30">
        <v>24</v>
      </c>
      <c r="N109" s="30">
        <v>24.900000000000002</v>
      </c>
      <c r="O109" s="30">
        <v>23.900000000000002</v>
      </c>
      <c r="P109" s="30">
        <v>6.666666666666667</v>
      </c>
      <c r="Q109" s="30">
        <v>11</v>
      </c>
      <c r="R109" s="30">
        <v>0.5</v>
      </c>
      <c r="S109" s="30">
        <v>0</v>
      </c>
    </row>
    <row r="110" spans="1:19" ht="18.600000000000001" customHeight="1">
      <c r="A110" s="25" t="s">
        <v>498</v>
      </c>
      <c r="B110" s="26" t="s">
        <v>105</v>
      </c>
      <c r="C110" s="35" t="s">
        <v>31</v>
      </c>
      <c r="D110" s="30">
        <v>139.36666666666667</v>
      </c>
      <c r="E110" s="32">
        <v>4.5706912221956468</v>
      </c>
      <c r="F110" s="32">
        <v>1.2908395120784502</v>
      </c>
      <c r="G110" s="30">
        <v>115.66666666666667</v>
      </c>
      <c r="H110" s="30">
        <v>8.3333333333333339</v>
      </c>
      <c r="I110" s="30">
        <v>0</v>
      </c>
      <c r="J110" s="30">
        <v>70.778000000000006</v>
      </c>
      <c r="K110" s="30">
        <v>148.93333333333334</v>
      </c>
      <c r="L110" s="30">
        <v>30.966666666666669</v>
      </c>
      <c r="M110" s="30">
        <v>25</v>
      </c>
      <c r="N110" s="30">
        <v>26.400000000000002</v>
      </c>
      <c r="O110" s="30">
        <v>26.066666666666666</v>
      </c>
      <c r="P110" s="30">
        <v>8</v>
      </c>
      <c r="Q110" s="30">
        <v>12</v>
      </c>
      <c r="R110" s="30">
        <v>0</v>
      </c>
      <c r="S110" s="30">
        <v>0</v>
      </c>
    </row>
    <row r="111" spans="1:19" ht="18.600000000000001" customHeight="1">
      <c r="A111" s="25" t="s">
        <v>500</v>
      </c>
      <c r="B111" s="26" t="s">
        <v>101</v>
      </c>
      <c r="C111" s="35" t="s">
        <v>31</v>
      </c>
      <c r="D111" s="30">
        <v>147.44999999999999</v>
      </c>
      <c r="E111" s="32">
        <v>4.4454323499491348</v>
      </c>
      <c r="F111" s="32">
        <v>1.3268904713462193</v>
      </c>
      <c r="G111" s="30">
        <v>115.25</v>
      </c>
      <c r="H111" s="30">
        <v>8.65</v>
      </c>
      <c r="I111" s="30">
        <v>0</v>
      </c>
      <c r="J111" s="30">
        <v>72.830999999999989</v>
      </c>
      <c r="K111" s="30">
        <v>149.5</v>
      </c>
      <c r="L111" s="30">
        <v>46.15</v>
      </c>
      <c r="M111" s="30">
        <v>22</v>
      </c>
      <c r="N111" s="30">
        <v>26.75</v>
      </c>
      <c r="O111" s="30">
        <v>26.75</v>
      </c>
      <c r="P111" s="30">
        <v>9.5</v>
      </c>
      <c r="Q111" s="30">
        <v>10</v>
      </c>
      <c r="R111" s="30">
        <v>0</v>
      </c>
      <c r="S111" s="30">
        <v>0</v>
      </c>
    </row>
    <row r="112" spans="1:19" ht="18.600000000000001" customHeight="1">
      <c r="A112" s="25" t="s">
        <v>462</v>
      </c>
      <c r="B112" s="26" t="s">
        <v>125</v>
      </c>
      <c r="C112" s="35" t="s">
        <v>31</v>
      </c>
      <c r="D112" s="30">
        <v>107.16666666666667</v>
      </c>
      <c r="E112" s="32">
        <v>4.1807589424572313</v>
      </c>
      <c r="F112" s="32">
        <v>1.2743390357698288</v>
      </c>
      <c r="G112" s="30">
        <v>104.8</v>
      </c>
      <c r="H112" s="30">
        <v>7.5333333333333341</v>
      </c>
      <c r="I112" s="30">
        <v>0</v>
      </c>
      <c r="J112" s="30">
        <v>49.782000000000004</v>
      </c>
      <c r="K112" s="30">
        <v>106.8</v>
      </c>
      <c r="L112" s="30">
        <v>29.766666666666666</v>
      </c>
      <c r="M112" s="30">
        <v>15</v>
      </c>
      <c r="N112" s="30">
        <v>25.766666666666666</v>
      </c>
      <c r="O112" s="30">
        <v>20.766666666666666</v>
      </c>
      <c r="P112" s="30">
        <v>6.3999999999999995</v>
      </c>
      <c r="Q112" s="30">
        <v>9</v>
      </c>
      <c r="R112" s="30">
        <v>0.5</v>
      </c>
      <c r="S112" s="30">
        <v>0</v>
      </c>
    </row>
    <row r="113" spans="1:19" ht="18.600000000000001" customHeight="1">
      <c r="A113" s="25" t="s">
        <v>441</v>
      </c>
      <c r="B113" s="26" t="s">
        <v>116</v>
      </c>
      <c r="C113" s="35" t="s">
        <v>31</v>
      </c>
      <c r="D113" s="30">
        <v>106.33333333333333</v>
      </c>
      <c r="E113" s="32">
        <v>4.1717115987460822</v>
      </c>
      <c r="F113" s="32">
        <v>1.2210031347962385</v>
      </c>
      <c r="G113" s="30">
        <v>99.266666666666666</v>
      </c>
      <c r="H113" s="30">
        <v>6.8999999999999995</v>
      </c>
      <c r="I113" s="30">
        <v>0</v>
      </c>
      <c r="J113" s="30">
        <v>49.288000000000004</v>
      </c>
      <c r="K113" s="30">
        <v>97.433333333333337</v>
      </c>
      <c r="L113" s="30">
        <v>32.4</v>
      </c>
      <c r="M113" s="30">
        <v>25</v>
      </c>
      <c r="N113" s="30">
        <v>20.333333333333332</v>
      </c>
      <c r="O113" s="30">
        <v>20</v>
      </c>
      <c r="P113" s="30">
        <v>5.9333333333333336</v>
      </c>
      <c r="Q113" s="30">
        <v>10</v>
      </c>
      <c r="R113" s="30">
        <v>0</v>
      </c>
      <c r="S113" s="30">
        <v>0</v>
      </c>
    </row>
    <row r="114" spans="1:19" ht="18.600000000000001" customHeight="1">
      <c r="A114" s="25" t="s">
        <v>578</v>
      </c>
      <c r="B114" s="26" t="s">
        <v>101</v>
      </c>
      <c r="C114" s="35" t="s">
        <v>31</v>
      </c>
      <c r="D114" s="30">
        <v>137.9</v>
      </c>
      <c r="E114" s="32">
        <v>4.5298477157360404</v>
      </c>
      <c r="F114" s="32">
        <v>1.3594392071549433</v>
      </c>
      <c r="G114" s="30">
        <v>128.06666666666666</v>
      </c>
      <c r="H114" s="30">
        <v>6.2666666666666666</v>
      </c>
      <c r="I114" s="30">
        <v>0</v>
      </c>
      <c r="J114" s="30">
        <v>69.407333333333341</v>
      </c>
      <c r="K114" s="30">
        <v>135.9</v>
      </c>
      <c r="L114" s="30">
        <v>51.566666666666663</v>
      </c>
      <c r="M114" s="30">
        <v>19</v>
      </c>
      <c r="N114" s="30">
        <v>27.099999999999998</v>
      </c>
      <c r="O114" s="30">
        <v>26.766666666666666</v>
      </c>
      <c r="P114" s="30">
        <v>8.4</v>
      </c>
      <c r="Q114" s="30">
        <v>12</v>
      </c>
      <c r="R114" s="30">
        <v>0</v>
      </c>
      <c r="S114" s="30">
        <v>0</v>
      </c>
    </row>
    <row r="115" spans="1:19" ht="18.600000000000001" customHeight="1">
      <c r="A115" s="25" t="s">
        <v>488</v>
      </c>
      <c r="B115" s="26" t="s">
        <v>105</v>
      </c>
      <c r="C115" s="35" t="s">
        <v>31</v>
      </c>
      <c r="D115" s="30">
        <v>115.96666666666665</v>
      </c>
      <c r="E115" s="32">
        <v>3.9195918367346945</v>
      </c>
      <c r="F115" s="32">
        <v>1.2972118424834724</v>
      </c>
      <c r="G115" s="30">
        <v>107.26666666666667</v>
      </c>
      <c r="H115" s="30">
        <v>5.4333333333333336</v>
      </c>
      <c r="I115" s="30">
        <v>0</v>
      </c>
      <c r="J115" s="30">
        <v>50.504666666666672</v>
      </c>
      <c r="K115" s="30">
        <v>113.10000000000001</v>
      </c>
      <c r="L115" s="30">
        <v>37.333333333333336</v>
      </c>
      <c r="M115" s="30">
        <v>11</v>
      </c>
      <c r="N115" s="30">
        <v>23.133333333333336</v>
      </c>
      <c r="O115" s="30">
        <v>20.8</v>
      </c>
      <c r="P115" s="30">
        <v>7.3</v>
      </c>
      <c r="Q115" s="30">
        <v>9</v>
      </c>
      <c r="R115" s="30">
        <v>0</v>
      </c>
      <c r="S115" s="30">
        <v>0</v>
      </c>
    </row>
    <row r="116" spans="1:19" ht="18.600000000000001" customHeight="1">
      <c r="A116" s="25" t="s">
        <v>431</v>
      </c>
      <c r="B116" s="26" t="s">
        <v>158</v>
      </c>
      <c r="C116" s="35" t="s">
        <v>31</v>
      </c>
      <c r="D116" s="30">
        <v>97.35</v>
      </c>
      <c r="E116" s="32">
        <v>3.8359322033898313</v>
      </c>
      <c r="F116" s="32">
        <v>1.2223934257832563</v>
      </c>
      <c r="G116" s="30">
        <v>93.3</v>
      </c>
      <c r="H116" s="30">
        <v>5.65</v>
      </c>
      <c r="I116" s="30">
        <v>0</v>
      </c>
      <c r="J116" s="30">
        <v>41.492000000000004</v>
      </c>
      <c r="K116" s="30">
        <v>92.05</v>
      </c>
      <c r="L116" s="30">
        <v>26.95</v>
      </c>
      <c r="M116" s="30">
        <v>21</v>
      </c>
      <c r="N116" s="30">
        <v>29.7</v>
      </c>
      <c r="O116" s="30">
        <v>19.100000000000001</v>
      </c>
      <c r="P116" s="30">
        <v>5.65</v>
      </c>
      <c r="Q116" s="30">
        <v>11</v>
      </c>
      <c r="R116" s="30">
        <v>2</v>
      </c>
      <c r="S116" s="30">
        <v>0</v>
      </c>
    </row>
    <row r="117" spans="1:19" ht="18.600000000000001" customHeight="1">
      <c r="A117" s="25" t="s">
        <v>554</v>
      </c>
      <c r="B117" s="26" t="s">
        <v>225</v>
      </c>
      <c r="C117" s="35" t="s">
        <v>31</v>
      </c>
      <c r="D117" s="30">
        <v>153.16666666666666</v>
      </c>
      <c r="E117" s="32">
        <v>4.4642742110990206</v>
      </c>
      <c r="F117" s="32">
        <v>1.3455930359085966</v>
      </c>
      <c r="G117" s="30">
        <v>118.13333333333333</v>
      </c>
      <c r="H117" s="30">
        <v>7.3666666666666671</v>
      </c>
      <c r="I117" s="30">
        <v>0</v>
      </c>
      <c r="J117" s="30">
        <v>75.975333333333325</v>
      </c>
      <c r="K117" s="30">
        <v>159.33333333333334</v>
      </c>
      <c r="L117" s="30">
        <v>46.766666666666673</v>
      </c>
      <c r="M117" s="30">
        <v>18</v>
      </c>
      <c r="N117" s="30">
        <v>26.733333333333334</v>
      </c>
      <c r="O117" s="30">
        <v>26.400000000000002</v>
      </c>
      <c r="P117" s="30">
        <v>8.7333333333333325</v>
      </c>
      <c r="Q117" s="30">
        <v>12</v>
      </c>
      <c r="R117" s="30">
        <v>0</v>
      </c>
      <c r="S117" s="30">
        <v>0</v>
      </c>
    </row>
    <row r="118" spans="1:19" ht="18.600000000000001" customHeight="1">
      <c r="A118" s="25" t="s">
        <v>445</v>
      </c>
      <c r="B118" s="26" t="s">
        <v>69</v>
      </c>
      <c r="C118" s="35" t="s">
        <v>31</v>
      </c>
      <c r="D118" s="30">
        <v>103.46666666666665</v>
      </c>
      <c r="E118" s="32">
        <v>4.1859858247422688</v>
      </c>
      <c r="F118" s="32">
        <v>1.2106958762886602</v>
      </c>
      <c r="G118" s="30">
        <v>95.2</v>
      </c>
      <c r="H118" s="30">
        <v>6.7</v>
      </c>
      <c r="I118" s="30">
        <v>0</v>
      </c>
      <c r="J118" s="30">
        <v>48.123333333333335</v>
      </c>
      <c r="K118" s="30">
        <v>98.100000000000009</v>
      </c>
      <c r="L118" s="30">
        <v>27.166666666666668</v>
      </c>
      <c r="M118" s="30">
        <v>24</v>
      </c>
      <c r="N118" s="30">
        <v>34.266666666666666</v>
      </c>
      <c r="O118" s="30">
        <v>15.133333333333333</v>
      </c>
      <c r="P118" s="30">
        <v>5.2666666666666666</v>
      </c>
      <c r="Q118" s="30">
        <v>9</v>
      </c>
      <c r="R118" s="30">
        <v>2</v>
      </c>
      <c r="S118" s="30">
        <v>0</v>
      </c>
    </row>
    <row r="119" spans="1:19" ht="18.600000000000001" customHeight="1">
      <c r="A119" s="25" t="s">
        <v>542</v>
      </c>
      <c r="B119" s="26" t="s">
        <v>116</v>
      </c>
      <c r="C119" s="35" t="s">
        <v>31</v>
      </c>
      <c r="D119" s="30">
        <v>114.36666666666667</v>
      </c>
      <c r="E119" s="32">
        <v>4.3462314194112501</v>
      </c>
      <c r="F119" s="32">
        <v>1.2920431361119205</v>
      </c>
      <c r="G119" s="30">
        <v>112.93333333333334</v>
      </c>
      <c r="H119" s="30">
        <v>5.5333333333333341</v>
      </c>
      <c r="I119" s="30">
        <v>0</v>
      </c>
      <c r="J119" s="30">
        <v>55.229333333333329</v>
      </c>
      <c r="K119" s="30">
        <v>99.3</v>
      </c>
      <c r="L119" s="30">
        <v>48.466666666666669</v>
      </c>
      <c r="M119" s="30">
        <v>24</v>
      </c>
      <c r="N119" s="30">
        <v>29.066666666666666</v>
      </c>
      <c r="O119" s="30">
        <v>22.066666666666666</v>
      </c>
      <c r="P119" s="30">
        <v>7.2</v>
      </c>
      <c r="Q119" s="30">
        <v>9</v>
      </c>
      <c r="R119" s="30">
        <v>2.5</v>
      </c>
      <c r="S119" s="30">
        <v>0</v>
      </c>
    </row>
    <row r="120" spans="1:19" ht="18.600000000000001" customHeight="1">
      <c r="A120" s="25" t="s">
        <v>567</v>
      </c>
      <c r="B120" s="26" t="s">
        <v>95</v>
      </c>
      <c r="C120" s="35" t="s">
        <v>31</v>
      </c>
      <c r="D120" s="30">
        <v>108.7</v>
      </c>
      <c r="E120" s="32">
        <v>4.3716651333946643</v>
      </c>
      <c r="F120" s="32">
        <v>1.3443728917509965</v>
      </c>
      <c r="G120" s="30">
        <v>116.39999999999999</v>
      </c>
      <c r="H120" s="30">
        <v>6.0666666666666664</v>
      </c>
      <c r="I120" s="30">
        <v>0.33333333333333331</v>
      </c>
      <c r="J120" s="30">
        <v>52.800000000000004</v>
      </c>
      <c r="K120" s="30">
        <v>99.266666666666666</v>
      </c>
      <c r="L120" s="30">
        <v>46.866666666666667</v>
      </c>
      <c r="M120" s="30">
        <v>16</v>
      </c>
      <c r="N120" s="30">
        <v>31.466666666666669</v>
      </c>
      <c r="O120" s="30">
        <v>20.066666666666666</v>
      </c>
      <c r="P120" s="30">
        <v>6.2333333333333334</v>
      </c>
      <c r="Q120" s="30">
        <v>7</v>
      </c>
      <c r="R120" s="30">
        <v>1</v>
      </c>
      <c r="S120" s="30">
        <v>0</v>
      </c>
    </row>
    <row r="121" spans="1:19" ht="18.600000000000001" customHeight="1">
      <c r="A121" s="25" t="s">
        <v>522</v>
      </c>
      <c r="B121" s="26" t="s">
        <v>142</v>
      </c>
      <c r="C121" s="35" t="s">
        <v>31</v>
      </c>
      <c r="D121" s="30">
        <v>146.85000000000002</v>
      </c>
      <c r="E121" s="32">
        <v>4.2904596527068426</v>
      </c>
      <c r="F121" s="32">
        <v>1.3173306094654407</v>
      </c>
      <c r="G121" s="30">
        <v>107.75</v>
      </c>
      <c r="H121" s="30">
        <v>7</v>
      </c>
      <c r="I121" s="30">
        <v>0</v>
      </c>
      <c r="J121" s="30">
        <v>70.006</v>
      </c>
      <c r="K121" s="30">
        <v>152.15</v>
      </c>
      <c r="L121" s="30">
        <v>41.3</v>
      </c>
      <c r="M121" s="30">
        <v>20</v>
      </c>
      <c r="N121" s="30">
        <v>27.95</v>
      </c>
      <c r="O121" s="30">
        <v>27.95</v>
      </c>
      <c r="P121" s="30">
        <v>10</v>
      </c>
      <c r="Q121" s="30">
        <v>13</v>
      </c>
      <c r="R121" s="30">
        <v>0</v>
      </c>
      <c r="S121" s="30">
        <v>0</v>
      </c>
    </row>
    <row r="122" spans="1:19" ht="18.600000000000001" customHeight="1">
      <c r="A122" s="25" t="s">
        <v>515</v>
      </c>
      <c r="B122" s="26" t="s">
        <v>136</v>
      </c>
      <c r="C122" s="35" t="s">
        <v>31</v>
      </c>
      <c r="D122" s="30">
        <v>149.66666666666666</v>
      </c>
      <c r="E122" s="32">
        <v>4.3592472160356346</v>
      </c>
      <c r="F122" s="32">
        <v>1.3247216035634746</v>
      </c>
      <c r="G122" s="30">
        <v>106.23333333333333</v>
      </c>
      <c r="H122" s="30">
        <v>8</v>
      </c>
      <c r="I122" s="30">
        <v>0</v>
      </c>
      <c r="J122" s="30">
        <v>72.492666666666665</v>
      </c>
      <c r="K122" s="30">
        <v>158.9</v>
      </c>
      <c r="L122" s="30">
        <v>39.366666666666667</v>
      </c>
      <c r="M122" s="30">
        <v>23</v>
      </c>
      <c r="N122" s="30">
        <v>25.3</v>
      </c>
      <c r="O122" s="30">
        <v>24.966666666666669</v>
      </c>
      <c r="P122" s="30">
        <v>9.0333333333333332</v>
      </c>
      <c r="Q122" s="30">
        <v>12</v>
      </c>
      <c r="R122" s="30">
        <v>0</v>
      </c>
      <c r="S122" s="30">
        <v>0</v>
      </c>
    </row>
    <row r="123" spans="1:19" ht="18.600000000000001" customHeight="1">
      <c r="A123" s="25" t="s">
        <v>458</v>
      </c>
      <c r="B123" s="26" t="s">
        <v>260</v>
      </c>
      <c r="C123" s="35" t="s">
        <v>31</v>
      </c>
      <c r="D123" s="30">
        <v>89.433333333333337</v>
      </c>
      <c r="E123" s="32">
        <v>3.9549012299664557</v>
      </c>
      <c r="F123" s="32">
        <v>1.2087215803205367</v>
      </c>
      <c r="G123" s="30">
        <v>92.033333333333346</v>
      </c>
      <c r="H123" s="30">
        <v>4.9333333333333336</v>
      </c>
      <c r="I123" s="30">
        <v>0</v>
      </c>
      <c r="J123" s="30">
        <v>39.300000000000004</v>
      </c>
      <c r="K123" s="30">
        <v>81.466666666666669</v>
      </c>
      <c r="L123" s="30">
        <v>26.633333333333336</v>
      </c>
      <c r="M123" s="30">
        <v>9</v>
      </c>
      <c r="N123" s="30">
        <v>16.433333333333334</v>
      </c>
      <c r="O123" s="30">
        <v>16.099999999999998</v>
      </c>
      <c r="P123" s="30">
        <v>6.2666666666666666</v>
      </c>
      <c r="Q123" s="30">
        <v>6</v>
      </c>
      <c r="R123" s="30">
        <v>0</v>
      </c>
      <c r="S123" s="30">
        <v>0</v>
      </c>
    </row>
    <row r="124" spans="1:19" ht="18.600000000000001" customHeight="1">
      <c r="A124" s="25" t="s">
        <v>524</v>
      </c>
      <c r="B124" s="26" t="s">
        <v>77</v>
      </c>
      <c r="C124" s="35" t="s">
        <v>31</v>
      </c>
      <c r="D124" s="30">
        <v>139.06666666666666</v>
      </c>
      <c r="E124" s="32">
        <v>4.5806375838926181</v>
      </c>
      <c r="F124" s="32">
        <v>1.2739693192713326</v>
      </c>
      <c r="G124" s="30">
        <v>105.96666666666665</v>
      </c>
      <c r="H124" s="30">
        <v>7.4666666666666659</v>
      </c>
      <c r="I124" s="30">
        <v>0</v>
      </c>
      <c r="J124" s="30">
        <v>70.779333333333341</v>
      </c>
      <c r="K124" s="30">
        <v>141.06666666666666</v>
      </c>
      <c r="L124" s="30">
        <v>36.1</v>
      </c>
      <c r="M124" s="30">
        <v>22</v>
      </c>
      <c r="N124" s="30">
        <v>25.066666666666666</v>
      </c>
      <c r="O124" s="30">
        <v>24.733333333333334</v>
      </c>
      <c r="P124" s="30">
        <v>8.3666666666666671</v>
      </c>
      <c r="Q124" s="30">
        <v>10</v>
      </c>
      <c r="R124" s="30">
        <v>0</v>
      </c>
      <c r="S124" s="30">
        <v>0</v>
      </c>
    </row>
    <row r="125" spans="1:19" ht="18.600000000000001" customHeight="1">
      <c r="A125" s="25" t="s">
        <v>471</v>
      </c>
      <c r="B125" s="26" t="s">
        <v>99</v>
      </c>
      <c r="C125" s="35" t="s">
        <v>31</v>
      </c>
      <c r="D125" s="30">
        <v>78.7</v>
      </c>
      <c r="E125" s="32">
        <v>3.7052096569250312</v>
      </c>
      <c r="F125" s="32">
        <v>1.2359169843286741</v>
      </c>
      <c r="G125" s="30">
        <v>86.45</v>
      </c>
      <c r="H125" s="30">
        <v>3.9499999999999997</v>
      </c>
      <c r="I125" s="30">
        <v>0.66666666666666663</v>
      </c>
      <c r="J125" s="30">
        <v>32.4</v>
      </c>
      <c r="K125" s="30">
        <v>66.566666666666663</v>
      </c>
      <c r="L125" s="30">
        <v>30.7</v>
      </c>
      <c r="M125" s="30">
        <v>4</v>
      </c>
      <c r="N125" s="30">
        <v>25.400000000000002</v>
      </c>
      <c r="O125" s="30">
        <v>12.033333333333333</v>
      </c>
      <c r="P125" s="30">
        <v>4.1833333333333336</v>
      </c>
      <c r="Q125" s="30">
        <v>2</v>
      </c>
      <c r="R125" s="30">
        <v>1.5</v>
      </c>
      <c r="S125" s="30">
        <v>0</v>
      </c>
    </row>
    <row r="126" spans="1:19" ht="18.600000000000001" customHeight="1">
      <c r="A126" s="25" t="s">
        <v>560</v>
      </c>
      <c r="B126" s="26" t="s">
        <v>85</v>
      </c>
      <c r="C126" s="35" t="s">
        <v>31</v>
      </c>
      <c r="D126" s="30">
        <v>118.43333333333334</v>
      </c>
      <c r="E126" s="32">
        <v>4.4269969040247679</v>
      </c>
      <c r="F126" s="32">
        <v>1.3315508021390372</v>
      </c>
      <c r="G126" s="30">
        <v>104.73333333333333</v>
      </c>
      <c r="H126" s="30">
        <v>7.4333333333333336</v>
      </c>
      <c r="I126" s="30">
        <v>0</v>
      </c>
      <c r="J126" s="30">
        <v>58.256</v>
      </c>
      <c r="K126" s="30">
        <v>117.3</v>
      </c>
      <c r="L126" s="30">
        <v>40.4</v>
      </c>
      <c r="M126" s="30">
        <v>21</v>
      </c>
      <c r="N126" s="30">
        <v>24.166666666666668</v>
      </c>
      <c r="O126" s="30">
        <v>22.833333333333332</v>
      </c>
      <c r="P126" s="30">
        <v>7.8999999999999995</v>
      </c>
      <c r="Q126" s="30">
        <v>10</v>
      </c>
      <c r="R126" s="30">
        <v>0</v>
      </c>
      <c r="S126" s="30">
        <v>0</v>
      </c>
    </row>
    <row r="127" spans="1:19" ht="18.600000000000001" customHeight="1">
      <c r="A127" s="25" t="s">
        <v>529</v>
      </c>
      <c r="B127" s="26" t="s">
        <v>160</v>
      </c>
      <c r="C127" s="35" t="s">
        <v>31</v>
      </c>
      <c r="D127" s="30">
        <v>108.33333333333333</v>
      </c>
      <c r="E127" s="32">
        <v>4.225624615384616</v>
      </c>
      <c r="F127" s="32">
        <v>1.2846153846153845</v>
      </c>
      <c r="G127" s="30">
        <v>98.966666666666654</v>
      </c>
      <c r="H127" s="30">
        <v>6</v>
      </c>
      <c r="I127" s="30">
        <v>0</v>
      </c>
      <c r="J127" s="30">
        <v>50.864000000000004</v>
      </c>
      <c r="K127" s="30">
        <v>107</v>
      </c>
      <c r="L127" s="30">
        <v>32.166666666666664</v>
      </c>
      <c r="M127" s="30">
        <v>20</v>
      </c>
      <c r="N127" s="30">
        <v>27.033333333333331</v>
      </c>
      <c r="O127" s="30">
        <v>20.366666666666667</v>
      </c>
      <c r="P127" s="30">
        <v>6.833333333333333</v>
      </c>
      <c r="Q127" s="30">
        <v>7</v>
      </c>
      <c r="R127" s="30">
        <v>0</v>
      </c>
      <c r="S127" s="30">
        <v>0</v>
      </c>
    </row>
    <row r="128" spans="1:19" ht="18.600000000000001" customHeight="1">
      <c r="A128" s="25" t="s">
        <v>644</v>
      </c>
      <c r="B128" s="26" t="s">
        <v>119</v>
      </c>
      <c r="C128" s="35" t="s">
        <v>31</v>
      </c>
      <c r="D128" s="30">
        <v>168.2</v>
      </c>
      <c r="E128" s="32">
        <v>5.0669322235434011</v>
      </c>
      <c r="F128" s="32">
        <v>1.4171621086008721</v>
      </c>
      <c r="G128" s="30">
        <v>125.16666666666667</v>
      </c>
      <c r="H128" s="30">
        <v>9.1</v>
      </c>
      <c r="I128" s="30">
        <v>0</v>
      </c>
      <c r="J128" s="30">
        <v>94.695333333333338</v>
      </c>
      <c r="K128" s="30">
        <v>185.03333333333333</v>
      </c>
      <c r="L128" s="30">
        <v>53.333333333333336</v>
      </c>
      <c r="M128" s="30">
        <v>26</v>
      </c>
      <c r="N128" s="30">
        <v>30.599999999999998</v>
      </c>
      <c r="O128" s="30">
        <v>29.933333333333334</v>
      </c>
      <c r="P128" s="30">
        <v>11.9</v>
      </c>
      <c r="Q128" s="30">
        <v>12</v>
      </c>
      <c r="R128" s="30">
        <v>0</v>
      </c>
      <c r="S128" s="30">
        <v>0</v>
      </c>
    </row>
    <row r="129" spans="1:19" ht="18.600000000000001" customHeight="1">
      <c r="A129" s="25" t="s">
        <v>485</v>
      </c>
      <c r="B129" s="26" t="s">
        <v>101</v>
      </c>
      <c r="C129" s="35" t="s">
        <v>31</v>
      </c>
      <c r="D129" s="30">
        <v>102.53333333333335</v>
      </c>
      <c r="E129" s="32">
        <v>4.3876462938881664</v>
      </c>
      <c r="F129" s="32">
        <v>1.1745773732119633</v>
      </c>
      <c r="G129" s="30">
        <v>87.3</v>
      </c>
      <c r="H129" s="30">
        <v>5.3666666666666671</v>
      </c>
      <c r="I129" s="30">
        <v>1</v>
      </c>
      <c r="J129" s="30">
        <v>49.986666666666672</v>
      </c>
      <c r="K129" s="30">
        <v>93.133333333333326</v>
      </c>
      <c r="L129" s="30">
        <v>27.3</v>
      </c>
      <c r="M129" s="30">
        <v>17</v>
      </c>
      <c r="N129" s="30">
        <v>37.800000000000004</v>
      </c>
      <c r="O129" s="30">
        <v>16.066666666666666</v>
      </c>
      <c r="P129" s="30">
        <v>6.6000000000000005</v>
      </c>
      <c r="Q129" s="30">
        <v>5</v>
      </c>
      <c r="R129" s="30">
        <v>1.5</v>
      </c>
      <c r="S129" s="30">
        <v>0</v>
      </c>
    </row>
    <row r="130" spans="1:19" ht="18.600000000000001" customHeight="1">
      <c r="A130" s="25" t="s">
        <v>544</v>
      </c>
      <c r="B130" s="26" t="s">
        <v>119</v>
      </c>
      <c r="C130" s="35" t="s">
        <v>31</v>
      </c>
      <c r="D130" s="30">
        <v>131.93333333333334</v>
      </c>
      <c r="E130" s="32">
        <v>4.1852956038403226</v>
      </c>
      <c r="F130" s="32">
        <v>1.3365336028297121</v>
      </c>
      <c r="G130" s="30">
        <v>99</v>
      </c>
      <c r="H130" s="30">
        <v>6.8</v>
      </c>
      <c r="I130" s="30">
        <v>0.33333333333333331</v>
      </c>
      <c r="J130" s="30">
        <v>61.353333333333332</v>
      </c>
      <c r="K130" s="30">
        <v>128.4</v>
      </c>
      <c r="L130" s="30">
        <v>47.933333333333337</v>
      </c>
      <c r="M130" s="30">
        <v>10</v>
      </c>
      <c r="N130" s="30">
        <v>26.133333333333336</v>
      </c>
      <c r="O130" s="30">
        <v>20.8</v>
      </c>
      <c r="P130" s="30">
        <v>9.0666666666666664</v>
      </c>
      <c r="Q130" s="30">
        <v>5</v>
      </c>
      <c r="R130" s="30">
        <v>0.5</v>
      </c>
      <c r="S130" s="30">
        <v>0</v>
      </c>
    </row>
    <row r="131" spans="1:19" ht="18.600000000000001" customHeight="1">
      <c r="A131" s="25" t="s">
        <v>558</v>
      </c>
      <c r="B131" s="26" t="s">
        <v>139</v>
      </c>
      <c r="C131" s="35" t="s">
        <v>31</v>
      </c>
      <c r="D131" s="30">
        <v>116.46666666666665</v>
      </c>
      <c r="E131" s="32">
        <v>4.3263365769891244</v>
      </c>
      <c r="F131" s="32">
        <v>1.3036634230108757</v>
      </c>
      <c r="G131" s="30">
        <v>100.66666666666667</v>
      </c>
      <c r="H131" s="30">
        <v>6.2</v>
      </c>
      <c r="I131" s="30">
        <v>0</v>
      </c>
      <c r="J131" s="30">
        <v>55.985999999999997</v>
      </c>
      <c r="K131" s="30">
        <v>113.3</v>
      </c>
      <c r="L131" s="30">
        <v>38.533333333333331</v>
      </c>
      <c r="M131" s="30">
        <v>15</v>
      </c>
      <c r="N131" s="30">
        <v>23.566666666666666</v>
      </c>
      <c r="O131" s="30">
        <v>23.566666666666666</v>
      </c>
      <c r="P131" s="30">
        <v>6.9333333333333336</v>
      </c>
      <c r="Q131" s="30">
        <v>8</v>
      </c>
      <c r="R131" s="30">
        <v>0</v>
      </c>
      <c r="S131" s="30">
        <v>0</v>
      </c>
    </row>
    <row r="132" spans="1:19" ht="18.600000000000001" customHeight="1">
      <c r="A132" s="25" t="s">
        <v>528</v>
      </c>
      <c r="B132" s="26" t="s">
        <v>64</v>
      </c>
      <c r="C132" s="35" t="s">
        <v>31</v>
      </c>
      <c r="D132" s="30">
        <v>92.366666666666674</v>
      </c>
      <c r="E132" s="32">
        <v>4.0436665463731503</v>
      </c>
      <c r="F132" s="32">
        <v>1.302778780223746</v>
      </c>
      <c r="G132" s="30">
        <v>92.600000000000009</v>
      </c>
      <c r="H132" s="30">
        <v>5.333333333333333</v>
      </c>
      <c r="I132" s="30">
        <v>1.3333333333333333</v>
      </c>
      <c r="J132" s="30">
        <v>41.5</v>
      </c>
      <c r="K132" s="30">
        <v>88.866666666666674</v>
      </c>
      <c r="L132" s="30">
        <v>31.466666666666669</v>
      </c>
      <c r="M132" s="30">
        <v>14</v>
      </c>
      <c r="N132" s="30">
        <v>38.800000000000004</v>
      </c>
      <c r="O132" s="30">
        <v>13.466666666666667</v>
      </c>
      <c r="P132" s="30">
        <v>5.3666666666666671</v>
      </c>
      <c r="Q132" s="30">
        <v>6</v>
      </c>
      <c r="R132" s="30">
        <v>6.5</v>
      </c>
      <c r="S132" s="30">
        <v>0</v>
      </c>
    </row>
    <row r="133" spans="1:19" ht="18.600000000000001" customHeight="1">
      <c r="A133" s="25" t="s">
        <v>557</v>
      </c>
      <c r="B133" s="26" t="s">
        <v>105</v>
      </c>
      <c r="C133" s="35" t="s">
        <v>31</v>
      </c>
      <c r="D133" s="30">
        <v>101.35</v>
      </c>
      <c r="E133" s="32">
        <v>4.3112974839664533</v>
      </c>
      <c r="F133" s="32">
        <v>1.2900838677849038</v>
      </c>
      <c r="G133" s="30">
        <v>99.85</v>
      </c>
      <c r="H133" s="30">
        <v>5.75</v>
      </c>
      <c r="I133" s="30">
        <v>0</v>
      </c>
      <c r="J133" s="30">
        <v>48.55</v>
      </c>
      <c r="K133" s="30">
        <v>95.5</v>
      </c>
      <c r="L133" s="30">
        <v>35.25</v>
      </c>
      <c r="M133" s="30">
        <v>20</v>
      </c>
      <c r="N133" s="30">
        <v>24.35</v>
      </c>
      <c r="O133" s="30">
        <v>21.35</v>
      </c>
      <c r="P133" s="30">
        <v>6.05</v>
      </c>
      <c r="Q133" s="30">
        <v>10</v>
      </c>
      <c r="R133" s="30">
        <v>0</v>
      </c>
      <c r="S133" s="30">
        <v>0</v>
      </c>
    </row>
    <row r="134" spans="1:19" ht="18.600000000000001" customHeight="1">
      <c r="A134" s="25" t="s">
        <v>474</v>
      </c>
      <c r="B134" s="26" t="s">
        <v>64</v>
      </c>
      <c r="C134" s="35" t="s">
        <v>31</v>
      </c>
      <c r="D134" s="30">
        <v>82.65</v>
      </c>
      <c r="E134" s="32">
        <v>3.8927041742286743</v>
      </c>
      <c r="F134" s="32">
        <v>1.2329098608590441</v>
      </c>
      <c r="G134" s="30">
        <v>82.05</v>
      </c>
      <c r="H134" s="30">
        <v>5.5</v>
      </c>
      <c r="I134" s="30">
        <v>0</v>
      </c>
      <c r="J134" s="30">
        <v>35.747999999999998</v>
      </c>
      <c r="K134" s="30">
        <v>74.5</v>
      </c>
      <c r="L134" s="30">
        <v>27.4</v>
      </c>
      <c r="M134" s="30">
        <v>10</v>
      </c>
      <c r="N134" s="30">
        <v>44.05</v>
      </c>
      <c r="O134" s="30">
        <v>9.35</v>
      </c>
      <c r="P134" s="30">
        <v>4.45</v>
      </c>
      <c r="Q134" s="30">
        <v>2</v>
      </c>
      <c r="R134" s="30">
        <v>6</v>
      </c>
      <c r="S134" s="30">
        <v>0</v>
      </c>
    </row>
    <row r="135" spans="1:19" ht="18.600000000000001" customHeight="1">
      <c r="A135" s="25" t="s">
        <v>654</v>
      </c>
      <c r="B135" s="26" t="s">
        <v>178</v>
      </c>
      <c r="C135" s="35" t="s">
        <v>31</v>
      </c>
      <c r="D135" s="30">
        <v>167.93333333333334</v>
      </c>
      <c r="E135" s="32">
        <v>4.9586105597459307</v>
      </c>
      <c r="F135" s="32">
        <v>1.4479952362048432</v>
      </c>
      <c r="G135" s="30">
        <v>123</v>
      </c>
      <c r="H135" s="30">
        <v>8.9666666666666668</v>
      </c>
      <c r="I135" s="30">
        <v>0</v>
      </c>
      <c r="J135" s="30">
        <v>92.524000000000001</v>
      </c>
      <c r="K135" s="30">
        <v>190.76666666666665</v>
      </c>
      <c r="L135" s="30">
        <v>52.4</v>
      </c>
      <c r="M135" s="30">
        <v>29</v>
      </c>
      <c r="N135" s="30">
        <v>29.933333333333334</v>
      </c>
      <c r="O135" s="30">
        <v>29.933333333333334</v>
      </c>
      <c r="P135" s="30">
        <v>10.433333333333334</v>
      </c>
      <c r="Q135" s="30">
        <v>11</v>
      </c>
      <c r="R135" s="30">
        <v>0</v>
      </c>
      <c r="S135" s="30">
        <v>0</v>
      </c>
    </row>
    <row r="136" spans="1:19" ht="18.600000000000001" customHeight="1">
      <c r="A136" s="25" t="s">
        <v>559</v>
      </c>
      <c r="B136" s="26" t="s">
        <v>136</v>
      </c>
      <c r="C136" s="35" t="s">
        <v>31</v>
      </c>
      <c r="D136" s="30">
        <v>104.6</v>
      </c>
      <c r="E136" s="32">
        <v>4.0308986615678775</v>
      </c>
      <c r="F136" s="32">
        <v>1.3188336520076482</v>
      </c>
      <c r="G136" s="30">
        <v>96.25</v>
      </c>
      <c r="H136" s="30">
        <v>5.15</v>
      </c>
      <c r="I136" s="30">
        <v>0</v>
      </c>
      <c r="J136" s="30">
        <v>46.847999999999999</v>
      </c>
      <c r="K136" s="30">
        <v>103.1</v>
      </c>
      <c r="L136" s="30">
        <v>34.85</v>
      </c>
      <c r="M136" s="30">
        <v>13</v>
      </c>
      <c r="N136" s="30">
        <v>34.200000000000003</v>
      </c>
      <c r="O136" s="30">
        <v>16.600000000000001</v>
      </c>
      <c r="P136" s="30">
        <v>6.45</v>
      </c>
      <c r="Q136" s="30">
        <v>7</v>
      </c>
      <c r="R136" s="30">
        <v>2</v>
      </c>
      <c r="S136" s="30">
        <v>0</v>
      </c>
    </row>
    <row r="137" spans="1:19" ht="18.600000000000001" customHeight="1">
      <c r="A137" s="25" t="s">
        <v>552</v>
      </c>
      <c r="B137" s="26" t="s">
        <v>119</v>
      </c>
      <c r="C137" s="35" t="s">
        <v>31</v>
      </c>
      <c r="D137" s="30">
        <v>140.56666666666669</v>
      </c>
      <c r="E137" s="32">
        <v>4.349708323452691</v>
      </c>
      <c r="F137" s="32">
        <v>1.3004505572681999</v>
      </c>
      <c r="G137" s="30">
        <v>92.8</v>
      </c>
      <c r="H137" s="30">
        <v>6.9666666666666659</v>
      </c>
      <c r="I137" s="30">
        <v>0</v>
      </c>
      <c r="J137" s="30">
        <v>67.935999999999993</v>
      </c>
      <c r="K137" s="30">
        <v>153.93333333333334</v>
      </c>
      <c r="L137" s="30">
        <v>28.866666666666664</v>
      </c>
      <c r="M137" s="30">
        <v>19</v>
      </c>
      <c r="N137" s="30">
        <v>25.733333333333334</v>
      </c>
      <c r="O137" s="30">
        <v>25.733333333333334</v>
      </c>
      <c r="P137" s="30">
        <v>8.0333333333333332</v>
      </c>
      <c r="Q137" s="30">
        <v>10</v>
      </c>
      <c r="R137" s="30">
        <v>0</v>
      </c>
      <c r="S137" s="30">
        <v>0</v>
      </c>
    </row>
    <row r="138" spans="1:19" ht="18.600000000000001" customHeight="1">
      <c r="A138" s="25" t="s">
        <v>494</v>
      </c>
      <c r="B138" s="26" t="s">
        <v>77</v>
      </c>
      <c r="C138" s="35" t="s">
        <v>31</v>
      </c>
      <c r="D138" s="30">
        <v>79.399999999999991</v>
      </c>
      <c r="E138" s="32">
        <v>4.2959697732997482</v>
      </c>
      <c r="F138" s="32">
        <v>1.1473551637279598</v>
      </c>
      <c r="G138" s="30">
        <v>80.13333333333334</v>
      </c>
      <c r="H138" s="30">
        <v>4.5333333333333332</v>
      </c>
      <c r="I138" s="30">
        <v>0</v>
      </c>
      <c r="J138" s="30">
        <v>37.9</v>
      </c>
      <c r="K138" s="30">
        <v>71.466666666666669</v>
      </c>
      <c r="L138" s="30">
        <v>19.633333333333333</v>
      </c>
      <c r="M138" s="30">
        <v>9</v>
      </c>
      <c r="N138" s="30">
        <v>51.933333333333337</v>
      </c>
      <c r="O138" s="30">
        <v>5.666666666666667</v>
      </c>
      <c r="P138" s="30">
        <v>4.4666666666666668</v>
      </c>
      <c r="Q138" s="30">
        <v>0</v>
      </c>
      <c r="R138" s="30">
        <v>12</v>
      </c>
      <c r="S138" s="30">
        <v>0</v>
      </c>
    </row>
    <row r="139" spans="1:19" ht="18.600000000000001" customHeight="1">
      <c r="A139" s="25" t="s">
        <v>546</v>
      </c>
      <c r="B139" s="26" t="s">
        <v>97</v>
      </c>
      <c r="C139" s="35" t="s">
        <v>31</v>
      </c>
      <c r="D139" s="30">
        <v>77.966666666666669</v>
      </c>
      <c r="E139" s="32">
        <v>4.1787088499358696</v>
      </c>
      <c r="F139" s="32">
        <v>1.2325780247969218</v>
      </c>
      <c r="G139" s="30">
        <v>85.3</v>
      </c>
      <c r="H139" s="30">
        <v>4.333333333333333</v>
      </c>
      <c r="I139" s="30">
        <v>0</v>
      </c>
      <c r="J139" s="30">
        <v>36.199999999999996</v>
      </c>
      <c r="K139" s="30">
        <v>73.100000000000009</v>
      </c>
      <c r="L139" s="30">
        <v>23</v>
      </c>
      <c r="M139" s="30">
        <v>8</v>
      </c>
      <c r="N139" s="30">
        <v>29.133333333333336</v>
      </c>
      <c r="O139" s="30">
        <v>13.1</v>
      </c>
      <c r="P139" s="30">
        <v>4.6000000000000005</v>
      </c>
      <c r="Q139" s="30">
        <v>4</v>
      </c>
      <c r="R139" s="30">
        <v>1</v>
      </c>
      <c r="S139" s="30">
        <v>0</v>
      </c>
    </row>
    <row r="140" spans="1:19" ht="18.600000000000001" customHeight="1">
      <c r="A140" s="25" t="s">
        <v>646</v>
      </c>
      <c r="B140" s="26" t="s">
        <v>142</v>
      </c>
      <c r="C140" s="35" t="s">
        <v>31</v>
      </c>
      <c r="D140" s="30">
        <v>128.43333333333331</v>
      </c>
      <c r="E140" s="32">
        <v>4.6542590189462771</v>
      </c>
      <c r="F140" s="32">
        <v>1.3581624708019728</v>
      </c>
      <c r="G140" s="30">
        <v>104.53333333333335</v>
      </c>
      <c r="H140" s="30">
        <v>5.833333333333333</v>
      </c>
      <c r="I140" s="30">
        <v>0</v>
      </c>
      <c r="J140" s="30">
        <v>66.418000000000006</v>
      </c>
      <c r="K140" s="30">
        <v>123.23333333333333</v>
      </c>
      <c r="L140" s="30">
        <v>51.199999999999996</v>
      </c>
      <c r="M140" s="30">
        <v>22</v>
      </c>
      <c r="N140" s="30">
        <v>24.966666666666669</v>
      </c>
      <c r="O140" s="30">
        <v>24.3</v>
      </c>
      <c r="P140" s="30">
        <v>8.8333333333333339</v>
      </c>
      <c r="Q140" s="30">
        <v>10</v>
      </c>
      <c r="R140" s="30">
        <v>0</v>
      </c>
      <c r="S140" s="30">
        <v>0</v>
      </c>
    </row>
    <row r="141" spans="1:19" ht="18.600000000000001" customHeight="1">
      <c r="A141" s="25" t="s">
        <v>545</v>
      </c>
      <c r="B141" s="26" t="s">
        <v>92</v>
      </c>
      <c r="C141" s="35" t="s">
        <v>31</v>
      </c>
      <c r="D141" s="30">
        <v>87.100000000000009</v>
      </c>
      <c r="E141" s="32">
        <v>4.3357060849598161</v>
      </c>
      <c r="F141" s="32">
        <v>1.2223497895139686</v>
      </c>
      <c r="G141" s="30">
        <v>80.033333333333331</v>
      </c>
      <c r="H141" s="30">
        <v>5.3666666666666671</v>
      </c>
      <c r="I141" s="30">
        <v>0</v>
      </c>
      <c r="J141" s="30">
        <v>41.96</v>
      </c>
      <c r="K141" s="30">
        <v>86.733333333333334</v>
      </c>
      <c r="L141" s="30">
        <v>19.733333333333334</v>
      </c>
      <c r="M141" s="30">
        <v>16</v>
      </c>
      <c r="N141" s="30">
        <v>32.43333333333333</v>
      </c>
      <c r="O141" s="30">
        <v>12.333333333333334</v>
      </c>
      <c r="P141" s="30">
        <v>4.3666666666666663</v>
      </c>
      <c r="Q141" s="30">
        <v>5</v>
      </c>
      <c r="R141" s="30">
        <v>2</v>
      </c>
      <c r="S141" s="30">
        <v>0</v>
      </c>
    </row>
    <row r="142" spans="1:19" ht="18.600000000000001" customHeight="1">
      <c r="A142" s="25" t="s">
        <v>678</v>
      </c>
      <c r="B142" s="26" t="s">
        <v>122</v>
      </c>
      <c r="C142" s="35" t="s">
        <v>31</v>
      </c>
      <c r="D142" s="30">
        <v>150.13333333333333</v>
      </c>
      <c r="E142" s="32">
        <v>5.0841607460035529</v>
      </c>
      <c r="F142" s="32">
        <v>1.3812166962699821</v>
      </c>
      <c r="G142" s="30">
        <v>111.63333333333333</v>
      </c>
      <c r="H142" s="30">
        <v>6.8666666666666671</v>
      </c>
      <c r="I142" s="30">
        <v>0</v>
      </c>
      <c r="J142" s="30">
        <v>84.811333333333337</v>
      </c>
      <c r="K142" s="30">
        <v>162.29999999999998</v>
      </c>
      <c r="L142" s="30">
        <v>45.066666666666663</v>
      </c>
      <c r="M142" s="30">
        <v>24</v>
      </c>
      <c r="N142" s="30">
        <v>27.933333333333334</v>
      </c>
      <c r="O142" s="30">
        <v>27.933333333333334</v>
      </c>
      <c r="P142" s="30">
        <v>10.666666666666666</v>
      </c>
      <c r="Q142" s="30">
        <v>10</v>
      </c>
      <c r="R142" s="30">
        <v>0</v>
      </c>
      <c r="S142" s="30">
        <v>0</v>
      </c>
    </row>
    <row r="143" spans="1:19" ht="18.600000000000001" customHeight="1">
      <c r="A143" s="25" t="s">
        <v>653</v>
      </c>
      <c r="B143" s="26" t="s">
        <v>309</v>
      </c>
      <c r="C143" s="35" t="s">
        <v>31</v>
      </c>
      <c r="D143" s="30">
        <v>111.55</v>
      </c>
      <c r="E143" s="32">
        <v>4.4883818915284621</v>
      </c>
      <c r="F143" s="32">
        <v>1.3818915284625726</v>
      </c>
      <c r="G143" s="30">
        <v>103.15</v>
      </c>
      <c r="H143" s="30">
        <v>5.25</v>
      </c>
      <c r="I143" s="30">
        <v>0</v>
      </c>
      <c r="J143" s="30">
        <v>55.631</v>
      </c>
      <c r="K143" s="30">
        <v>106.1</v>
      </c>
      <c r="L143" s="30">
        <v>48.05</v>
      </c>
      <c r="M143" s="30">
        <v>17</v>
      </c>
      <c r="N143" s="30">
        <v>23.3</v>
      </c>
      <c r="O143" s="30">
        <v>23.3</v>
      </c>
      <c r="P143" s="30">
        <v>8.4</v>
      </c>
      <c r="Q143" s="30">
        <v>10</v>
      </c>
      <c r="R143" s="30">
        <v>0</v>
      </c>
      <c r="S143" s="30">
        <v>0</v>
      </c>
    </row>
    <row r="144" spans="1:19" ht="18.600000000000001" customHeight="1">
      <c r="A144" s="25" t="s">
        <v>659</v>
      </c>
      <c r="B144" s="26" t="s">
        <v>309</v>
      </c>
      <c r="C144" s="35" t="s">
        <v>31</v>
      </c>
      <c r="D144" s="30">
        <v>107.8</v>
      </c>
      <c r="E144" s="32">
        <v>4.4548608534322822</v>
      </c>
      <c r="F144" s="32">
        <v>1.4254792826221401</v>
      </c>
      <c r="G144" s="30">
        <v>105.83333333333333</v>
      </c>
      <c r="H144" s="30">
        <v>5.7</v>
      </c>
      <c r="I144" s="30">
        <v>0</v>
      </c>
      <c r="J144" s="30">
        <v>53.359333333333332</v>
      </c>
      <c r="K144" s="30">
        <v>102.16666666666667</v>
      </c>
      <c r="L144" s="30">
        <v>51.5</v>
      </c>
      <c r="M144" s="30">
        <v>17</v>
      </c>
      <c r="N144" s="30">
        <v>22.866666666666664</v>
      </c>
      <c r="O144" s="30">
        <v>21.533333333333331</v>
      </c>
      <c r="P144" s="30">
        <v>6.8999999999999995</v>
      </c>
      <c r="Q144" s="30">
        <v>10</v>
      </c>
      <c r="R144" s="30">
        <v>0.5</v>
      </c>
      <c r="S144" s="30">
        <v>0</v>
      </c>
    </row>
    <row r="145" spans="1:19" ht="18.600000000000001" customHeight="1">
      <c r="A145" s="25" t="s">
        <v>541</v>
      </c>
      <c r="B145" s="26" t="s">
        <v>87</v>
      </c>
      <c r="C145" s="35" t="s">
        <v>31</v>
      </c>
      <c r="D145" s="30">
        <v>72.099999999999994</v>
      </c>
      <c r="E145" s="32">
        <v>3.9507628294036059</v>
      </c>
      <c r="F145" s="32">
        <v>1.230235783633842</v>
      </c>
      <c r="G145" s="30">
        <v>74.349999999999994</v>
      </c>
      <c r="H145" s="30">
        <v>3.75</v>
      </c>
      <c r="I145" s="30">
        <v>0</v>
      </c>
      <c r="J145" s="30">
        <v>31.65</v>
      </c>
      <c r="K145" s="30">
        <v>64.900000000000006</v>
      </c>
      <c r="L145" s="30">
        <v>23.8</v>
      </c>
      <c r="M145" s="30">
        <v>7</v>
      </c>
      <c r="N145" s="30">
        <v>34.35</v>
      </c>
      <c r="O145" s="30">
        <v>12.25</v>
      </c>
      <c r="P145" s="30">
        <v>4.8499999999999996</v>
      </c>
      <c r="Q145" s="30">
        <v>1</v>
      </c>
      <c r="R145" s="30">
        <v>2</v>
      </c>
      <c r="S145" s="30">
        <v>0</v>
      </c>
    </row>
    <row r="146" spans="1:19" ht="18.600000000000001" customHeight="1">
      <c r="A146" s="25" t="s">
        <v>642</v>
      </c>
      <c r="B146" s="26" t="s">
        <v>142</v>
      </c>
      <c r="C146" s="35" t="s">
        <v>31</v>
      </c>
      <c r="D146" s="30">
        <v>117.3</v>
      </c>
      <c r="E146" s="32">
        <v>4.4501278772378514</v>
      </c>
      <c r="F146" s="32">
        <v>1.3213981244671782</v>
      </c>
      <c r="G146" s="30">
        <v>98</v>
      </c>
      <c r="H146" s="30">
        <v>4</v>
      </c>
      <c r="I146" s="30">
        <v>0</v>
      </c>
      <c r="J146" s="30">
        <v>58</v>
      </c>
      <c r="K146" s="30">
        <v>116</v>
      </c>
      <c r="L146" s="30">
        <v>39</v>
      </c>
      <c r="M146" s="30">
        <v>22</v>
      </c>
      <c r="N146" s="30">
        <v>36</v>
      </c>
      <c r="O146" s="30">
        <v>20</v>
      </c>
      <c r="P146" s="30">
        <v>6</v>
      </c>
      <c r="Q146" s="30">
        <v>12</v>
      </c>
      <c r="R146" s="30">
        <v>0</v>
      </c>
      <c r="S146" s="30">
        <v>0</v>
      </c>
    </row>
    <row r="147" spans="1:19" ht="18.600000000000001" customHeight="1">
      <c r="A147" s="25" t="s">
        <v>613</v>
      </c>
      <c r="B147" s="26" t="s">
        <v>160</v>
      </c>
      <c r="C147" s="35" t="s">
        <v>31</v>
      </c>
      <c r="D147" s="30">
        <v>122.33333333333333</v>
      </c>
      <c r="E147" s="32">
        <v>4.6147683923705722</v>
      </c>
      <c r="F147" s="32">
        <v>1.3163487738419619</v>
      </c>
      <c r="G147" s="30">
        <v>89.399999999999991</v>
      </c>
      <c r="H147" s="30">
        <v>6.9666666666666659</v>
      </c>
      <c r="I147" s="30">
        <v>0</v>
      </c>
      <c r="J147" s="30">
        <v>62.726666666666667</v>
      </c>
      <c r="K147" s="30">
        <v>131.06666666666666</v>
      </c>
      <c r="L147" s="30">
        <v>29.966666666666669</v>
      </c>
      <c r="M147" s="30">
        <v>21</v>
      </c>
      <c r="N147" s="30">
        <v>22.366666666666664</v>
      </c>
      <c r="O147" s="30">
        <v>22.366666666666664</v>
      </c>
      <c r="P147" s="30">
        <v>7.7666666666666666</v>
      </c>
      <c r="Q147" s="30">
        <v>9</v>
      </c>
      <c r="R147" s="30">
        <v>0</v>
      </c>
      <c r="S147" s="30">
        <v>0</v>
      </c>
    </row>
    <row r="148" spans="1:19" ht="18.600000000000001" customHeight="1">
      <c r="A148" s="25" t="s">
        <v>538</v>
      </c>
      <c r="B148" s="26" t="s">
        <v>142</v>
      </c>
      <c r="C148" s="35" t="s">
        <v>31</v>
      </c>
      <c r="D148" s="30">
        <v>87.666666666666671</v>
      </c>
      <c r="E148" s="32">
        <v>3.9208517110266157</v>
      </c>
      <c r="F148" s="32">
        <v>1.2836501901140684</v>
      </c>
      <c r="G148" s="30">
        <v>72.63333333333334</v>
      </c>
      <c r="H148" s="30">
        <v>5.6333333333333329</v>
      </c>
      <c r="I148" s="30">
        <v>0</v>
      </c>
      <c r="J148" s="30">
        <v>38.192</v>
      </c>
      <c r="K148" s="30">
        <v>84.233333333333334</v>
      </c>
      <c r="L148" s="30">
        <v>28.3</v>
      </c>
      <c r="M148" s="30">
        <v>11</v>
      </c>
      <c r="N148" s="30">
        <v>28.933333333333334</v>
      </c>
      <c r="O148" s="30">
        <v>13.200000000000001</v>
      </c>
      <c r="P148" s="30">
        <v>4.9333333333333336</v>
      </c>
      <c r="Q148" s="30">
        <v>4</v>
      </c>
      <c r="R148" s="30">
        <v>1</v>
      </c>
      <c r="S148" s="30">
        <v>0</v>
      </c>
    </row>
    <row r="149" spans="1:19" ht="18.600000000000001" customHeight="1">
      <c r="A149" s="25" t="s">
        <v>712</v>
      </c>
      <c r="B149" s="26" t="s">
        <v>309</v>
      </c>
      <c r="C149" s="35" t="s">
        <v>31</v>
      </c>
      <c r="D149" s="30">
        <v>155.13333333333333</v>
      </c>
      <c r="E149" s="32">
        <v>5.2408852599914058</v>
      </c>
      <c r="F149" s="32">
        <v>1.4961323592608509</v>
      </c>
      <c r="G149" s="30">
        <v>127.5</v>
      </c>
      <c r="H149" s="30">
        <v>6.8999999999999995</v>
      </c>
      <c r="I149" s="30">
        <v>0</v>
      </c>
      <c r="J149" s="30">
        <v>90.337333333333333</v>
      </c>
      <c r="K149" s="30">
        <v>182</v>
      </c>
      <c r="L149" s="30">
        <v>50.1</v>
      </c>
      <c r="M149" s="30">
        <v>23</v>
      </c>
      <c r="N149" s="30">
        <v>29.400000000000002</v>
      </c>
      <c r="O149" s="30">
        <v>29.400000000000002</v>
      </c>
      <c r="P149" s="30">
        <v>13.200000000000001</v>
      </c>
      <c r="Q149" s="30">
        <v>12</v>
      </c>
      <c r="R149" s="30">
        <v>0</v>
      </c>
      <c r="S149" s="30">
        <v>0</v>
      </c>
    </row>
    <row r="150" spans="1:19" ht="18.600000000000001" customHeight="1">
      <c r="A150" s="25" t="s">
        <v>616</v>
      </c>
      <c r="B150" s="26" t="s">
        <v>142</v>
      </c>
      <c r="C150" s="35" t="s">
        <v>31</v>
      </c>
      <c r="D150" s="30">
        <v>92.95</v>
      </c>
      <c r="E150" s="32">
        <v>4.0876169983862294</v>
      </c>
      <c r="F150" s="32">
        <v>1.319526627218935</v>
      </c>
      <c r="G150" s="30">
        <v>86.65</v>
      </c>
      <c r="H150" s="30">
        <v>3.85</v>
      </c>
      <c r="I150" s="30">
        <v>0</v>
      </c>
      <c r="J150" s="30">
        <v>42.216000000000001</v>
      </c>
      <c r="K150" s="30">
        <v>85.9</v>
      </c>
      <c r="L150" s="30">
        <v>36.75</v>
      </c>
      <c r="M150" s="30">
        <v>13</v>
      </c>
      <c r="N150" s="30">
        <v>23.55</v>
      </c>
      <c r="O150" s="30">
        <v>19.55</v>
      </c>
      <c r="P150" s="30">
        <v>7.35</v>
      </c>
      <c r="Q150" s="30">
        <v>8</v>
      </c>
      <c r="R150" s="30">
        <v>0</v>
      </c>
      <c r="S150" s="30">
        <v>0</v>
      </c>
    </row>
    <row r="151" spans="1:19" ht="18.600000000000001" customHeight="1">
      <c r="A151" s="25" t="s">
        <v>598</v>
      </c>
      <c r="B151" s="26" t="s">
        <v>92</v>
      </c>
      <c r="C151" s="35" t="s">
        <v>31</v>
      </c>
      <c r="D151" s="30">
        <v>85.5</v>
      </c>
      <c r="E151" s="32">
        <v>4.2923157894736841</v>
      </c>
      <c r="F151" s="32">
        <v>1.2771929824561403</v>
      </c>
      <c r="G151" s="30">
        <v>80.8</v>
      </c>
      <c r="H151" s="30">
        <v>4.95</v>
      </c>
      <c r="I151" s="30">
        <v>0</v>
      </c>
      <c r="J151" s="30">
        <v>40.777000000000001</v>
      </c>
      <c r="K151" s="30">
        <v>82.15</v>
      </c>
      <c r="L151" s="30">
        <v>27.05</v>
      </c>
      <c r="M151" s="30">
        <v>15</v>
      </c>
      <c r="N151" s="30">
        <v>16.100000000000001</v>
      </c>
      <c r="O151" s="30">
        <v>15.6</v>
      </c>
      <c r="P151" s="30">
        <v>5.05</v>
      </c>
      <c r="Q151" s="30">
        <v>7</v>
      </c>
      <c r="R151" s="30">
        <v>0</v>
      </c>
      <c r="S151" s="30">
        <v>0</v>
      </c>
    </row>
    <row r="152" spans="1:19" ht="18.600000000000001" customHeight="1">
      <c r="A152" s="25" t="s">
        <v>638</v>
      </c>
      <c r="B152" s="26" t="s">
        <v>260</v>
      </c>
      <c r="C152" s="35" t="s">
        <v>31</v>
      </c>
      <c r="D152" s="30">
        <v>109.43333333333332</v>
      </c>
      <c r="E152" s="32">
        <v>4.4543283582089561</v>
      </c>
      <c r="F152" s="32">
        <v>1.375875723423698</v>
      </c>
      <c r="G152" s="30">
        <v>89.566666666666663</v>
      </c>
      <c r="H152" s="30">
        <v>6.5666666666666664</v>
      </c>
      <c r="I152" s="30">
        <v>0.33333333333333331</v>
      </c>
      <c r="J152" s="30">
        <v>54.161333333333339</v>
      </c>
      <c r="K152" s="30">
        <v>104.39999999999999</v>
      </c>
      <c r="L152" s="30">
        <v>46.166666666666664</v>
      </c>
      <c r="M152" s="30">
        <v>17</v>
      </c>
      <c r="N152" s="30">
        <v>28.099999999999998</v>
      </c>
      <c r="O152" s="30">
        <v>18.766666666666666</v>
      </c>
      <c r="P152" s="30">
        <v>7.1333333333333329</v>
      </c>
      <c r="Q152" s="30">
        <v>10</v>
      </c>
      <c r="R152" s="30">
        <v>2.5</v>
      </c>
      <c r="S152" s="30">
        <v>0</v>
      </c>
    </row>
    <row r="153" spans="1:19" ht="18.600000000000001" customHeight="1">
      <c r="A153" s="25" t="s">
        <v>682</v>
      </c>
      <c r="B153" s="26" t="s">
        <v>122</v>
      </c>
      <c r="C153" s="35" t="s">
        <v>31</v>
      </c>
      <c r="D153" s="30">
        <v>134.16666666666666</v>
      </c>
      <c r="E153" s="32">
        <v>4.6931478260869568</v>
      </c>
      <c r="F153" s="32">
        <v>1.4159006211180125</v>
      </c>
      <c r="G153" s="30">
        <v>103.83333333333333</v>
      </c>
      <c r="H153" s="30">
        <v>6.0333333333333341</v>
      </c>
      <c r="I153" s="30">
        <v>0</v>
      </c>
      <c r="J153" s="30">
        <v>69.962666666666664</v>
      </c>
      <c r="K153" s="30">
        <v>137.26666666666668</v>
      </c>
      <c r="L153" s="30">
        <v>52.699999999999996</v>
      </c>
      <c r="M153" s="30">
        <v>18</v>
      </c>
      <c r="N153" s="30">
        <v>26.5</v>
      </c>
      <c r="O153" s="30">
        <v>26.5</v>
      </c>
      <c r="P153" s="30">
        <v>8.3333333333333339</v>
      </c>
      <c r="Q153" s="30">
        <v>7</v>
      </c>
      <c r="R153" s="30">
        <v>0</v>
      </c>
      <c r="S153" s="30">
        <v>0</v>
      </c>
    </row>
    <row r="154" spans="1:19" ht="18.600000000000001" customHeight="1">
      <c r="A154" s="25" t="s">
        <v>591</v>
      </c>
      <c r="B154" s="26" t="s">
        <v>72</v>
      </c>
      <c r="C154" s="35" t="s">
        <v>31</v>
      </c>
      <c r="D154" s="30">
        <v>105.8</v>
      </c>
      <c r="E154" s="32">
        <v>4.1278638941398862</v>
      </c>
      <c r="F154" s="32">
        <v>1.3352236925015755</v>
      </c>
      <c r="G154" s="30">
        <v>77.63333333333334</v>
      </c>
      <c r="H154" s="30">
        <v>6.0333333333333341</v>
      </c>
      <c r="I154" s="30">
        <v>0.33333333333333331</v>
      </c>
      <c r="J154" s="30">
        <v>48.525333333333329</v>
      </c>
      <c r="K154" s="30">
        <v>107.66666666666667</v>
      </c>
      <c r="L154" s="30">
        <v>33.6</v>
      </c>
      <c r="M154" s="30">
        <v>15</v>
      </c>
      <c r="N154" s="30">
        <v>37</v>
      </c>
      <c r="O154" s="30">
        <v>13.233333333333334</v>
      </c>
      <c r="P154" s="30">
        <v>5.833333333333333</v>
      </c>
      <c r="Q154" s="30">
        <v>3</v>
      </c>
      <c r="R154" s="30">
        <v>1</v>
      </c>
      <c r="S154" s="30">
        <v>0</v>
      </c>
    </row>
    <row r="155" spans="1:19" ht="18.600000000000001" customHeight="1">
      <c r="A155" s="25" t="s">
        <v>614</v>
      </c>
      <c r="B155" s="26" t="s">
        <v>260</v>
      </c>
      <c r="C155" s="35" t="s">
        <v>31</v>
      </c>
      <c r="D155" s="30">
        <v>95.6</v>
      </c>
      <c r="E155" s="32">
        <v>4.0876569037656907</v>
      </c>
      <c r="F155" s="32">
        <v>1.3436192468619246</v>
      </c>
      <c r="G155" s="30">
        <v>81.5</v>
      </c>
      <c r="H155" s="30">
        <v>5.0999999999999996</v>
      </c>
      <c r="I155" s="30">
        <v>0</v>
      </c>
      <c r="J155" s="30">
        <v>43.42</v>
      </c>
      <c r="K155" s="30">
        <v>94.5</v>
      </c>
      <c r="L155" s="30">
        <v>33.950000000000003</v>
      </c>
      <c r="M155" s="30">
        <v>13</v>
      </c>
      <c r="N155" s="30">
        <v>27.85</v>
      </c>
      <c r="O155" s="30">
        <v>21.85</v>
      </c>
      <c r="P155" s="30">
        <v>7.45</v>
      </c>
      <c r="Q155" s="30">
        <v>9</v>
      </c>
      <c r="R155" s="30">
        <v>0</v>
      </c>
      <c r="S155" s="30">
        <v>0</v>
      </c>
    </row>
    <row r="156" spans="1:19" ht="18.600000000000001" customHeight="1">
      <c r="A156" s="25" t="s">
        <v>623</v>
      </c>
      <c r="B156" s="26" t="s">
        <v>87</v>
      </c>
      <c r="C156" s="35" t="s">
        <v>31</v>
      </c>
      <c r="D156" s="30">
        <v>90.266666666666666</v>
      </c>
      <c r="E156" s="32">
        <v>4.3179394387001473</v>
      </c>
      <c r="F156" s="32">
        <v>1.2847119645494831</v>
      </c>
      <c r="G156" s="30">
        <v>78.600000000000009</v>
      </c>
      <c r="H156" s="30">
        <v>4.4666666666666668</v>
      </c>
      <c r="I156" s="30">
        <v>0</v>
      </c>
      <c r="J156" s="30">
        <v>43.307333333333332</v>
      </c>
      <c r="K156" s="30">
        <v>88.833333333333329</v>
      </c>
      <c r="L156" s="30">
        <v>27.133333333333336</v>
      </c>
      <c r="M156" s="30">
        <v>12</v>
      </c>
      <c r="N156" s="30">
        <v>44.366666666666667</v>
      </c>
      <c r="O156" s="30">
        <v>10.066666666666666</v>
      </c>
      <c r="P156" s="30">
        <v>4.9666666666666668</v>
      </c>
      <c r="Q156" s="30">
        <v>2</v>
      </c>
      <c r="R156" s="30">
        <v>3</v>
      </c>
      <c r="S156" s="30">
        <v>0</v>
      </c>
    </row>
    <row r="157" spans="1:19" ht="18.600000000000001" customHeight="1">
      <c r="A157" s="25" t="s">
        <v>662</v>
      </c>
      <c r="B157" s="26" t="s">
        <v>87</v>
      </c>
      <c r="C157" s="35" t="s">
        <v>31</v>
      </c>
      <c r="D157" s="30">
        <v>100.06666666666666</v>
      </c>
      <c r="E157" s="32">
        <v>4.28180546302465</v>
      </c>
      <c r="F157" s="32">
        <v>1.3830779480346438</v>
      </c>
      <c r="G157" s="30">
        <v>91.966666666666654</v>
      </c>
      <c r="H157" s="30">
        <v>4.1000000000000005</v>
      </c>
      <c r="I157" s="30">
        <v>0</v>
      </c>
      <c r="J157" s="30">
        <v>47.607333333333337</v>
      </c>
      <c r="K157" s="30">
        <v>101.43333333333334</v>
      </c>
      <c r="L157" s="30">
        <v>36.966666666666669</v>
      </c>
      <c r="M157" s="30">
        <v>8</v>
      </c>
      <c r="N157" s="30">
        <v>38.166666666666664</v>
      </c>
      <c r="O157" s="30">
        <v>13.366666666666667</v>
      </c>
      <c r="P157" s="30">
        <v>5.1333333333333337</v>
      </c>
      <c r="Q157" s="30">
        <v>3</v>
      </c>
      <c r="R157" s="30">
        <v>2.5</v>
      </c>
      <c r="S157" s="30">
        <v>0</v>
      </c>
    </row>
    <row r="158" spans="1:19" ht="18.600000000000001" customHeight="1">
      <c r="A158" s="25" t="s">
        <v>501</v>
      </c>
      <c r="B158" s="26" t="s">
        <v>77</v>
      </c>
      <c r="C158" s="35" t="s">
        <v>31</v>
      </c>
      <c r="D158" s="30">
        <v>47.6</v>
      </c>
      <c r="E158" s="32">
        <v>3.1953781512605044</v>
      </c>
      <c r="F158" s="32">
        <v>1.2373949579831931</v>
      </c>
      <c r="G158" s="30">
        <v>52.6</v>
      </c>
      <c r="H158" s="30">
        <v>2.2666666666666666</v>
      </c>
      <c r="I158" s="30">
        <v>0</v>
      </c>
      <c r="J158" s="30">
        <v>16.900000000000002</v>
      </c>
      <c r="K158" s="30">
        <v>40.133333333333333</v>
      </c>
      <c r="L158" s="30">
        <v>18.766666666666666</v>
      </c>
      <c r="M158" s="30">
        <v>7</v>
      </c>
      <c r="N158" s="30">
        <v>28.533333333333331</v>
      </c>
      <c r="O158" s="30">
        <v>5.0666666666666664</v>
      </c>
      <c r="P158" s="30">
        <v>2.8000000000000003</v>
      </c>
      <c r="Q158" s="30">
        <v>1</v>
      </c>
      <c r="R158" s="30">
        <v>3</v>
      </c>
      <c r="S158" s="30">
        <v>0</v>
      </c>
    </row>
    <row r="159" spans="1:19" ht="18.600000000000001" customHeight="1">
      <c r="A159" s="25" t="s">
        <v>590</v>
      </c>
      <c r="B159" s="26" t="s">
        <v>95</v>
      </c>
      <c r="C159" s="35" t="s">
        <v>31</v>
      </c>
      <c r="D159" s="30">
        <v>64.900000000000006</v>
      </c>
      <c r="E159" s="32">
        <v>3.8759630200308162</v>
      </c>
      <c r="F159" s="32">
        <v>1.2865947611710322</v>
      </c>
      <c r="G159" s="30">
        <v>71.099999999999994</v>
      </c>
      <c r="H159" s="30">
        <v>3.45</v>
      </c>
      <c r="I159" s="30">
        <v>0</v>
      </c>
      <c r="J159" s="30">
        <v>27.95</v>
      </c>
      <c r="K159" s="30">
        <v>55.7</v>
      </c>
      <c r="L159" s="30">
        <v>27.8</v>
      </c>
      <c r="M159" s="30">
        <v>10</v>
      </c>
      <c r="N159" s="30">
        <v>46.75</v>
      </c>
      <c r="O159" s="30">
        <v>4.95</v>
      </c>
      <c r="P159" s="30">
        <v>3.2</v>
      </c>
      <c r="Q159" s="30">
        <v>2</v>
      </c>
      <c r="R159" s="30">
        <v>10</v>
      </c>
      <c r="S159" s="30">
        <v>0</v>
      </c>
    </row>
    <row r="160" spans="1:19" ht="18.600000000000001" customHeight="1">
      <c r="A160" s="25" t="s">
        <v>631</v>
      </c>
      <c r="B160" s="26" t="s">
        <v>160</v>
      </c>
      <c r="C160" s="35" t="s">
        <v>31</v>
      </c>
      <c r="D160" s="30">
        <v>83.533333333333346</v>
      </c>
      <c r="E160" s="32">
        <v>4.0907980845969671</v>
      </c>
      <c r="F160" s="32">
        <v>1.3639265762170789</v>
      </c>
      <c r="G160" s="30">
        <v>79.3</v>
      </c>
      <c r="H160" s="30">
        <v>4.9666666666666668</v>
      </c>
      <c r="I160" s="30">
        <v>0.33333333333333331</v>
      </c>
      <c r="J160" s="30">
        <v>37.968666666666671</v>
      </c>
      <c r="K160" s="30">
        <v>78.7</v>
      </c>
      <c r="L160" s="30">
        <v>35.233333333333334</v>
      </c>
      <c r="M160" s="30">
        <v>8</v>
      </c>
      <c r="N160" s="30">
        <v>34.800000000000004</v>
      </c>
      <c r="O160" s="30">
        <v>10.066666666666666</v>
      </c>
      <c r="P160" s="30">
        <v>4.6000000000000005</v>
      </c>
      <c r="Q160" s="30">
        <v>1</v>
      </c>
      <c r="R160" s="30">
        <v>1</v>
      </c>
      <c r="S160" s="30">
        <v>0</v>
      </c>
    </row>
    <row r="161" spans="1:19" ht="18.600000000000001" customHeight="1">
      <c r="A161" s="25" t="s">
        <v>756</v>
      </c>
      <c r="B161" s="26" t="s">
        <v>260</v>
      </c>
      <c r="C161" s="35" t="s">
        <v>31</v>
      </c>
      <c r="D161" s="30">
        <v>65.933333333333337</v>
      </c>
      <c r="E161" s="32">
        <v>4.1797674418604647</v>
      </c>
      <c r="F161" s="32">
        <v>1.3195146612740141</v>
      </c>
      <c r="G161" s="30">
        <v>55.233333333333327</v>
      </c>
      <c r="H161" s="30">
        <v>3.4333333333333336</v>
      </c>
      <c r="I161" s="30">
        <v>0</v>
      </c>
      <c r="J161" s="30">
        <v>30.620666666666665</v>
      </c>
      <c r="K161" s="30">
        <v>59.566666666666663</v>
      </c>
      <c r="L161" s="30">
        <v>27.433333333333334</v>
      </c>
      <c r="M161" s="30">
        <v>12</v>
      </c>
      <c r="N161" s="30">
        <v>20.400000000000002</v>
      </c>
      <c r="O161" s="30">
        <v>12.333333333333334</v>
      </c>
      <c r="P161" s="30">
        <v>4.7333333333333334</v>
      </c>
      <c r="Q161" s="30">
        <v>6</v>
      </c>
      <c r="R161" s="30">
        <v>1.3195146612740141</v>
      </c>
      <c r="S161" s="30">
        <v>0</v>
      </c>
    </row>
    <row r="162" spans="1:19" ht="18.600000000000001" customHeight="1">
      <c r="A162" s="25" t="s">
        <v>96</v>
      </c>
      <c r="B162" s="26" t="s">
        <v>97</v>
      </c>
      <c r="C162" s="41" t="s">
        <v>34</v>
      </c>
      <c r="D162" s="30">
        <v>64.233333333333334</v>
      </c>
      <c r="E162" s="32">
        <v>2.2885313959522575</v>
      </c>
      <c r="F162" s="32">
        <v>0.98598858329008821</v>
      </c>
      <c r="G162" s="30">
        <v>106.63333333333333</v>
      </c>
      <c r="H162" s="30">
        <v>3.9666666666666668</v>
      </c>
      <c r="I162" s="30">
        <v>34.666666666666664</v>
      </c>
      <c r="J162" s="30">
        <v>16.333333333333332</v>
      </c>
      <c r="K162" s="30">
        <v>41.366666666666667</v>
      </c>
      <c r="L162" s="30">
        <v>21.966666666666669</v>
      </c>
      <c r="M162" s="30">
        <v>5</v>
      </c>
      <c r="N162" s="30">
        <v>64.266666666666666</v>
      </c>
      <c r="O162" s="30">
        <v>0</v>
      </c>
      <c r="P162" s="30">
        <v>2.5</v>
      </c>
      <c r="Q162" s="30">
        <v>0</v>
      </c>
      <c r="R162" s="30">
        <v>1</v>
      </c>
      <c r="S162" s="30">
        <v>5</v>
      </c>
    </row>
    <row r="163" spans="1:19" ht="18.600000000000001" customHeight="1">
      <c r="A163" s="25" t="s">
        <v>111</v>
      </c>
      <c r="B163" s="26" t="s">
        <v>77</v>
      </c>
      <c r="C163" s="41" t="s">
        <v>34</v>
      </c>
      <c r="D163" s="30">
        <v>67.3</v>
      </c>
      <c r="E163" s="32">
        <v>2.1753343239227338</v>
      </c>
      <c r="F163" s="32">
        <v>0.97226349678058432</v>
      </c>
      <c r="G163" s="30">
        <v>72.433333333333337</v>
      </c>
      <c r="H163" s="30">
        <v>3.2666666666666671</v>
      </c>
      <c r="I163" s="30">
        <v>35</v>
      </c>
      <c r="J163" s="30">
        <v>16.266666666666666</v>
      </c>
      <c r="K163" s="30">
        <v>50.733333333333327</v>
      </c>
      <c r="L163" s="30">
        <v>14.700000000000001</v>
      </c>
      <c r="M163" s="30">
        <v>5</v>
      </c>
      <c r="N163" s="30">
        <v>68.600000000000009</v>
      </c>
      <c r="O163" s="30">
        <v>0</v>
      </c>
      <c r="P163" s="30">
        <v>3.1999999999999997</v>
      </c>
      <c r="Q163" s="30">
        <v>0</v>
      </c>
      <c r="R163" s="30">
        <v>0</v>
      </c>
      <c r="S163" s="30">
        <v>4</v>
      </c>
    </row>
    <row r="164" spans="1:19" ht="18.600000000000001" customHeight="1">
      <c r="A164" s="25" t="s">
        <v>174</v>
      </c>
      <c r="B164" s="26" t="s">
        <v>64</v>
      </c>
      <c r="C164" s="41" t="s">
        <v>34</v>
      </c>
      <c r="D164" s="30">
        <v>56.833333333333336</v>
      </c>
      <c r="E164" s="32">
        <v>3.1407624633431084</v>
      </c>
      <c r="F164" s="32">
        <v>1.0721407624633432</v>
      </c>
      <c r="G164" s="30">
        <v>88.5</v>
      </c>
      <c r="H164" s="30">
        <v>3.1333333333333333</v>
      </c>
      <c r="I164" s="30">
        <v>34.333333333333336</v>
      </c>
      <c r="J164" s="30">
        <v>19.833333333333332</v>
      </c>
      <c r="K164" s="30">
        <v>38.133333333333333</v>
      </c>
      <c r="L164" s="30">
        <v>22.8</v>
      </c>
      <c r="M164" s="30">
        <v>7</v>
      </c>
      <c r="N164" s="30">
        <v>61.6</v>
      </c>
      <c r="O164" s="30">
        <v>0</v>
      </c>
      <c r="P164" s="30">
        <v>3.1</v>
      </c>
      <c r="Q164" s="30">
        <v>0</v>
      </c>
      <c r="R164" s="30">
        <v>0</v>
      </c>
      <c r="S164" s="30">
        <v>3</v>
      </c>
    </row>
    <row r="165" spans="1:19" ht="18.600000000000001" customHeight="1">
      <c r="A165" s="25" t="s">
        <v>176</v>
      </c>
      <c r="B165" s="26" t="s">
        <v>99</v>
      </c>
      <c r="C165" s="41" t="s">
        <v>34</v>
      </c>
      <c r="D165" s="30">
        <v>62.433333333333337</v>
      </c>
      <c r="E165" s="32">
        <v>2.5899626268019218</v>
      </c>
      <c r="F165" s="32">
        <v>1.1270688734650294</v>
      </c>
      <c r="G165" s="30">
        <v>91.066666666666663</v>
      </c>
      <c r="H165" s="30">
        <v>3.5</v>
      </c>
      <c r="I165" s="30">
        <v>29</v>
      </c>
      <c r="J165" s="30">
        <v>17.966666666666665</v>
      </c>
      <c r="K165" s="30">
        <v>41.800000000000004</v>
      </c>
      <c r="L165" s="30">
        <v>28.566666666666666</v>
      </c>
      <c r="M165" s="30">
        <v>6</v>
      </c>
      <c r="N165" s="30">
        <v>63.6</v>
      </c>
      <c r="O165" s="30">
        <v>0</v>
      </c>
      <c r="P165" s="30">
        <v>2.9333333333333336</v>
      </c>
      <c r="Q165" s="30">
        <v>0</v>
      </c>
      <c r="R165" s="30">
        <v>1.5</v>
      </c>
      <c r="S165" s="30">
        <v>8</v>
      </c>
    </row>
    <row r="166" spans="1:19" ht="18.600000000000001" customHeight="1">
      <c r="A166" s="25" t="s">
        <v>163</v>
      </c>
      <c r="B166" s="26" t="s">
        <v>95</v>
      </c>
      <c r="C166" s="41" t="s">
        <v>34</v>
      </c>
      <c r="D166" s="30">
        <v>63.29999999999999</v>
      </c>
      <c r="E166" s="32">
        <v>2.8104265402843605</v>
      </c>
      <c r="F166" s="32">
        <v>1.09478672985782</v>
      </c>
      <c r="G166" s="30">
        <v>75.100000000000009</v>
      </c>
      <c r="H166" s="30">
        <v>4.5333333333333332</v>
      </c>
      <c r="I166" s="30">
        <v>32</v>
      </c>
      <c r="J166" s="30">
        <v>19.766666666666666</v>
      </c>
      <c r="K166" s="30">
        <v>47.199999999999996</v>
      </c>
      <c r="L166" s="30">
        <v>22.099999999999998</v>
      </c>
      <c r="M166" s="30">
        <v>8</v>
      </c>
      <c r="N166" s="30">
        <v>62.6</v>
      </c>
      <c r="O166" s="30">
        <v>0</v>
      </c>
      <c r="P166" s="30">
        <v>2.9333333333333336</v>
      </c>
      <c r="Q166" s="30">
        <v>0</v>
      </c>
      <c r="R166" s="30">
        <v>2.5</v>
      </c>
      <c r="S166" s="30">
        <v>6</v>
      </c>
    </row>
    <row r="167" spans="1:19" ht="18.600000000000001" customHeight="1">
      <c r="A167" s="25" t="s">
        <v>183</v>
      </c>
      <c r="B167" s="26" t="s">
        <v>79</v>
      </c>
      <c r="C167" s="41" t="s">
        <v>34</v>
      </c>
      <c r="D167" s="30">
        <v>59</v>
      </c>
      <c r="E167" s="32">
        <v>2.9847457627118641</v>
      </c>
      <c r="F167" s="32">
        <v>1.0672316384180791</v>
      </c>
      <c r="G167" s="30">
        <v>72.7</v>
      </c>
      <c r="H167" s="30">
        <v>3.5666666666666664</v>
      </c>
      <c r="I167" s="30">
        <v>31.666666666666668</v>
      </c>
      <c r="J167" s="30">
        <v>19.566666666666666</v>
      </c>
      <c r="K167" s="30">
        <v>46.9</v>
      </c>
      <c r="L167" s="30">
        <v>16.066666666666666</v>
      </c>
      <c r="M167" s="30">
        <v>6</v>
      </c>
      <c r="N167" s="30">
        <v>60.6</v>
      </c>
      <c r="O167" s="30">
        <v>0</v>
      </c>
      <c r="P167" s="30">
        <v>3.2333333333333329</v>
      </c>
      <c r="Q167" s="30">
        <v>0</v>
      </c>
      <c r="R167" s="30">
        <v>1.5</v>
      </c>
      <c r="S167" s="30">
        <v>4</v>
      </c>
    </row>
    <row r="168" spans="1:19" ht="18.600000000000001" customHeight="1">
      <c r="A168" s="25" t="s">
        <v>184</v>
      </c>
      <c r="B168" s="26" t="s">
        <v>125</v>
      </c>
      <c r="C168" s="41" t="s">
        <v>34</v>
      </c>
      <c r="D168" s="30">
        <v>62.466666666666669</v>
      </c>
      <c r="E168" s="32">
        <v>2.7854855923159016</v>
      </c>
      <c r="F168" s="32">
        <v>1.0688367129135539</v>
      </c>
      <c r="G168" s="30">
        <v>81.166666666666671</v>
      </c>
      <c r="H168" s="30">
        <v>4.2333333333333334</v>
      </c>
      <c r="I168" s="30">
        <v>26</v>
      </c>
      <c r="J168" s="30">
        <v>19.333333333333332</v>
      </c>
      <c r="K168" s="30">
        <v>41.766666666666666</v>
      </c>
      <c r="L168" s="30">
        <v>25</v>
      </c>
      <c r="M168" s="30">
        <v>7</v>
      </c>
      <c r="N168" s="30">
        <v>57.966666666666669</v>
      </c>
      <c r="O168" s="30">
        <v>0</v>
      </c>
      <c r="P168" s="30">
        <v>2.5666666666666669</v>
      </c>
      <c r="Q168" s="30">
        <v>0</v>
      </c>
      <c r="R168" s="30">
        <v>2.5</v>
      </c>
      <c r="S168" s="30">
        <v>7</v>
      </c>
    </row>
    <row r="169" spans="1:19" ht="18.600000000000001" customHeight="1">
      <c r="A169" s="25" t="s">
        <v>190</v>
      </c>
      <c r="B169" s="26" t="s">
        <v>74</v>
      </c>
      <c r="C169" s="41" t="s">
        <v>34</v>
      </c>
      <c r="D169" s="30">
        <v>64.433333333333337</v>
      </c>
      <c r="E169" s="32">
        <v>3.0636316606311431</v>
      </c>
      <c r="F169" s="32">
        <v>1.0398344542162441</v>
      </c>
      <c r="G169" s="30">
        <v>79.833333333333329</v>
      </c>
      <c r="H169" s="30">
        <v>3.8666666666666667</v>
      </c>
      <c r="I169" s="30">
        <v>27.333333333333332</v>
      </c>
      <c r="J169" s="30">
        <v>21.933333333333334</v>
      </c>
      <c r="K169" s="30">
        <v>51.800000000000004</v>
      </c>
      <c r="L169" s="30">
        <v>15.200000000000001</v>
      </c>
      <c r="M169" s="30">
        <v>8</v>
      </c>
      <c r="N169" s="30">
        <v>64.933333333333337</v>
      </c>
      <c r="O169" s="30">
        <v>0</v>
      </c>
      <c r="P169" s="30">
        <v>3.9333333333333336</v>
      </c>
      <c r="Q169" s="30">
        <v>0</v>
      </c>
      <c r="R169" s="30">
        <v>4</v>
      </c>
      <c r="S169" s="30">
        <v>7</v>
      </c>
    </row>
    <row r="170" spans="1:19" ht="18.600000000000001" customHeight="1">
      <c r="A170" s="25" t="s">
        <v>199</v>
      </c>
      <c r="B170" s="26" t="s">
        <v>101</v>
      </c>
      <c r="C170" s="41" t="s">
        <v>34</v>
      </c>
      <c r="D170" s="30">
        <v>66.333333333333329</v>
      </c>
      <c r="E170" s="32">
        <v>2.7723618090452264</v>
      </c>
      <c r="F170" s="32">
        <v>1.078894472361809</v>
      </c>
      <c r="G170" s="30">
        <v>86.100000000000009</v>
      </c>
      <c r="H170" s="30">
        <v>3.5</v>
      </c>
      <c r="I170" s="30">
        <v>24</v>
      </c>
      <c r="J170" s="30">
        <v>20.433333333333334</v>
      </c>
      <c r="K170" s="30">
        <v>45.333333333333336</v>
      </c>
      <c r="L170" s="30">
        <v>26.233333333333334</v>
      </c>
      <c r="M170" s="30">
        <v>7</v>
      </c>
      <c r="N170" s="30">
        <v>67.266666666666666</v>
      </c>
      <c r="O170" s="30">
        <v>0</v>
      </c>
      <c r="P170" s="30">
        <v>3.2666666666666671</v>
      </c>
      <c r="Q170" s="30">
        <v>0</v>
      </c>
      <c r="R170" s="30">
        <v>3.5</v>
      </c>
      <c r="S170" s="30">
        <v>4</v>
      </c>
    </row>
    <row r="171" spans="1:19" ht="18.600000000000001" customHeight="1">
      <c r="A171" s="25" t="s">
        <v>258</v>
      </c>
      <c r="B171" s="26" t="s">
        <v>105</v>
      </c>
      <c r="C171" s="41" t="s">
        <v>34</v>
      </c>
      <c r="D171" s="30">
        <v>63.566666666666663</v>
      </c>
      <c r="E171" s="32">
        <v>3.5867855270057682</v>
      </c>
      <c r="F171" s="32">
        <v>1.1620346093340328</v>
      </c>
      <c r="G171" s="30">
        <v>77.13333333333334</v>
      </c>
      <c r="H171" s="30">
        <v>3.7666666666666671</v>
      </c>
      <c r="I171" s="30">
        <v>30.666666666666668</v>
      </c>
      <c r="J171" s="30">
        <v>25.333333333333332</v>
      </c>
      <c r="K171" s="30">
        <v>48.766666666666673</v>
      </c>
      <c r="L171" s="30">
        <v>25.099999999999998</v>
      </c>
      <c r="M171" s="30">
        <v>8</v>
      </c>
      <c r="N171" s="30">
        <v>64.933333333333337</v>
      </c>
      <c r="O171" s="30">
        <v>0</v>
      </c>
      <c r="P171" s="30">
        <v>3.0333333333333332</v>
      </c>
      <c r="Q171" s="30">
        <v>0</v>
      </c>
      <c r="R171" s="30">
        <v>1.5</v>
      </c>
      <c r="S171" s="30">
        <v>4</v>
      </c>
    </row>
    <row r="172" spans="1:19" ht="18.600000000000001" customHeight="1">
      <c r="A172" s="25" t="s">
        <v>222</v>
      </c>
      <c r="B172" s="26" t="s">
        <v>158</v>
      </c>
      <c r="C172" s="41" t="s">
        <v>34</v>
      </c>
      <c r="D172" s="30">
        <v>70.8</v>
      </c>
      <c r="E172" s="32">
        <v>2.3644067796610169</v>
      </c>
      <c r="F172" s="32">
        <v>1.0494350282485876</v>
      </c>
      <c r="G172" s="30">
        <v>92.333333333333329</v>
      </c>
      <c r="H172" s="30">
        <v>2.9333333333333336</v>
      </c>
      <c r="I172" s="30">
        <v>11.333333333333334</v>
      </c>
      <c r="J172" s="30">
        <v>18.599999999999998</v>
      </c>
      <c r="K172" s="30">
        <v>53.466666666666669</v>
      </c>
      <c r="L172" s="30">
        <v>20.833333333333332</v>
      </c>
      <c r="M172" s="30">
        <v>5</v>
      </c>
      <c r="N172" s="30">
        <v>61.300000000000004</v>
      </c>
      <c r="O172" s="30">
        <v>0</v>
      </c>
      <c r="P172" s="30">
        <v>3.5333333333333332</v>
      </c>
      <c r="Q172" s="30">
        <v>0</v>
      </c>
      <c r="R172" s="30">
        <v>19.5</v>
      </c>
      <c r="S172" s="30">
        <v>3</v>
      </c>
    </row>
    <row r="173" spans="1:19" ht="18.600000000000001" customHeight="1">
      <c r="A173" s="25" t="s">
        <v>239</v>
      </c>
      <c r="B173" s="26" t="s">
        <v>72</v>
      </c>
      <c r="C173" s="41" t="s">
        <v>34</v>
      </c>
      <c r="D173" s="30">
        <v>63.666666666666664</v>
      </c>
      <c r="E173" s="32">
        <v>2.6057591623036651</v>
      </c>
      <c r="F173" s="32">
        <v>0.98376963350785351</v>
      </c>
      <c r="G173" s="30">
        <v>92.466666666666654</v>
      </c>
      <c r="H173" s="30">
        <v>2.9333333333333336</v>
      </c>
      <c r="I173" s="30">
        <v>6</v>
      </c>
      <c r="J173" s="30">
        <v>18.433333333333334</v>
      </c>
      <c r="K173" s="30">
        <v>43.333333333333336</v>
      </c>
      <c r="L173" s="30">
        <v>19.3</v>
      </c>
      <c r="M173" s="30">
        <v>5</v>
      </c>
      <c r="N173" s="30">
        <v>63.933333333333337</v>
      </c>
      <c r="O173" s="30">
        <v>0</v>
      </c>
      <c r="P173" s="30">
        <v>3.5333333333333332</v>
      </c>
      <c r="Q173" s="30">
        <v>0</v>
      </c>
      <c r="R173" s="30">
        <v>17</v>
      </c>
      <c r="S173" s="30">
        <v>0</v>
      </c>
    </row>
    <row r="174" spans="1:19" ht="18.600000000000001" customHeight="1">
      <c r="A174" s="25" t="s">
        <v>289</v>
      </c>
      <c r="B174" s="26" t="s">
        <v>219</v>
      </c>
      <c r="C174" s="41" t="s">
        <v>34</v>
      </c>
      <c r="D174" s="30">
        <v>61.833333333333336</v>
      </c>
      <c r="E174" s="32">
        <v>3.1487870619946094</v>
      </c>
      <c r="F174" s="32">
        <v>1.2560646900269543</v>
      </c>
      <c r="G174" s="30">
        <v>73.7</v>
      </c>
      <c r="H174" s="30">
        <v>4.8</v>
      </c>
      <c r="I174" s="30">
        <v>25.333333333333332</v>
      </c>
      <c r="J174" s="30">
        <v>21.633333333333336</v>
      </c>
      <c r="K174" s="30">
        <v>50.5</v>
      </c>
      <c r="L174" s="30">
        <v>27.166666666666668</v>
      </c>
      <c r="M174" s="30">
        <v>5</v>
      </c>
      <c r="N174" s="30">
        <v>62.6</v>
      </c>
      <c r="O174" s="30">
        <v>0</v>
      </c>
      <c r="P174" s="30">
        <v>3.3333333333333335</v>
      </c>
      <c r="Q174" s="30">
        <v>0</v>
      </c>
      <c r="R174" s="30">
        <v>2</v>
      </c>
      <c r="S174" s="30">
        <v>5</v>
      </c>
    </row>
    <row r="175" spans="1:19" ht="18.600000000000001" customHeight="1">
      <c r="A175" s="25" t="s">
        <v>257</v>
      </c>
      <c r="B175" s="26" t="s">
        <v>72</v>
      </c>
      <c r="C175" s="41" t="s">
        <v>34</v>
      </c>
      <c r="D175" s="30">
        <v>60</v>
      </c>
      <c r="E175" s="32">
        <v>3.4350000000000005</v>
      </c>
      <c r="F175" s="32">
        <v>1.0022222222222223</v>
      </c>
      <c r="G175" s="30">
        <v>69.833333333333329</v>
      </c>
      <c r="H175" s="30">
        <v>3.3333333333333335</v>
      </c>
      <c r="I175" s="30">
        <v>18.666666666666668</v>
      </c>
      <c r="J175" s="30">
        <v>22.900000000000002</v>
      </c>
      <c r="K175" s="30">
        <v>41.833333333333336</v>
      </c>
      <c r="L175" s="30">
        <v>18.3</v>
      </c>
      <c r="M175" s="30">
        <v>9</v>
      </c>
      <c r="N175" s="30">
        <v>60.266666666666673</v>
      </c>
      <c r="O175" s="30">
        <v>0</v>
      </c>
      <c r="P175" s="30">
        <v>2.9666666666666668</v>
      </c>
      <c r="Q175" s="30">
        <v>0</v>
      </c>
      <c r="R175" s="30">
        <v>9</v>
      </c>
      <c r="S175" s="30">
        <v>9</v>
      </c>
    </row>
    <row r="176" spans="1:19" ht="18.600000000000001" customHeight="1">
      <c r="A176" s="25" t="s">
        <v>272</v>
      </c>
      <c r="B176" s="26" t="s">
        <v>103</v>
      </c>
      <c r="C176" s="41" t="s">
        <v>34</v>
      </c>
      <c r="D176" s="30">
        <v>57.066666666666663</v>
      </c>
      <c r="E176" s="32">
        <v>2.8019859813084111</v>
      </c>
      <c r="F176" s="32">
        <v>1.1337616822429908</v>
      </c>
      <c r="G176" s="30">
        <v>76</v>
      </c>
      <c r="H176" s="30">
        <v>3.4333333333333336</v>
      </c>
      <c r="I176" s="30">
        <v>16.333333333333332</v>
      </c>
      <c r="J176" s="30">
        <v>17.766666666666666</v>
      </c>
      <c r="K176" s="30">
        <v>44.366666666666667</v>
      </c>
      <c r="L176" s="30">
        <v>20.333333333333332</v>
      </c>
      <c r="M176" s="30">
        <v>6</v>
      </c>
      <c r="N176" s="30">
        <v>57.433333333333337</v>
      </c>
      <c r="O176" s="30">
        <v>0</v>
      </c>
      <c r="P176" s="30">
        <v>2.8000000000000003</v>
      </c>
      <c r="Q176" s="30">
        <v>0</v>
      </c>
      <c r="R176" s="30">
        <v>8.5</v>
      </c>
      <c r="S176" s="30">
        <v>4</v>
      </c>
    </row>
    <row r="177" spans="1:19" ht="18.600000000000001" customHeight="1">
      <c r="A177" s="25" t="s">
        <v>292</v>
      </c>
      <c r="B177" s="26" t="s">
        <v>139</v>
      </c>
      <c r="C177" s="41" t="s">
        <v>34</v>
      </c>
      <c r="D177" s="30">
        <v>58.566666666666663</v>
      </c>
      <c r="E177" s="32">
        <v>3.0990324416619242</v>
      </c>
      <c r="F177" s="32">
        <v>1.1610700056915197</v>
      </c>
      <c r="G177" s="30">
        <v>72.466666666666669</v>
      </c>
      <c r="H177" s="30">
        <v>2.6999999999999997</v>
      </c>
      <c r="I177" s="30">
        <v>22</v>
      </c>
      <c r="J177" s="30">
        <v>20.166666666666668</v>
      </c>
      <c r="K177" s="30">
        <v>48.733333333333327</v>
      </c>
      <c r="L177" s="30">
        <v>19.266666666666666</v>
      </c>
      <c r="M177" s="30">
        <v>7</v>
      </c>
      <c r="N177" s="30">
        <v>54.633333333333333</v>
      </c>
      <c r="O177" s="30">
        <v>0</v>
      </c>
      <c r="P177" s="30">
        <v>2.5666666666666669</v>
      </c>
      <c r="Q177" s="30">
        <v>0</v>
      </c>
      <c r="R177" s="30">
        <v>3</v>
      </c>
      <c r="S177" s="30">
        <v>5</v>
      </c>
    </row>
    <row r="178" spans="1:19" ht="18.600000000000001" customHeight="1">
      <c r="A178" s="25" t="s">
        <v>304</v>
      </c>
      <c r="B178" s="26" t="s">
        <v>119</v>
      </c>
      <c r="C178" s="41" t="s">
        <v>34</v>
      </c>
      <c r="D178" s="30">
        <v>70.8</v>
      </c>
      <c r="E178" s="32">
        <v>3.2076271186440684</v>
      </c>
      <c r="F178" s="32">
        <v>1.1723163841807911</v>
      </c>
      <c r="G178" s="30">
        <v>76.86666666666666</v>
      </c>
      <c r="H178" s="30">
        <v>4.4333333333333336</v>
      </c>
      <c r="I178" s="30">
        <v>18.333333333333332</v>
      </c>
      <c r="J178" s="30">
        <v>25.233333333333334</v>
      </c>
      <c r="K178" s="30">
        <v>58.933333333333337</v>
      </c>
      <c r="L178" s="30">
        <v>24.066666666666666</v>
      </c>
      <c r="M178" s="30">
        <v>8</v>
      </c>
      <c r="N178" s="30">
        <v>68.600000000000009</v>
      </c>
      <c r="O178" s="30">
        <v>0</v>
      </c>
      <c r="P178" s="30">
        <v>3.0333333333333332</v>
      </c>
      <c r="Q178" s="30">
        <v>0</v>
      </c>
      <c r="R178" s="30">
        <v>12</v>
      </c>
      <c r="S178" s="30">
        <v>4</v>
      </c>
    </row>
    <row r="179" spans="1:19" ht="18.600000000000001" customHeight="1">
      <c r="A179" s="25" t="s">
        <v>291</v>
      </c>
      <c r="B179" s="26" t="s">
        <v>69</v>
      </c>
      <c r="C179" s="41" t="s">
        <v>34</v>
      </c>
      <c r="D179" s="30">
        <v>61.166666666666664</v>
      </c>
      <c r="E179" s="32">
        <v>3.1487738419618534</v>
      </c>
      <c r="F179" s="32">
        <v>1.2010899182561308</v>
      </c>
      <c r="G179" s="30">
        <v>64.13333333333334</v>
      </c>
      <c r="H179" s="30">
        <v>4.8666666666666663</v>
      </c>
      <c r="I179" s="30">
        <v>22.333333333333332</v>
      </c>
      <c r="J179" s="30">
        <v>21.400000000000002</v>
      </c>
      <c r="K179" s="30">
        <v>50.866666666666667</v>
      </c>
      <c r="L179" s="30">
        <v>22.599999999999998</v>
      </c>
      <c r="M179" s="30">
        <v>5</v>
      </c>
      <c r="N179" s="30">
        <v>60.266666666666673</v>
      </c>
      <c r="O179" s="30">
        <v>0</v>
      </c>
      <c r="P179" s="30">
        <v>2.9333333333333336</v>
      </c>
      <c r="Q179" s="30">
        <v>0</v>
      </c>
      <c r="R179" s="30">
        <v>3</v>
      </c>
      <c r="S179" s="30">
        <v>11</v>
      </c>
    </row>
    <row r="180" spans="1:19" ht="18.600000000000001" customHeight="1">
      <c r="A180" s="25" t="s">
        <v>350</v>
      </c>
      <c r="B180" s="26" t="s">
        <v>225</v>
      </c>
      <c r="C180" s="41" t="s">
        <v>34</v>
      </c>
      <c r="D180" s="30">
        <v>64.166666666666671</v>
      </c>
      <c r="E180" s="32">
        <v>3.3381818181818184</v>
      </c>
      <c r="F180" s="32">
        <v>1.1755844155844155</v>
      </c>
      <c r="G180" s="30">
        <v>81.86666666666666</v>
      </c>
      <c r="H180" s="30">
        <v>3.7333333333333329</v>
      </c>
      <c r="I180" s="30">
        <v>17</v>
      </c>
      <c r="J180" s="30">
        <v>23.8</v>
      </c>
      <c r="K180" s="30">
        <v>43.866666666666667</v>
      </c>
      <c r="L180" s="30">
        <v>31.566666666666666</v>
      </c>
      <c r="M180" s="30">
        <v>9</v>
      </c>
      <c r="N180" s="30">
        <v>62.933333333333337</v>
      </c>
      <c r="O180" s="30">
        <v>0</v>
      </c>
      <c r="P180" s="30">
        <v>2.7333333333333329</v>
      </c>
      <c r="Q180" s="30">
        <v>0</v>
      </c>
      <c r="R180" s="30">
        <v>9.5</v>
      </c>
      <c r="S180" s="30">
        <v>7</v>
      </c>
    </row>
    <row r="181" spans="1:19" ht="18.600000000000001" customHeight="1">
      <c r="A181" s="25" t="s">
        <v>385</v>
      </c>
      <c r="B181" s="26" t="s">
        <v>178</v>
      </c>
      <c r="C181" s="41" t="s">
        <v>34</v>
      </c>
      <c r="D181" s="30">
        <v>64.233333333333334</v>
      </c>
      <c r="E181" s="32">
        <v>3.7223663725998959</v>
      </c>
      <c r="F181" s="32">
        <v>1.2963155163466529</v>
      </c>
      <c r="G181" s="30">
        <v>72.399999999999991</v>
      </c>
      <c r="H181" s="30">
        <v>4.833333333333333</v>
      </c>
      <c r="I181" s="30">
        <v>26.333333333333332</v>
      </c>
      <c r="J181" s="30">
        <v>26.566666666666666</v>
      </c>
      <c r="K181" s="30">
        <v>54.5</v>
      </c>
      <c r="L181" s="30">
        <v>28.766666666666666</v>
      </c>
      <c r="M181" s="30">
        <v>8</v>
      </c>
      <c r="N181" s="30">
        <v>63.933333333333337</v>
      </c>
      <c r="O181" s="30">
        <v>0</v>
      </c>
      <c r="P181" s="30">
        <v>3.9666666666666668</v>
      </c>
      <c r="Q181" s="30">
        <v>0</v>
      </c>
      <c r="R181" s="30">
        <v>2.5</v>
      </c>
      <c r="S181" s="30">
        <v>4</v>
      </c>
    </row>
    <row r="182" spans="1:19" ht="18.600000000000001" customHeight="1">
      <c r="A182" s="25" t="s">
        <v>243</v>
      </c>
      <c r="B182" s="26" t="s">
        <v>116</v>
      </c>
      <c r="C182" s="41" t="s">
        <v>34</v>
      </c>
      <c r="D182" s="30">
        <v>29.566666666666663</v>
      </c>
      <c r="E182" s="32">
        <v>2.6482525366403613</v>
      </c>
      <c r="F182" s="32">
        <v>0.93686583990980843</v>
      </c>
      <c r="G182" s="30">
        <v>42.43333333333333</v>
      </c>
      <c r="H182" s="30">
        <v>1.9000000000000001</v>
      </c>
      <c r="I182" s="30">
        <v>13</v>
      </c>
      <c r="J182" s="30">
        <v>8.7000000000000011</v>
      </c>
      <c r="K182" s="30">
        <v>21.3</v>
      </c>
      <c r="L182" s="30">
        <v>6.3999999999999995</v>
      </c>
      <c r="M182" s="30">
        <v>4</v>
      </c>
      <c r="N182" s="30">
        <v>28.533333333333331</v>
      </c>
      <c r="O182" s="30">
        <v>0</v>
      </c>
      <c r="P182" s="30">
        <v>1.5</v>
      </c>
      <c r="Q182" s="30">
        <v>0</v>
      </c>
      <c r="R182" s="30">
        <v>0</v>
      </c>
      <c r="S182" s="30">
        <v>3</v>
      </c>
    </row>
    <row r="183" spans="1:19" ht="18.600000000000001" customHeight="1">
      <c r="A183" s="25" t="s">
        <v>334</v>
      </c>
      <c r="B183" s="26" t="s">
        <v>125</v>
      </c>
      <c r="C183" s="41" t="s">
        <v>34</v>
      </c>
      <c r="D183" s="30">
        <v>64.466666666666654</v>
      </c>
      <c r="E183" s="32">
        <v>3.3226473629782842</v>
      </c>
      <c r="F183" s="32">
        <v>1.0517063081695968</v>
      </c>
      <c r="G183" s="30">
        <v>75.433333333333337</v>
      </c>
      <c r="H183" s="30">
        <v>3.8000000000000003</v>
      </c>
      <c r="I183" s="30">
        <v>9.6666666666666661</v>
      </c>
      <c r="J183" s="30">
        <v>23.8</v>
      </c>
      <c r="K183" s="30">
        <v>48.866666666666667</v>
      </c>
      <c r="L183" s="30">
        <v>18.933333333333334</v>
      </c>
      <c r="M183" s="30">
        <v>8</v>
      </c>
      <c r="N183" s="30">
        <v>63.933333333333337</v>
      </c>
      <c r="O183" s="30">
        <v>0</v>
      </c>
      <c r="P183" s="30">
        <v>3.9666666666666668</v>
      </c>
      <c r="Q183" s="30">
        <v>0</v>
      </c>
      <c r="R183" s="30">
        <v>16.5</v>
      </c>
      <c r="S183" s="30">
        <v>2</v>
      </c>
    </row>
    <row r="184" spans="1:19" ht="18.600000000000001" customHeight="1">
      <c r="A184" s="25" t="s">
        <v>414</v>
      </c>
      <c r="B184" s="26" t="s">
        <v>105</v>
      </c>
      <c r="C184" s="41" t="s">
        <v>34</v>
      </c>
      <c r="D184" s="30">
        <v>107.46666666666665</v>
      </c>
      <c r="E184" s="32">
        <v>3.5948635235732018</v>
      </c>
      <c r="F184" s="32">
        <v>1.19075682382134</v>
      </c>
      <c r="G184" s="30">
        <v>106.83333333333333</v>
      </c>
      <c r="H184" s="30">
        <v>7.0666666666666664</v>
      </c>
      <c r="I184" s="30">
        <v>2</v>
      </c>
      <c r="J184" s="30">
        <v>42.925333333333334</v>
      </c>
      <c r="K184" s="30">
        <v>100.46666666666665</v>
      </c>
      <c r="L184" s="30">
        <v>27.5</v>
      </c>
      <c r="M184" s="30">
        <v>17</v>
      </c>
      <c r="N184" s="30">
        <v>35.699999999999996</v>
      </c>
      <c r="O184" s="30">
        <v>15.700000000000001</v>
      </c>
      <c r="P184" s="30">
        <v>5.4666666666666659</v>
      </c>
      <c r="Q184" s="30">
        <v>9</v>
      </c>
      <c r="R184" s="30">
        <v>6.5</v>
      </c>
      <c r="S184" s="30">
        <v>0</v>
      </c>
    </row>
    <row r="185" spans="1:19" ht="18.600000000000001" customHeight="1">
      <c r="A185" s="25" t="s">
        <v>355</v>
      </c>
      <c r="B185" s="26" t="s">
        <v>103</v>
      </c>
      <c r="C185" s="41" t="s">
        <v>34</v>
      </c>
      <c r="D185" s="30">
        <v>55.566666666666663</v>
      </c>
      <c r="E185" s="32">
        <v>2.996400719856029</v>
      </c>
      <c r="F185" s="32">
        <v>1.0509898020395922</v>
      </c>
      <c r="G185" s="30">
        <v>66.766666666666666</v>
      </c>
      <c r="H185" s="30">
        <v>2.8000000000000003</v>
      </c>
      <c r="I185" s="30">
        <v>7</v>
      </c>
      <c r="J185" s="30">
        <v>18.5</v>
      </c>
      <c r="K185" s="30">
        <v>39.233333333333334</v>
      </c>
      <c r="L185" s="30">
        <v>19.166666666666668</v>
      </c>
      <c r="M185" s="30">
        <v>8</v>
      </c>
      <c r="N185" s="30">
        <v>57.6</v>
      </c>
      <c r="O185" s="30">
        <v>0</v>
      </c>
      <c r="P185" s="30">
        <v>2.6666666666666665</v>
      </c>
      <c r="Q185" s="30">
        <v>0</v>
      </c>
      <c r="R185" s="30">
        <v>15.5</v>
      </c>
      <c r="S185" s="30">
        <v>5</v>
      </c>
    </row>
    <row r="186" spans="1:19" ht="18.600000000000001" customHeight="1">
      <c r="A186" s="25" t="s">
        <v>361</v>
      </c>
      <c r="B186" s="26" t="s">
        <v>82</v>
      </c>
      <c r="C186" s="41" t="s">
        <v>34</v>
      </c>
      <c r="D186" s="30">
        <v>56.466666666666661</v>
      </c>
      <c r="E186" s="32">
        <v>2.9167650531286902</v>
      </c>
      <c r="F186" s="32">
        <v>1.0956316410861866</v>
      </c>
      <c r="G186" s="30">
        <v>67.2</v>
      </c>
      <c r="H186" s="30">
        <v>3.8333333333333335</v>
      </c>
      <c r="I186" s="30">
        <v>6</v>
      </c>
      <c r="J186" s="30">
        <v>18.3</v>
      </c>
      <c r="K186" s="30">
        <v>42.266666666666666</v>
      </c>
      <c r="L186" s="30">
        <v>19.599999999999998</v>
      </c>
      <c r="M186" s="30">
        <v>8</v>
      </c>
      <c r="N186" s="30">
        <v>55.266666666666673</v>
      </c>
      <c r="O186" s="30">
        <v>0</v>
      </c>
      <c r="P186" s="30">
        <v>2.2666666666666666</v>
      </c>
      <c r="Q186" s="30">
        <v>0</v>
      </c>
      <c r="R186" s="30">
        <v>14.5</v>
      </c>
      <c r="S186" s="30">
        <v>6</v>
      </c>
    </row>
    <row r="187" spans="1:19" ht="18.600000000000001" customHeight="1">
      <c r="A187" s="25" t="s">
        <v>367</v>
      </c>
      <c r="B187" s="26" t="s">
        <v>74</v>
      </c>
      <c r="C187" s="41" t="s">
        <v>34</v>
      </c>
      <c r="D187" s="30">
        <v>61.833333333333336</v>
      </c>
      <c r="E187" s="32">
        <v>2.8188679245283019</v>
      </c>
      <c r="F187" s="32">
        <v>1.0959568733153637</v>
      </c>
      <c r="G187" s="30">
        <v>76.7</v>
      </c>
      <c r="H187" s="30">
        <v>3.4333333333333336</v>
      </c>
      <c r="I187" s="30">
        <v>2.3333333333333335</v>
      </c>
      <c r="J187" s="30">
        <v>19.366666666666667</v>
      </c>
      <c r="K187" s="30">
        <v>48.433333333333337</v>
      </c>
      <c r="L187" s="30">
        <v>19.333333333333332</v>
      </c>
      <c r="M187" s="30">
        <v>7</v>
      </c>
      <c r="N187" s="30">
        <v>67.266666666666666</v>
      </c>
      <c r="O187" s="30">
        <v>0</v>
      </c>
      <c r="P187" s="30">
        <v>2.8000000000000003</v>
      </c>
      <c r="Q187" s="30">
        <v>0</v>
      </c>
      <c r="R187" s="30">
        <v>22.5</v>
      </c>
      <c r="S187" s="30">
        <v>0</v>
      </c>
    </row>
    <row r="188" spans="1:19" ht="18.600000000000001" customHeight="1">
      <c r="A188" s="25" t="s">
        <v>447</v>
      </c>
      <c r="B188" s="26" t="s">
        <v>92</v>
      </c>
      <c r="C188" s="41" t="s">
        <v>34</v>
      </c>
      <c r="D188" s="30">
        <v>57.4</v>
      </c>
      <c r="E188" s="32">
        <v>3.7160278745644599</v>
      </c>
      <c r="F188" s="32">
        <v>1.2427409988385598</v>
      </c>
      <c r="G188" s="30">
        <v>74.36666666666666</v>
      </c>
      <c r="H188" s="30">
        <v>3.6333333333333333</v>
      </c>
      <c r="I188" s="30">
        <v>16.333333333333332</v>
      </c>
      <c r="J188" s="30">
        <v>23.7</v>
      </c>
      <c r="K188" s="30">
        <v>45.5</v>
      </c>
      <c r="L188" s="30">
        <v>25.833333333333332</v>
      </c>
      <c r="M188" s="30">
        <v>8</v>
      </c>
      <c r="N188" s="30">
        <v>59.9</v>
      </c>
      <c r="O188" s="30">
        <v>0</v>
      </c>
      <c r="P188" s="30">
        <v>4.2333333333333334</v>
      </c>
      <c r="Q188" s="30">
        <v>0</v>
      </c>
      <c r="R188" s="30">
        <v>7.5</v>
      </c>
      <c r="S188" s="30">
        <v>7</v>
      </c>
    </row>
    <row r="189" spans="1:19" ht="18.600000000000001" customHeight="1">
      <c r="A189" s="25" t="s">
        <v>466</v>
      </c>
      <c r="B189" s="26" t="s">
        <v>158</v>
      </c>
      <c r="C189" s="41" t="s">
        <v>34</v>
      </c>
      <c r="D189" s="30">
        <v>67.066666666666663</v>
      </c>
      <c r="E189" s="32">
        <v>3.7261431411530812</v>
      </c>
      <c r="F189" s="32">
        <v>1.268389662027833</v>
      </c>
      <c r="G189" s="30">
        <v>67.600000000000009</v>
      </c>
      <c r="H189" s="30">
        <v>3.1</v>
      </c>
      <c r="I189" s="30">
        <v>19.333333333333332</v>
      </c>
      <c r="J189" s="30">
        <v>27.766666666666666</v>
      </c>
      <c r="K189" s="30">
        <v>61</v>
      </c>
      <c r="L189" s="30">
        <v>24.066666666666666</v>
      </c>
      <c r="M189" s="30">
        <v>7</v>
      </c>
      <c r="N189" s="30">
        <v>62.933333333333337</v>
      </c>
      <c r="O189" s="30">
        <v>0</v>
      </c>
      <c r="P189" s="30">
        <v>3.3333333333333335</v>
      </c>
      <c r="Q189" s="30">
        <v>0</v>
      </c>
      <c r="R189" s="30">
        <v>3.5</v>
      </c>
      <c r="S189" s="30">
        <v>1</v>
      </c>
    </row>
    <row r="190" spans="1:19" ht="18.600000000000001" customHeight="1">
      <c r="A190" s="25" t="s">
        <v>449</v>
      </c>
      <c r="B190" s="26" t="s">
        <v>219</v>
      </c>
      <c r="C190" s="41" t="s">
        <v>34</v>
      </c>
      <c r="D190" s="30">
        <v>60.6</v>
      </c>
      <c r="E190" s="32">
        <v>3.7376237623762374</v>
      </c>
      <c r="F190" s="32">
        <v>1.2002200220022001</v>
      </c>
      <c r="G190" s="30">
        <v>73.8</v>
      </c>
      <c r="H190" s="30">
        <v>3.4666666666666668</v>
      </c>
      <c r="I190" s="30">
        <v>13.666666666666666</v>
      </c>
      <c r="J190" s="30">
        <v>25.166666666666668</v>
      </c>
      <c r="K190" s="30">
        <v>55.800000000000004</v>
      </c>
      <c r="L190" s="30">
        <v>16.933333333333334</v>
      </c>
      <c r="M190" s="30">
        <v>6</v>
      </c>
      <c r="N190" s="30">
        <v>60.933333333333337</v>
      </c>
      <c r="O190" s="30">
        <v>0</v>
      </c>
      <c r="P190" s="30">
        <v>4.6333333333333337</v>
      </c>
      <c r="Q190" s="30">
        <v>0</v>
      </c>
      <c r="R190" s="30">
        <v>11</v>
      </c>
      <c r="S190" s="30">
        <v>2</v>
      </c>
    </row>
    <row r="191" spans="1:19" ht="18.600000000000001" customHeight="1">
      <c r="A191" s="25" t="s">
        <v>410</v>
      </c>
      <c r="B191" s="26" t="s">
        <v>64</v>
      </c>
      <c r="C191" s="41" t="s">
        <v>34</v>
      </c>
      <c r="D191" s="30">
        <v>64.633333333333326</v>
      </c>
      <c r="E191" s="32">
        <v>2.9798865394533274</v>
      </c>
      <c r="F191" s="32">
        <v>1.144920061887571</v>
      </c>
      <c r="G191" s="30">
        <v>77.166666666666671</v>
      </c>
      <c r="H191" s="30">
        <v>4.6333333333333337</v>
      </c>
      <c r="I191" s="30">
        <v>1.6666666666666667</v>
      </c>
      <c r="J191" s="30">
        <v>21.400000000000002</v>
      </c>
      <c r="K191" s="30">
        <v>47.9</v>
      </c>
      <c r="L191" s="30">
        <v>26.099999999999998</v>
      </c>
      <c r="M191" s="30">
        <v>7</v>
      </c>
      <c r="N191" s="30">
        <v>62.266666666666673</v>
      </c>
      <c r="O191" s="30">
        <v>0</v>
      </c>
      <c r="P191" s="30">
        <v>2.3666666666666667</v>
      </c>
      <c r="Q191" s="30">
        <v>0</v>
      </c>
      <c r="R191" s="30">
        <v>16.5</v>
      </c>
      <c r="S191" s="30">
        <v>0</v>
      </c>
    </row>
    <row r="192" spans="1:19" ht="18.600000000000001" customHeight="1">
      <c r="A192" s="25" t="s">
        <v>454</v>
      </c>
      <c r="B192" s="26" t="s">
        <v>160</v>
      </c>
      <c r="C192" s="41" t="s">
        <v>34</v>
      </c>
      <c r="D192" s="30">
        <v>66.266666666666666</v>
      </c>
      <c r="E192" s="32">
        <v>3.5628772635814894</v>
      </c>
      <c r="F192" s="32">
        <v>1.1916498993963782</v>
      </c>
      <c r="G192" s="30">
        <v>76.399999999999991</v>
      </c>
      <c r="H192" s="30">
        <v>2.7333333333333329</v>
      </c>
      <c r="I192" s="30">
        <v>11.333333333333334</v>
      </c>
      <c r="J192" s="30">
        <v>26.233333333333334</v>
      </c>
      <c r="K192" s="30">
        <v>53.566666666666663</v>
      </c>
      <c r="L192" s="30">
        <v>25.400000000000002</v>
      </c>
      <c r="M192" s="30">
        <v>8</v>
      </c>
      <c r="N192" s="30">
        <v>67.266666666666666</v>
      </c>
      <c r="O192" s="30">
        <v>0</v>
      </c>
      <c r="P192" s="30">
        <v>3.3666666666666667</v>
      </c>
      <c r="Q192" s="30">
        <v>0</v>
      </c>
      <c r="R192" s="30">
        <v>13</v>
      </c>
      <c r="S192" s="30">
        <v>9</v>
      </c>
    </row>
    <row r="193" spans="1:19" ht="18.600000000000001" customHeight="1">
      <c r="A193" s="25" t="s">
        <v>420</v>
      </c>
      <c r="B193" s="26" t="s">
        <v>82</v>
      </c>
      <c r="C193" s="41" t="s">
        <v>34</v>
      </c>
      <c r="D193" s="30">
        <v>49.9</v>
      </c>
      <c r="E193" s="32">
        <v>3.529058116232465</v>
      </c>
      <c r="F193" s="32">
        <v>1.1269205076820308</v>
      </c>
      <c r="G193" s="30">
        <v>61.5</v>
      </c>
      <c r="H193" s="30">
        <v>3.4</v>
      </c>
      <c r="I193" s="30">
        <v>10.333333333333334</v>
      </c>
      <c r="J193" s="30">
        <v>19.566666666666666</v>
      </c>
      <c r="K193" s="30">
        <v>40</v>
      </c>
      <c r="L193" s="30">
        <v>16.233333333333334</v>
      </c>
      <c r="M193" s="30">
        <v>8</v>
      </c>
      <c r="N193" s="30">
        <v>52.933333333333337</v>
      </c>
      <c r="O193" s="30">
        <v>0</v>
      </c>
      <c r="P193" s="30">
        <v>2.8666666666666667</v>
      </c>
      <c r="Q193" s="30">
        <v>0</v>
      </c>
      <c r="R193" s="30">
        <v>12.5</v>
      </c>
      <c r="S193" s="30">
        <v>2</v>
      </c>
    </row>
    <row r="194" spans="1:19" ht="18.600000000000001" customHeight="1">
      <c r="A194" s="25" t="s">
        <v>504</v>
      </c>
      <c r="B194" s="26" t="s">
        <v>87</v>
      </c>
      <c r="C194" s="41" t="s">
        <v>34</v>
      </c>
      <c r="D194" s="30">
        <v>56.866666666666674</v>
      </c>
      <c r="E194" s="32">
        <v>3.7245017584994131</v>
      </c>
      <c r="F194" s="32">
        <v>1.2584994138335286</v>
      </c>
      <c r="G194" s="30">
        <v>67.466666666666669</v>
      </c>
      <c r="H194" s="30">
        <v>1.9333333333333333</v>
      </c>
      <c r="I194" s="30">
        <v>17.666666666666668</v>
      </c>
      <c r="J194" s="30">
        <v>23.533333333333331</v>
      </c>
      <c r="K194" s="30">
        <v>45.066666666666663</v>
      </c>
      <c r="L194" s="30">
        <v>26.5</v>
      </c>
      <c r="M194" s="30">
        <v>8</v>
      </c>
      <c r="N194" s="30">
        <v>56.566666666666663</v>
      </c>
      <c r="O194" s="30">
        <v>0</v>
      </c>
      <c r="P194" s="30">
        <v>2.9333333333333336</v>
      </c>
      <c r="Q194" s="30">
        <v>0</v>
      </c>
      <c r="R194" s="30">
        <v>6.5</v>
      </c>
      <c r="S194" s="30">
        <v>7</v>
      </c>
    </row>
    <row r="195" spans="1:19" ht="18.600000000000001" customHeight="1">
      <c r="A195" s="25" t="s">
        <v>436</v>
      </c>
      <c r="B195" s="26" t="s">
        <v>74</v>
      </c>
      <c r="C195" s="41" t="s">
        <v>34</v>
      </c>
      <c r="D195" s="30">
        <v>74.866666666666674</v>
      </c>
      <c r="E195" s="32">
        <v>3.357969723953695</v>
      </c>
      <c r="F195" s="32">
        <v>1.1237756010685662</v>
      </c>
      <c r="G195" s="30">
        <v>81.13333333333334</v>
      </c>
      <c r="H195" s="30">
        <v>4.3</v>
      </c>
      <c r="I195" s="30">
        <v>0.66666666666666663</v>
      </c>
      <c r="J195" s="30">
        <v>27.933333333333334</v>
      </c>
      <c r="K195" s="30">
        <v>63.6</v>
      </c>
      <c r="L195" s="30">
        <v>20.533333333333335</v>
      </c>
      <c r="M195" s="30">
        <v>8</v>
      </c>
      <c r="N195" s="30">
        <v>59.6</v>
      </c>
      <c r="O195" s="30">
        <v>2</v>
      </c>
      <c r="P195" s="30">
        <v>3.0333333333333332</v>
      </c>
      <c r="Q195" s="30">
        <v>0</v>
      </c>
      <c r="R195" s="30">
        <v>16</v>
      </c>
      <c r="S195" s="30">
        <v>3</v>
      </c>
    </row>
    <row r="196" spans="1:19" ht="18.600000000000001" customHeight="1">
      <c r="A196" s="25" t="s">
        <v>492</v>
      </c>
      <c r="B196" s="26" t="s">
        <v>77</v>
      </c>
      <c r="C196" s="41" t="s">
        <v>34</v>
      </c>
      <c r="D196" s="30">
        <v>59.4</v>
      </c>
      <c r="E196" s="32">
        <v>3.3535353535353538</v>
      </c>
      <c r="F196" s="32">
        <v>1.2087542087542087</v>
      </c>
      <c r="G196" s="30">
        <v>84.3</v>
      </c>
      <c r="H196" s="30">
        <v>3.6</v>
      </c>
      <c r="I196" s="30">
        <v>3.3333333333333335</v>
      </c>
      <c r="J196" s="30">
        <v>22.133333333333336</v>
      </c>
      <c r="K196" s="30">
        <v>41.266666666666666</v>
      </c>
      <c r="L196" s="30">
        <v>30.533333333333331</v>
      </c>
      <c r="M196" s="30">
        <v>8</v>
      </c>
      <c r="N196" s="30">
        <v>59.266666666666673</v>
      </c>
      <c r="O196" s="30">
        <v>0</v>
      </c>
      <c r="P196" s="30">
        <v>2.7333333333333329</v>
      </c>
      <c r="Q196" s="30">
        <v>0</v>
      </c>
      <c r="R196" s="30">
        <v>14</v>
      </c>
      <c r="S196" s="30">
        <v>2</v>
      </c>
    </row>
    <row r="197" spans="1:19" ht="18.600000000000001" customHeight="1">
      <c r="A197" s="25" t="s">
        <v>469</v>
      </c>
      <c r="B197" s="26" t="s">
        <v>72</v>
      </c>
      <c r="C197" s="41" t="s">
        <v>34</v>
      </c>
      <c r="D197" s="30">
        <v>73.633333333333326</v>
      </c>
      <c r="E197" s="32">
        <v>3.4956994114984155</v>
      </c>
      <c r="F197" s="32">
        <v>1.1063829787234043</v>
      </c>
      <c r="G197" s="30">
        <v>78.066666666666663</v>
      </c>
      <c r="H197" s="30">
        <v>3.8000000000000003</v>
      </c>
      <c r="I197" s="30">
        <v>0.33333333333333331</v>
      </c>
      <c r="J197" s="30">
        <v>28.599999999999998</v>
      </c>
      <c r="K197" s="30">
        <v>59.433333333333337</v>
      </c>
      <c r="L197" s="30">
        <v>22.033333333333331</v>
      </c>
      <c r="M197" s="30">
        <v>8</v>
      </c>
      <c r="N197" s="30">
        <v>67.933333333333337</v>
      </c>
      <c r="O197" s="30">
        <v>0.33333333333333331</v>
      </c>
      <c r="P197" s="30">
        <v>1.8666666666666665</v>
      </c>
      <c r="Q197" s="30">
        <v>0</v>
      </c>
      <c r="R197" s="30">
        <v>8</v>
      </c>
      <c r="S197" s="30">
        <v>0</v>
      </c>
    </row>
    <row r="198" spans="1:19" ht="18.600000000000001" customHeight="1">
      <c r="A198" s="25" t="s">
        <v>562</v>
      </c>
      <c r="B198" s="26" t="s">
        <v>260</v>
      </c>
      <c r="C198" s="41" t="s">
        <v>34</v>
      </c>
      <c r="D198" s="30">
        <v>60.79999999999999</v>
      </c>
      <c r="E198" s="32">
        <v>3.8042763157894739</v>
      </c>
      <c r="F198" s="32">
        <v>1.3273026315789476</v>
      </c>
      <c r="G198" s="30">
        <v>70.100000000000009</v>
      </c>
      <c r="H198" s="30">
        <v>3.3000000000000003</v>
      </c>
      <c r="I198" s="30">
        <v>16</v>
      </c>
      <c r="J198" s="30">
        <v>25.7</v>
      </c>
      <c r="K198" s="30">
        <v>53.133333333333333</v>
      </c>
      <c r="L198" s="30">
        <v>27.566666666666666</v>
      </c>
      <c r="M198" s="30">
        <v>6</v>
      </c>
      <c r="N198" s="30">
        <v>63.933333333333337</v>
      </c>
      <c r="O198" s="30">
        <v>0</v>
      </c>
      <c r="P198" s="30">
        <v>3.3000000000000003</v>
      </c>
      <c r="Q198" s="30">
        <v>0</v>
      </c>
      <c r="R198" s="30">
        <v>5.5</v>
      </c>
      <c r="S198" s="30">
        <v>7</v>
      </c>
    </row>
    <row r="199" spans="1:19" ht="18.600000000000001" customHeight="1">
      <c r="A199" s="25" t="s">
        <v>516</v>
      </c>
      <c r="B199" s="26" t="s">
        <v>116</v>
      </c>
      <c r="C199" s="41" t="s">
        <v>34</v>
      </c>
      <c r="D199" s="30">
        <v>63.5</v>
      </c>
      <c r="E199" s="32">
        <v>3.5338582677165356</v>
      </c>
      <c r="F199" s="32">
        <v>1.2950131233595801</v>
      </c>
      <c r="G199" s="30">
        <v>63.300000000000004</v>
      </c>
      <c r="H199" s="30">
        <v>3.4333333333333336</v>
      </c>
      <c r="I199" s="30">
        <v>13.666666666666666</v>
      </c>
      <c r="J199" s="30">
        <v>24.933333333333334</v>
      </c>
      <c r="K199" s="30">
        <v>58.533333333333331</v>
      </c>
      <c r="L199" s="30">
        <v>23.7</v>
      </c>
      <c r="M199" s="30">
        <v>7</v>
      </c>
      <c r="N199" s="30">
        <v>60.933333333333337</v>
      </c>
      <c r="O199" s="30">
        <v>0.33333333333333331</v>
      </c>
      <c r="P199" s="30">
        <v>3.3333333333333335</v>
      </c>
      <c r="Q199" s="30">
        <v>0</v>
      </c>
      <c r="R199" s="30">
        <v>12.5</v>
      </c>
      <c r="S199" s="30">
        <v>3</v>
      </c>
    </row>
    <row r="200" spans="1:19" ht="18.600000000000001" customHeight="1">
      <c r="A200" s="25" t="s">
        <v>517</v>
      </c>
      <c r="B200" s="26" t="s">
        <v>79</v>
      </c>
      <c r="C200" s="41" t="s">
        <v>34</v>
      </c>
      <c r="D200" s="30">
        <v>63.29999999999999</v>
      </c>
      <c r="E200" s="32">
        <v>3.75829383886256</v>
      </c>
      <c r="F200" s="32">
        <v>1.1779884149552398</v>
      </c>
      <c r="G200" s="30">
        <v>75.36666666666666</v>
      </c>
      <c r="H200" s="30">
        <v>4.0333333333333332</v>
      </c>
      <c r="I200" s="30">
        <v>4.666666666666667</v>
      </c>
      <c r="J200" s="30">
        <v>26.433333333333334</v>
      </c>
      <c r="K200" s="30">
        <v>52.233333333333327</v>
      </c>
      <c r="L200" s="30">
        <v>22.333333333333332</v>
      </c>
      <c r="M200" s="30">
        <v>8</v>
      </c>
      <c r="N200" s="30">
        <v>67.266666666666666</v>
      </c>
      <c r="O200" s="30">
        <v>0</v>
      </c>
      <c r="P200" s="30">
        <v>3.5333333333333332</v>
      </c>
      <c r="Q200" s="30">
        <v>0</v>
      </c>
      <c r="R200" s="30">
        <v>18.5</v>
      </c>
      <c r="S200" s="30">
        <v>1</v>
      </c>
    </row>
    <row r="201" spans="1:19" ht="18.600000000000001" customHeight="1">
      <c r="A201" s="25" t="s">
        <v>561</v>
      </c>
      <c r="B201" s="26" t="s">
        <v>309</v>
      </c>
      <c r="C201" s="41" t="s">
        <v>34</v>
      </c>
      <c r="D201" s="30">
        <v>65.866666666666674</v>
      </c>
      <c r="E201" s="32">
        <v>3.6938259109311735</v>
      </c>
      <c r="F201" s="32">
        <v>1.3031376518218623</v>
      </c>
      <c r="G201" s="30">
        <v>69.333333333333329</v>
      </c>
      <c r="H201" s="30">
        <v>3.7333333333333329</v>
      </c>
      <c r="I201" s="30">
        <v>12</v>
      </c>
      <c r="J201" s="30">
        <v>27.033333333333331</v>
      </c>
      <c r="K201" s="30">
        <v>59.266666666666673</v>
      </c>
      <c r="L201" s="30">
        <v>26.566666666666666</v>
      </c>
      <c r="M201" s="30">
        <v>7</v>
      </c>
      <c r="N201" s="30">
        <v>65.933333333333337</v>
      </c>
      <c r="O201" s="30">
        <v>0</v>
      </c>
      <c r="P201" s="30">
        <v>3.6999999999999997</v>
      </c>
      <c r="Q201" s="30">
        <v>0</v>
      </c>
      <c r="R201" s="30">
        <v>14.5</v>
      </c>
      <c r="S201" s="30">
        <v>4</v>
      </c>
    </row>
    <row r="202" spans="1:19" ht="18.600000000000001" customHeight="1">
      <c r="A202" s="25" t="s">
        <v>443</v>
      </c>
      <c r="B202" s="26" t="s">
        <v>95</v>
      </c>
      <c r="C202" s="41" t="s">
        <v>34</v>
      </c>
      <c r="D202" s="30">
        <v>55.733333333333327</v>
      </c>
      <c r="E202" s="32">
        <v>3.2996411483253594</v>
      </c>
      <c r="F202" s="32">
        <v>1.0813397129186606</v>
      </c>
      <c r="G202" s="30">
        <v>63.466666666666669</v>
      </c>
      <c r="H202" s="30">
        <v>3.0333333333333332</v>
      </c>
      <c r="I202" s="30">
        <v>1.6666666666666667</v>
      </c>
      <c r="J202" s="30">
        <v>20.433333333333334</v>
      </c>
      <c r="K202" s="30">
        <v>47.300000000000004</v>
      </c>
      <c r="L202" s="30">
        <v>12.966666666666667</v>
      </c>
      <c r="M202" s="30">
        <v>10</v>
      </c>
      <c r="N202" s="30">
        <v>57.6</v>
      </c>
      <c r="O202" s="30">
        <v>1.3333333333333333</v>
      </c>
      <c r="P202" s="30">
        <v>2.5333333333333332</v>
      </c>
      <c r="Q202" s="30">
        <v>0</v>
      </c>
      <c r="R202" s="30">
        <v>14</v>
      </c>
      <c r="S202" s="30">
        <v>0</v>
      </c>
    </row>
    <row r="203" spans="1:19" ht="18.600000000000001" customHeight="1">
      <c r="A203" s="25" t="s">
        <v>499</v>
      </c>
      <c r="B203" s="26" t="s">
        <v>82</v>
      </c>
      <c r="C203" s="41" t="s">
        <v>34</v>
      </c>
      <c r="D203" s="30">
        <v>53.133333333333326</v>
      </c>
      <c r="E203" s="32">
        <v>3.2296110414052701</v>
      </c>
      <c r="F203" s="32">
        <v>1.1982434127979926</v>
      </c>
      <c r="G203" s="30">
        <v>71.7</v>
      </c>
      <c r="H203" s="30">
        <v>3.4</v>
      </c>
      <c r="I203" s="30">
        <v>2.6666666666666665</v>
      </c>
      <c r="J203" s="30">
        <v>19.066666666666666</v>
      </c>
      <c r="K203" s="30">
        <v>39.199999999999996</v>
      </c>
      <c r="L203" s="30">
        <v>24.466666666666669</v>
      </c>
      <c r="M203" s="30">
        <v>8</v>
      </c>
      <c r="N203" s="30">
        <v>57.6</v>
      </c>
      <c r="O203" s="30">
        <v>0</v>
      </c>
      <c r="P203" s="30">
        <v>1.8333333333333333</v>
      </c>
      <c r="Q203" s="30">
        <v>0</v>
      </c>
      <c r="R203" s="30">
        <v>15.5</v>
      </c>
      <c r="S203" s="30">
        <v>3</v>
      </c>
    </row>
    <row r="204" spans="1:19" ht="18.600000000000001" customHeight="1">
      <c r="A204" s="25" t="s">
        <v>510</v>
      </c>
      <c r="B204" s="26" t="s">
        <v>97</v>
      </c>
      <c r="C204" s="41" t="s">
        <v>34</v>
      </c>
      <c r="D204" s="30">
        <v>63.699999999999996</v>
      </c>
      <c r="E204" s="32">
        <v>3.4521193092621667</v>
      </c>
      <c r="F204" s="32">
        <v>1.2197802197802199</v>
      </c>
      <c r="G204" s="30">
        <v>74.266666666666666</v>
      </c>
      <c r="H204" s="30">
        <v>4.7666666666666666</v>
      </c>
      <c r="I204" s="30">
        <v>2.6666666666666665</v>
      </c>
      <c r="J204" s="30">
        <v>24.433333333333334</v>
      </c>
      <c r="K204" s="30">
        <v>53.4</v>
      </c>
      <c r="L204" s="30">
        <v>24.3</v>
      </c>
      <c r="M204" s="30">
        <v>7</v>
      </c>
      <c r="N204" s="30">
        <v>66.600000000000009</v>
      </c>
      <c r="O204" s="30">
        <v>0</v>
      </c>
      <c r="P204" s="30">
        <v>3.3666666666666667</v>
      </c>
      <c r="Q204" s="30">
        <v>0</v>
      </c>
      <c r="R204" s="30">
        <v>18.5</v>
      </c>
      <c r="S204" s="30">
        <v>1</v>
      </c>
    </row>
    <row r="205" spans="1:19" ht="18.600000000000001" customHeight="1">
      <c r="A205" s="25" t="s">
        <v>497</v>
      </c>
      <c r="B205" s="26" t="s">
        <v>158</v>
      </c>
      <c r="C205" s="41" t="s">
        <v>34</v>
      </c>
      <c r="D205" s="30">
        <v>59.433333333333337</v>
      </c>
      <c r="E205" s="32">
        <v>3.3264161525518787</v>
      </c>
      <c r="F205" s="32">
        <v>1.1716208637128434</v>
      </c>
      <c r="G205" s="30">
        <v>72.5</v>
      </c>
      <c r="H205" s="30">
        <v>4.0333333333333332</v>
      </c>
      <c r="I205" s="30">
        <v>0.66666666666666663</v>
      </c>
      <c r="J205" s="30">
        <v>21.966666666666669</v>
      </c>
      <c r="K205" s="30">
        <v>50.133333333333333</v>
      </c>
      <c r="L205" s="30">
        <v>19.5</v>
      </c>
      <c r="M205" s="30">
        <v>8</v>
      </c>
      <c r="N205" s="30">
        <v>61.933333333333337</v>
      </c>
      <c r="O205" s="30">
        <v>0</v>
      </c>
      <c r="P205" s="30">
        <v>2.5333333333333332</v>
      </c>
      <c r="Q205" s="30">
        <v>0</v>
      </c>
      <c r="R205" s="30">
        <v>16</v>
      </c>
      <c r="S205" s="30">
        <v>4</v>
      </c>
    </row>
    <row r="206" spans="1:19" ht="18.600000000000001" customHeight="1">
      <c r="A206" s="25" t="s">
        <v>484</v>
      </c>
      <c r="B206" s="26" t="s">
        <v>72</v>
      </c>
      <c r="C206" s="41" t="s">
        <v>34</v>
      </c>
      <c r="D206" s="30">
        <v>57.1</v>
      </c>
      <c r="E206" s="32">
        <v>3.5043782837127848</v>
      </c>
      <c r="F206" s="32">
        <v>1.1868067717454758</v>
      </c>
      <c r="G206" s="30">
        <v>58.666666666666664</v>
      </c>
      <c r="H206" s="30">
        <v>4.6333333333333337</v>
      </c>
      <c r="I206" s="30">
        <v>6.333333333333333</v>
      </c>
      <c r="J206" s="30">
        <v>22.233333333333334</v>
      </c>
      <c r="K206" s="30">
        <v>45.866666666666667</v>
      </c>
      <c r="L206" s="30">
        <v>21.900000000000002</v>
      </c>
      <c r="M206" s="30">
        <v>7</v>
      </c>
      <c r="N206" s="30">
        <v>61.266666666666673</v>
      </c>
      <c r="O206" s="30">
        <v>0</v>
      </c>
      <c r="P206" s="30">
        <v>2.6</v>
      </c>
      <c r="Q206" s="30">
        <v>0</v>
      </c>
      <c r="R206" s="30">
        <v>14.5</v>
      </c>
      <c r="S206" s="30">
        <v>3</v>
      </c>
    </row>
    <row r="207" spans="1:19" ht="18.600000000000001" customHeight="1">
      <c r="A207" s="25" t="s">
        <v>533</v>
      </c>
      <c r="B207" s="26" t="s">
        <v>97</v>
      </c>
      <c r="C207" s="41" t="s">
        <v>34</v>
      </c>
      <c r="D207" s="30">
        <v>57.266666666666673</v>
      </c>
      <c r="E207" s="32">
        <v>3.3370197904540162</v>
      </c>
      <c r="F207" s="32">
        <v>1.2514551804423748</v>
      </c>
      <c r="G207" s="30">
        <v>69.63333333333334</v>
      </c>
      <c r="H207" s="30">
        <v>3.1999999999999997</v>
      </c>
      <c r="I207" s="30">
        <v>6</v>
      </c>
      <c r="J207" s="30">
        <v>21.233333333333334</v>
      </c>
      <c r="K207" s="30">
        <v>44.300000000000004</v>
      </c>
      <c r="L207" s="30">
        <v>27.366666666666664</v>
      </c>
      <c r="M207" s="30">
        <v>7</v>
      </c>
      <c r="N207" s="30">
        <v>54.266666666666673</v>
      </c>
      <c r="O207" s="30">
        <v>0</v>
      </c>
      <c r="P207" s="30">
        <v>2.8000000000000003</v>
      </c>
      <c r="Q207" s="30">
        <v>0</v>
      </c>
      <c r="R207" s="30">
        <v>11</v>
      </c>
      <c r="S207" s="30">
        <v>1</v>
      </c>
    </row>
    <row r="208" spans="1:19" ht="18.600000000000001" customHeight="1">
      <c r="A208" s="25" t="s">
        <v>531</v>
      </c>
      <c r="B208" s="26" t="s">
        <v>92</v>
      </c>
      <c r="C208" s="41" t="s">
        <v>34</v>
      </c>
      <c r="D208" s="30">
        <v>53.433333333333337</v>
      </c>
      <c r="E208" s="32">
        <v>3.5202744853399879</v>
      </c>
      <c r="F208" s="32">
        <v>1.2676232064878352</v>
      </c>
      <c r="G208" s="30">
        <v>61.933333333333337</v>
      </c>
      <c r="H208" s="30">
        <v>3.8000000000000003</v>
      </c>
      <c r="I208" s="30">
        <v>10</v>
      </c>
      <c r="J208" s="30">
        <v>20.900000000000002</v>
      </c>
      <c r="K208" s="30">
        <v>44.4</v>
      </c>
      <c r="L208" s="30">
        <v>23.333333333333332</v>
      </c>
      <c r="M208" s="30">
        <v>7</v>
      </c>
      <c r="N208" s="30">
        <v>56.266666666666673</v>
      </c>
      <c r="O208" s="30">
        <v>0</v>
      </c>
      <c r="P208" s="30">
        <v>3</v>
      </c>
      <c r="Q208" s="30">
        <v>0</v>
      </c>
      <c r="R208" s="30">
        <v>11.5</v>
      </c>
      <c r="S208" s="30">
        <v>2</v>
      </c>
    </row>
    <row r="209" spans="1:19" ht="18.600000000000001" customHeight="1">
      <c r="A209" s="25" t="s">
        <v>530</v>
      </c>
      <c r="B209" s="26" t="s">
        <v>79</v>
      </c>
      <c r="C209" s="41" t="s">
        <v>34</v>
      </c>
      <c r="D209" s="30">
        <v>62.366666666666667</v>
      </c>
      <c r="E209" s="32">
        <v>3.636557990379476</v>
      </c>
      <c r="F209" s="32">
        <v>1.2169962586851952</v>
      </c>
      <c r="G209" s="30">
        <v>63.666666666666664</v>
      </c>
      <c r="H209" s="30">
        <v>3.4666666666666668</v>
      </c>
      <c r="I209" s="30">
        <v>8.3333333333333339</v>
      </c>
      <c r="J209" s="30">
        <v>25.2</v>
      </c>
      <c r="K209" s="30">
        <v>54.9</v>
      </c>
      <c r="L209" s="30">
        <v>21</v>
      </c>
      <c r="M209" s="30">
        <v>7</v>
      </c>
      <c r="N209" s="30">
        <v>61.266666666666673</v>
      </c>
      <c r="O209" s="30">
        <v>0</v>
      </c>
      <c r="P209" s="30">
        <v>2.9666666666666668</v>
      </c>
      <c r="Q209" s="30">
        <v>0</v>
      </c>
      <c r="R209" s="30">
        <v>16</v>
      </c>
      <c r="S209" s="30">
        <v>3</v>
      </c>
    </row>
    <row r="210" spans="1:19" ht="18.600000000000001" customHeight="1">
      <c r="A210" s="25" t="s">
        <v>526</v>
      </c>
      <c r="B210" s="26" t="s">
        <v>105</v>
      </c>
      <c r="C210" s="41" t="s">
        <v>34</v>
      </c>
      <c r="D210" s="30">
        <v>68.266666666666666</v>
      </c>
      <c r="E210" s="32">
        <v>3.4453125000000004</v>
      </c>
      <c r="F210" s="32">
        <v>1.2080078125</v>
      </c>
      <c r="G210" s="30">
        <v>72.233333333333334</v>
      </c>
      <c r="H210" s="30">
        <v>4.1333333333333337</v>
      </c>
      <c r="I210" s="30">
        <v>2.3333333333333335</v>
      </c>
      <c r="J210" s="30">
        <v>26.133333333333336</v>
      </c>
      <c r="K210" s="30">
        <v>58.433333333333337</v>
      </c>
      <c r="L210" s="30">
        <v>24.033333333333331</v>
      </c>
      <c r="M210" s="30">
        <v>8</v>
      </c>
      <c r="N210" s="30">
        <v>38.133333333333333</v>
      </c>
      <c r="O210" s="30">
        <v>6.3</v>
      </c>
      <c r="P210" s="30">
        <v>3.6999999999999997</v>
      </c>
      <c r="Q210" s="30">
        <v>2</v>
      </c>
      <c r="R210" s="30">
        <v>5.5</v>
      </c>
      <c r="S210" s="30">
        <v>2</v>
      </c>
    </row>
    <row r="211" spans="1:19" ht="18.600000000000001" customHeight="1">
      <c r="A211" s="25" t="s">
        <v>580</v>
      </c>
      <c r="B211" s="26" t="s">
        <v>77</v>
      </c>
      <c r="C211" s="41" t="s">
        <v>34</v>
      </c>
      <c r="D211" s="30">
        <v>69.899999999999991</v>
      </c>
      <c r="E211" s="32">
        <v>3.5836909871244638</v>
      </c>
      <c r="F211" s="32">
        <v>1.2618025751072961</v>
      </c>
      <c r="G211" s="30">
        <v>83.466666666666669</v>
      </c>
      <c r="H211" s="30">
        <v>3.8000000000000003</v>
      </c>
      <c r="I211" s="30">
        <v>2.3333333333333335</v>
      </c>
      <c r="J211" s="30">
        <v>27.833333333333332</v>
      </c>
      <c r="K211" s="30">
        <v>62.199999999999996</v>
      </c>
      <c r="L211" s="30">
        <v>26</v>
      </c>
      <c r="M211" s="30">
        <v>7</v>
      </c>
      <c r="N211" s="30">
        <v>63.266666666666673</v>
      </c>
      <c r="O211" s="30">
        <v>0.33333333333333331</v>
      </c>
      <c r="P211" s="30">
        <v>2.9666666666666668</v>
      </c>
      <c r="Q211" s="30">
        <v>0</v>
      </c>
      <c r="R211" s="30">
        <v>15.5</v>
      </c>
      <c r="S211" s="30">
        <v>0</v>
      </c>
    </row>
    <row r="212" spans="1:19" ht="18.600000000000001" customHeight="1">
      <c r="A212" s="25" t="s">
        <v>551</v>
      </c>
      <c r="B212" s="26" t="s">
        <v>79</v>
      </c>
      <c r="C212" s="41" t="s">
        <v>34</v>
      </c>
      <c r="D212" s="30">
        <v>60.033333333333331</v>
      </c>
      <c r="E212" s="32">
        <v>3.1382565241532485</v>
      </c>
      <c r="F212" s="32">
        <v>1.2709605774569686</v>
      </c>
      <c r="G212" s="30">
        <v>76.533333333333331</v>
      </c>
      <c r="H212" s="30">
        <v>3.6333333333333333</v>
      </c>
      <c r="I212" s="30">
        <v>1.3333333333333333</v>
      </c>
      <c r="J212" s="30">
        <v>20.933333333333334</v>
      </c>
      <c r="K212" s="30">
        <v>48.333333333333336</v>
      </c>
      <c r="L212" s="30">
        <v>27.966666666666669</v>
      </c>
      <c r="M212" s="30">
        <v>6</v>
      </c>
      <c r="N212" s="30">
        <v>55.6</v>
      </c>
      <c r="O212" s="30">
        <v>0</v>
      </c>
      <c r="P212" s="30">
        <v>2.0333333333333332</v>
      </c>
      <c r="Q212" s="30">
        <v>0</v>
      </c>
      <c r="R212" s="30">
        <v>10.5</v>
      </c>
      <c r="S212" s="30">
        <v>0</v>
      </c>
    </row>
    <row r="213" spans="1:19" ht="18.600000000000001" customHeight="1">
      <c r="A213" s="25" t="s">
        <v>482</v>
      </c>
      <c r="B213" s="26" t="s">
        <v>105</v>
      </c>
      <c r="C213" s="41" t="s">
        <v>34</v>
      </c>
      <c r="D213" s="30">
        <v>55.433333333333337</v>
      </c>
      <c r="E213" s="32">
        <v>3.3607937462417312</v>
      </c>
      <c r="F213" s="32">
        <v>1.1088394467829223</v>
      </c>
      <c r="G213" s="30">
        <v>60.633333333333333</v>
      </c>
      <c r="H213" s="30">
        <v>3.0333333333333332</v>
      </c>
      <c r="I213" s="30">
        <v>2</v>
      </c>
      <c r="J213" s="30">
        <v>20.7</v>
      </c>
      <c r="K213" s="30">
        <v>52.333333333333336</v>
      </c>
      <c r="L213" s="30">
        <v>9.1333333333333329</v>
      </c>
      <c r="M213" s="30">
        <v>7</v>
      </c>
      <c r="N213" s="30">
        <v>59.933333333333337</v>
      </c>
      <c r="O213" s="30">
        <v>0</v>
      </c>
      <c r="P213" s="30">
        <v>2.5333333333333332</v>
      </c>
      <c r="Q213" s="30">
        <v>0</v>
      </c>
      <c r="R213" s="30">
        <v>14</v>
      </c>
      <c r="S213" s="30">
        <v>1</v>
      </c>
    </row>
    <row r="214" spans="1:19" ht="18.600000000000001" customHeight="1">
      <c r="A214" s="25" t="s">
        <v>543</v>
      </c>
      <c r="B214" s="26" t="s">
        <v>136</v>
      </c>
      <c r="C214" s="41" t="s">
        <v>34</v>
      </c>
      <c r="D214" s="30">
        <v>61.066666666666663</v>
      </c>
      <c r="E214" s="32">
        <v>3.5505786026200874</v>
      </c>
      <c r="F214" s="32">
        <v>1.2783842794759825</v>
      </c>
      <c r="G214" s="30">
        <v>53.566666666666663</v>
      </c>
      <c r="H214" s="30">
        <v>3.0333333333333332</v>
      </c>
      <c r="I214" s="30">
        <v>13.333333333333334</v>
      </c>
      <c r="J214" s="30">
        <v>24.091333333333335</v>
      </c>
      <c r="K214" s="30">
        <v>58.9</v>
      </c>
      <c r="L214" s="30">
        <v>19.166666666666668</v>
      </c>
      <c r="M214" s="30">
        <v>7</v>
      </c>
      <c r="N214" s="30">
        <v>63.6</v>
      </c>
      <c r="O214" s="30">
        <v>0</v>
      </c>
      <c r="P214" s="30">
        <v>3.4333333333333336</v>
      </c>
      <c r="Q214" s="30">
        <v>0</v>
      </c>
      <c r="R214" s="30">
        <v>10.5</v>
      </c>
      <c r="S214" s="30">
        <v>8</v>
      </c>
    </row>
    <row r="215" spans="1:19" ht="18.600000000000001" customHeight="1">
      <c r="A215" s="25" t="s">
        <v>540</v>
      </c>
      <c r="B215" s="26" t="s">
        <v>142</v>
      </c>
      <c r="C215" s="41" t="s">
        <v>34</v>
      </c>
      <c r="D215" s="30">
        <v>57.199999999999996</v>
      </c>
      <c r="E215" s="32">
        <v>3.6818181818181825</v>
      </c>
      <c r="F215" s="32">
        <v>1.1923076923076925</v>
      </c>
      <c r="G215" s="30">
        <v>63.266666666666673</v>
      </c>
      <c r="H215" s="30">
        <v>3</v>
      </c>
      <c r="I215" s="30">
        <v>7.333333333333333</v>
      </c>
      <c r="J215" s="30">
        <v>23.400000000000002</v>
      </c>
      <c r="K215" s="30">
        <v>48.833333333333336</v>
      </c>
      <c r="L215" s="30">
        <v>19.366666666666667</v>
      </c>
      <c r="M215" s="30">
        <v>8</v>
      </c>
      <c r="N215" s="30">
        <v>58.266666666666673</v>
      </c>
      <c r="O215" s="30">
        <v>0</v>
      </c>
      <c r="P215" s="30">
        <v>2.4333333333333331</v>
      </c>
      <c r="Q215" s="30">
        <v>0</v>
      </c>
      <c r="R215" s="30">
        <v>15.5</v>
      </c>
      <c r="S215" s="30">
        <v>7</v>
      </c>
    </row>
    <row r="216" spans="1:19" ht="18.600000000000001" customHeight="1">
      <c r="A216" s="25" t="s">
        <v>519</v>
      </c>
      <c r="B216" s="26" t="s">
        <v>69</v>
      </c>
      <c r="C216" s="41" t="s">
        <v>34</v>
      </c>
      <c r="D216" s="30">
        <v>57.933333333333337</v>
      </c>
      <c r="E216" s="32">
        <v>3.1329113924050631</v>
      </c>
      <c r="F216" s="32">
        <v>1.1720368239355581</v>
      </c>
      <c r="G216" s="30">
        <v>70.13333333333334</v>
      </c>
      <c r="H216" s="30">
        <v>2.1333333333333333</v>
      </c>
      <c r="I216" s="30">
        <v>0.33333333333333331</v>
      </c>
      <c r="J216" s="30">
        <v>20.166666666666668</v>
      </c>
      <c r="K216" s="30">
        <v>40.300000000000004</v>
      </c>
      <c r="L216" s="30">
        <v>27.599999999999998</v>
      </c>
      <c r="M216" s="30">
        <v>7</v>
      </c>
      <c r="N216" s="30">
        <v>54.300000000000004</v>
      </c>
      <c r="O216" s="30">
        <v>0</v>
      </c>
      <c r="P216" s="30">
        <v>1.7</v>
      </c>
      <c r="Q216" s="30">
        <v>0</v>
      </c>
      <c r="R216" s="30">
        <v>11</v>
      </c>
      <c r="S216" s="30">
        <v>1</v>
      </c>
    </row>
    <row r="217" spans="1:19" ht="18.600000000000001" customHeight="1">
      <c r="A217" s="25" t="s">
        <v>535</v>
      </c>
      <c r="B217" s="26" t="s">
        <v>87</v>
      </c>
      <c r="C217" s="41" t="s">
        <v>34</v>
      </c>
      <c r="D217" s="30">
        <v>69</v>
      </c>
      <c r="E217" s="32">
        <v>3.4434782608695658</v>
      </c>
      <c r="F217" s="32">
        <v>1.1971014492753622</v>
      </c>
      <c r="G217" s="30">
        <v>71.233333333333334</v>
      </c>
      <c r="H217" s="30">
        <v>4.2333333333333334</v>
      </c>
      <c r="I217" s="30">
        <v>0.66666666666666663</v>
      </c>
      <c r="J217" s="30">
        <v>26.400000000000002</v>
      </c>
      <c r="K217" s="30">
        <v>59.699999999999996</v>
      </c>
      <c r="L217" s="30">
        <v>22.900000000000002</v>
      </c>
      <c r="M217" s="30">
        <v>8</v>
      </c>
      <c r="N217" s="30">
        <v>51.6</v>
      </c>
      <c r="O217" s="30">
        <v>1.6666666666666667</v>
      </c>
      <c r="P217" s="30">
        <v>3.7666666666666671</v>
      </c>
      <c r="Q217" s="30">
        <v>0</v>
      </c>
      <c r="R217" s="30">
        <v>12</v>
      </c>
      <c r="S217" s="30">
        <v>0</v>
      </c>
    </row>
    <row r="218" spans="1:19" ht="18.600000000000001" customHeight="1">
      <c r="A218" s="25" t="s">
        <v>618</v>
      </c>
      <c r="B218" s="26" t="s">
        <v>92</v>
      </c>
      <c r="C218" s="41" t="s">
        <v>34</v>
      </c>
      <c r="D218" s="30">
        <v>61.966666666666661</v>
      </c>
      <c r="E218" s="32">
        <v>3.5777299623453476</v>
      </c>
      <c r="F218" s="32">
        <v>1.3566433566433569</v>
      </c>
      <c r="G218" s="30">
        <v>68.600000000000009</v>
      </c>
      <c r="H218" s="30">
        <v>2.8000000000000003</v>
      </c>
      <c r="I218" s="30">
        <v>11.333333333333334</v>
      </c>
      <c r="J218" s="30">
        <v>24.633333333333336</v>
      </c>
      <c r="K218" s="30">
        <v>51.266666666666673</v>
      </c>
      <c r="L218" s="30">
        <v>32.800000000000004</v>
      </c>
      <c r="M218" s="30">
        <v>7</v>
      </c>
      <c r="N218" s="30">
        <v>62.6</v>
      </c>
      <c r="O218" s="30">
        <v>0</v>
      </c>
      <c r="P218" s="30">
        <v>4.333333333333333</v>
      </c>
      <c r="Q218" s="30">
        <v>0</v>
      </c>
      <c r="R218" s="30">
        <v>15.5</v>
      </c>
      <c r="S218" s="30">
        <v>3</v>
      </c>
    </row>
    <row r="219" spans="1:19" ht="18.600000000000001" customHeight="1">
      <c r="A219" s="25" t="s">
        <v>576</v>
      </c>
      <c r="B219" s="26" t="s">
        <v>92</v>
      </c>
      <c r="C219" s="41" t="s">
        <v>34</v>
      </c>
      <c r="D219" s="30">
        <v>54.333333333333336</v>
      </c>
      <c r="E219" s="32">
        <v>3.301840490797546</v>
      </c>
      <c r="F219" s="32">
        <v>1.3079754601226992</v>
      </c>
      <c r="G219" s="30">
        <v>75.666666666666671</v>
      </c>
      <c r="H219" s="30">
        <v>4.1000000000000005</v>
      </c>
      <c r="I219" s="30">
        <v>2.6666666666666665</v>
      </c>
      <c r="J219" s="30">
        <v>19.933333333333334</v>
      </c>
      <c r="K219" s="30">
        <v>41.366666666666667</v>
      </c>
      <c r="L219" s="30">
        <v>29.7</v>
      </c>
      <c r="M219" s="30">
        <v>5</v>
      </c>
      <c r="N219" s="30">
        <v>59.933333333333337</v>
      </c>
      <c r="O219" s="30">
        <v>0</v>
      </c>
      <c r="P219" s="30">
        <v>1.8</v>
      </c>
      <c r="Q219" s="30">
        <v>0</v>
      </c>
      <c r="R219" s="30">
        <v>18</v>
      </c>
      <c r="S219" s="30">
        <v>1</v>
      </c>
    </row>
    <row r="220" spans="1:19" ht="18.600000000000001" customHeight="1">
      <c r="A220" s="25" t="s">
        <v>521</v>
      </c>
      <c r="B220" s="26" t="s">
        <v>69</v>
      </c>
      <c r="C220" s="41" t="s">
        <v>34</v>
      </c>
      <c r="D220" s="30">
        <v>58.233333333333327</v>
      </c>
      <c r="E220" s="32">
        <v>3.3949627933600466</v>
      </c>
      <c r="F220" s="32">
        <v>1.1785918717801946</v>
      </c>
      <c r="G220" s="30">
        <v>65.36666666666666</v>
      </c>
      <c r="H220" s="30">
        <v>3.6999999999999997</v>
      </c>
      <c r="I220" s="30">
        <v>1.6666666666666667</v>
      </c>
      <c r="J220" s="30">
        <v>21.966666666666669</v>
      </c>
      <c r="K220" s="30">
        <v>49.199999999999996</v>
      </c>
      <c r="L220" s="30">
        <v>19.433333333333334</v>
      </c>
      <c r="M220" s="30">
        <v>7</v>
      </c>
      <c r="N220" s="30">
        <v>42.166666666666664</v>
      </c>
      <c r="O220" s="30">
        <v>1.3333333333333333</v>
      </c>
      <c r="P220" s="30">
        <v>3.1333333333333333</v>
      </c>
      <c r="Q220" s="30">
        <v>0</v>
      </c>
      <c r="R220" s="30">
        <v>12</v>
      </c>
      <c r="S220" s="30">
        <v>0</v>
      </c>
    </row>
    <row r="221" spans="1:19" ht="18.600000000000001" customHeight="1">
      <c r="A221" s="25" t="s">
        <v>509</v>
      </c>
      <c r="B221" s="26" t="s">
        <v>116</v>
      </c>
      <c r="C221" s="41" t="s">
        <v>34</v>
      </c>
      <c r="D221" s="30">
        <v>63.066666666666663</v>
      </c>
      <c r="E221" s="32">
        <v>3.677061310782241</v>
      </c>
      <c r="F221" s="32">
        <v>1.1199788583509513</v>
      </c>
      <c r="G221" s="30">
        <v>62.766666666666673</v>
      </c>
      <c r="H221" s="30">
        <v>4.1333333333333337</v>
      </c>
      <c r="I221" s="30">
        <v>1.6666666666666667</v>
      </c>
      <c r="J221" s="30">
        <v>25.766666666666666</v>
      </c>
      <c r="K221" s="30">
        <v>54.366666666666667</v>
      </c>
      <c r="L221" s="30">
        <v>16.266666666666666</v>
      </c>
      <c r="M221" s="30">
        <v>9</v>
      </c>
      <c r="N221" s="30">
        <v>52.266666666666673</v>
      </c>
      <c r="O221" s="30">
        <v>2.6666666666666665</v>
      </c>
      <c r="P221" s="30">
        <v>3.6666666666666665</v>
      </c>
      <c r="Q221" s="30">
        <v>0</v>
      </c>
      <c r="R221" s="30">
        <v>10.5</v>
      </c>
      <c r="S221" s="30">
        <v>1</v>
      </c>
    </row>
    <row r="222" spans="1:19" ht="18.600000000000001" customHeight="1">
      <c r="A222" s="25" t="s">
        <v>506</v>
      </c>
      <c r="B222" s="26" t="s">
        <v>82</v>
      </c>
      <c r="C222" s="41" t="s">
        <v>34</v>
      </c>
      <c r="D222" s="30">
        <v>59.366666666666667</v>
      </c>
      <c r="E222" s="32">
        <v>3.4027175743964064</v>
      </c>
      <c r="F222" s="32">
        <v>1.1639528354856821</v>
      </c>
      <c r="G222" s="30">
        <v>53.633333333333333</v>
      </c>
      <c r="H222" s="30">
        <v>2.9666666666666668</v>
      </c>
      <c r="I222" s="30">
        <v>5.666666666666667</v>
      </c>
      <c r="J222" s="30">
        <v>22.445333333333334</v>
      </c>
      <c r="K222" s="30">
        <v>52.966666666666669</v>
      </c>
      <c r="L222" s="30">
        <v>16.133333333333333</v>
      </c>
      <c r="M222" s="30">
        <v>6</v>
      </c>
      <c r="N222" s="30">
        <v>56.933333333333337</v>
      </c>
      <c r="O222" s="30">
        <v>0.66666666666666663</v>
      </c>
      <c r="P222" s="30">
        <v>3.0333333333333332</v>
      </c>
      <c r="Q222" s="30">
        <v>0</v>
      </c>
      <c r="R222" s="30">
        <v>14.5</v>
      </c>
      <c r="S222" s="30">
        <v>2</v>
      </c>
    </row>
    <row r="223" spans="1:19" ht="18.600000000000001" customHeight="1">
      <c r="A223" s="25" t="s">
        <v>579</v>
      </c>
      <c r="B223" s="26" t="s">
        <v>103</v>
      </c>
      <c r="C223" s="41" t="s">
        <v>34</v>
      </c>
      <c r="D223" s="30">
        <v>61.1</v>
      </c>
      <c r="E223" s="32">
        <v>4.1342062193126017</v>
      </c>
      <c r="F223" s="32">
        <v>1.1669394435351881</v>
      </c>
      <c r="G223" s="30">
        <v>71.2</v>
      </c>
      <c r="H223" s="30">
        <v>3.9666666666666668</v>
      </c>
      <c r="I223" s="30">
        <v>4.666666666666667</v>
      </c>
      <c r="J223" s="30">
        <v>28.066666666666666</v>
      </c>
      <c r="K223" s="30">
        <v>47.933333333333337</v>
      </c>
      <c r="L223" s="30">
        <v>23.366666666666664</v>
      </c>
      <c r="M223" s="30">
        <v>8</v>
      </c>
      <c r="N223" s="30">
        <v>65.933333333333337</v>
      </c>
      <c r="O223" s="30">
        <v>0</v>
      </c>
      <c r="P223" s="30">
        <v>3.2666666666666671</v>
      </c>
      <c r="Q223" s="30">
        <v>0</v>
      </c>
      <c r="R223" s="30">
        <v>21.5</v>
      </c>
      <c r="S223" s="30">
        <v>2</v>
      </c>
    </row>
    <row r="224" spans="1:19" ht="18.600000000000001" customHeight="1">
      <c r="A224" s="25" t="s">
        <v>534</v>
      </c>
      <c r="B224" s="26" t="s">
        <v>122</v>
      </c>
      <c r="C224" s="41" t="s">
        <v>34</v>
      </c>
      <c r="D224" s="30">
        <v>58.266666666666673</v>
      </c>
      <c r="E224" s="32">
        <v>3.2282608695652173</v>
      </c>
      <c r="F224" s="32">
        <v>1.1905034324942791</v>
      </c>
      <c r="G224" s="30">
        <v>61.699999999999996</v>
      </c>
      <c r="H224" s="30">
        <v>2.6666666666666665</v>
      </c>
      <c r="I224" s="30">
        <v>2.3333333333333335</v>
      </c>
      <c r="J224" s="30">
        <v>20.900000000000002</v>
      </c>
      <c r="K224" s="30">
        <v>49.866666666666667</v>
      </c>
      <c r="L224" s="30">
        <v>19.5</v>
      </c>
      <c r="M224" s="30">
        <v>6</v>
      </c>
      <c r="N224" s="30">
        <v>62.933333333333337</v>
      </c>
      <c r="O224" s="30">
        <v>0</v>
      </c>
      <c r="P224" s="30">
        <v>3.2333333333333329</v>
      </c>
      <c r="Q224" s="30">
        <v>0</v>
      </c>
      <c r="R224" s="30">
        <v>18.5</v>
      </c>
      <c r="S224" s="30">
        <v>3</v>
      </c>
    </row>
    <row r="225" spans="1:19" ht="18.600000000000001" customHeight="1">
      <c r="A225" s="25" t="s">
        <v>537</v>
      </c>
      <c r="B225" s="26" t="s">
        <v>95</v>
      </c>
      <c r="C225" s="41" t="s">
        <v>34</v>
      </c>
      <c r="D225" s="30">
        <v>64.2</v>
      </c>
      <c r="E225" s="32">
        <v>3.324859813084112</v>
      </c>
      <c r="F225" s="32">
        <v>1.1936656282450673</v>
      </c>
      <c r="G225" s="30">
        <v>63.300000000000004</v>
      </c>
      <c r="H225" s="30">
        <v>3.4666666666666668</v>
      </c>
      <c r="I225" s="30">
        <v>1.6666666666666667</v>
      </c>
      <c r="J225" s="30">
        <v>23.717333333333332</v>
      </c>
      <c r="K225" s="30">
        <v>55.066666666666663</v>
      </c>
      <c r="L225" s="30">
        <v>21.566666666666666</v>
      </c>
      <c r="M225" s="30">
        <v>8</v>
      </c>
      <c r="N225" s="30">
        <v>65.933333333333337</v>
      </c>
      <c r="O225" s="30">
        <v>0</v>
      </c>
      <c r="P225" s="30">
        <v>4</v>
      </c>
      <c r="Q225" s="30">
        <v>0</v>
      </c>
      <c r="R225" s="30">
        <v>19.5</v>
      </c>
      <c r="S225" s="30">
        <v>1</v>
      </c>
    </row>
    <row r="226" spans="1:19" ht="18.600000000000001" customHeight="1">
      <c r="A226" s="25" t="s">
        <v>601</v>
      </c>
      <c r="B226" s="26" t="s">
        <v>119</v>
      </c>
      <c r="C226" s="41" t="s">
        <v>34</v>
      </c>
      <c r="D226" s="30">
        <v>45.733333333333327</v>
      </c>
      <c r="E226" s="32">
        <v>3.6209912536443158</v>
      </c>
      <c r="F226" s="32">
        <v>1.3104956268221575</v>
      </c>
      <c r="G226" s="30">
        <v>60.266666666666673</v>
      </c>
      <c r="H226" s="30">
        <v>3.1333333333333333</v>
      </c>
      <c r="I226" s="30">
        <v>10.666666666666666</v>
      </c>
      <c r="J226" s="30">
        <v>18.400000000000002</v>
      </c>
      <c r="K226" s="30">
        <v>32.93333333333333</v>
      </c>
      <c r="L226" s="30">
        <v>27</v>
      </c>
      <c r="M226" s="30">
        <v>6</v>
      </c>
      <c r="N226" s="30">
        <v>53.233333333333327</v>
      </c>
      <c r="O226" s="30">
        <v>0</v>
      </c>
      <c r="P226" s="30">
        <v>3.0333333333333332</v>
      </c>
      <c r="Q226" s="30">
        <v>0</v>
      </c>
      <c r="R226" s="30">
        <v>7.5</v>
      </c>
      <c r="S226" s="30">
        <v>0</v>
      </c>
    </row>
    <row r="227" spans="1:19" ht="18.600000000000001" customHeight="1">
      <c r="A227" s="25" t="s">
        <v>588</v>
      </c>
      <c r="B227" s="26" t="s">
        <v>309</v>
      </c>
      <c r="C227" s="41" t="s">
        <v>34</v>
      </c>
      <c r="D227" s="30">
        <v>60.2</v>
      </c>
      <c r="E227" s="32">
        <v>3.6478405315614615</v>
      </c>
      <c r="F227" s="32">
        <v>1.2308970099667773</v>
      </c>
      <c r="G227" s="30">
        <v>65.3</v>
      </c>
      <c r="H227" s="30">
        <v>2.6</v>
      </c>
      <c r="I227" s="30">
        <v>6</v>
      </c>
      <c r="J227" s="30">
        <v>24.4</v>
      </c>
      <c r="K227" s="30">
        <v>52.8</v>
      </c>
      <c r="L227" s="30">
        <v>21.3</v>
      </c>
      <c r="M227" s="30">
        <v>7</v>
      </c>
      <c r="N227" s="30">
        <v>61.9</v>
      </c>
      <c r="O227" s="30">
        <v>0</v>
      </c>
      <c r="P227" s="30">
        <v>3.05</v>
      </c>
      <c r="Q227" s="30">
        <v>0</v>
      </c>
      <c r="R227" s="30">
        <v>17</v>
      </c>
      <c r="S227" s="30">
        <v>1</v>
      </c>
    </row>
    <row r="228" spans="1:19" ht="18.600000000000001" customHeight="1">
      <c r="A228" s="25" t="s">
        <v>606</v>
      </c>
      <c r="B228" s="26" t="s">
        <v>103</v>
      </c>
      <c r="C228" s="41" t="s">
        <v>34</v>
      </c>
      <c r="D228" s="30">
        <v>71.666666666666671</v>
      </c>
      <c r="E228" s="32">
        <v>3.4786046511627902</v>
      </c>
      <c r="F228" s="32">
        <v>1.2716279069767442</v>
      </c>
      <c r="G228" s="30">
        <v>76.333333333333329</v>
      </c>
      <c r="H228" s="30">
        <v>3.6</v>
      </c>
      <c r="I228" s="30">
        <v>1.3333333333333333</v>
      </c>
      <c r="J228" s="30">
        <v>27.7</v>
      </c>
      <c r="K228" s="30">
        <v>65.2</v>
      </c>
      <c r="L228" s="30">
        <v>25.933333333333334</v>
      </c>
      <c r="M228" s="30">
        <v>6</v>
      </c>
      <c r="N228" s="30">
        <v>51.933333333333337</v>
      </c>
      <c r="O228" s="30">
        <v>2.6666666666666665</v>
      </c>
      <c r="P228" s="30">
        <v>3.0666666666666664</v>
      </c>
      <c r="Q228" s="30">
        <v>0</v>
      </c>
      <c r="R228" s="30">
        <v>8</v>
      </c>
      <c r="S228" s="30">
        <v>0</v>
      </c>
    </row>
    <row r="229" spans="1:19" ht="18.600000000000001" customHeight="1">
      <c r="A229" s="25" t="s">
        <v>555</v>
      </c>
      <c r="B229" s="26" t="s">
        <v>105</v>
      </c>
      <c r="C229" s="41" t="s">
        <v>34</v>
      </c>
      <c r="D229" s="30">
        <v>57.233333333333327</v>
      </c>
      <c r="E229" s="32">
        <v>3.4071054164239958</v>
      </c>
      <c r="F229" s="32">
        <v>1.1951077460687247</v>
      </c>
      <c r="G229" s="30">
        <v>60.433333333333337</v>
      </c>
      <c r="H229" s="30">
        <v>2.8000000000000003</v>
      </c>
      <c r="I229" s="30">
        <v>3.6666666666666665</v>
      </c>
      <c r="J229" s="30">
        <v>21.666666666666668</v>
      </c>
      <c r="K229" s="30">
        <v>49.866666666666667</v>
      </c>
      <c r="L229" s="30">
        <v>18.533333333333335</v>
      </c>
      <c r="M229" s="30">
        <v>7</v>
      </c>
      <c r="N229" s="30">
        <v>56.933333333333337</v>
      </c>
      <c r="O229" s="30">
        <v>0</v>
      </c>
      <c r="P229" s="30">
        <v>2.6333333333333333</v>
      </c>
      <c r="Q229" s="30">
        <v>0</v>
      </c>
      <c r="R229" s="30">
        <v>16</v>
      </c>
      <c r="S229" s="30">
        <v>0</v>
      </c>
    </row>
    <row r="230" spans="1:19" ht="18.600000000000001" customHeight="1">
      <c r="A230" s="25" t="s">
        <v>584</v>
      </c>
      <c r="B230" s="26" t="s">
        <v>158</v>
      </c>
      <c r="C230" s="41" t="s">
        <v>34</v>
      </c>
      <c r="D230" s="30">
        <v>60.550000000000004</v>
      </c>
      <c r="E230" s="32">
        <v>3.180842279108175</v>
      </c>
      <c r="F230" s="32">
        <v>1.2683732452518579</v>
      </c>
      <c r="G230" s="30">
        <v>74.05</v>
      </c>
      <c r="H230" s="30">
        <v>2.75</v>
      </c>
      <c r="I230" s="30">
        <v>0.5</v>
      </c>
      <c r="J230" s="30">
        <v>21.4</v>
      </c>
      <c r="K230" s="30">
        <v>48</v>
      </c>
      <c r="L230" s="30">
        <v>28.8</v>
      </c>
      <c r="M230" s="30">
        <v>5</v>
      </c>
      <c r="N230" s="30">
        <v>55.45</v>
      </c>
      <c r="O230" s="30">
        <v>0</v>
      </c>
      <c r="P230" s="30">
        <v>2.5</v>
      </c>
      <c r="Q230" s="30">
        <v>0</v>
      </c>
      <c r="R230" s="30">
        <v>6</v>
      </c>
      <c r="S230" s="30">
        <v>0</v>
      </c>
    </row>
    <row r="231" spans="1:19" ht="18.600000000000001" customHeight="1">
      <c r="A231" s="25" t="s">
        <v>612</v>
      </c>
      <c r="B231" s="26" t="s">
        <v>72</v>
      </c>
      <c r="C231" s="41" t="s">
        <v>34</v>
      </c>
      <c r="D231" s="30">
        <v>62.633333333333326</v>
      </c>
      <c r="E231" s="32">
        <v>3.6785524215007985</v>
      </c>
      <c r="F231" s="32">
        <v>1.2937732836615221</v>
      </c>
      <c r="G231" s="30">
        <v>76.63333333333334</v>
      </c>
      <c r="H231" s="30">
        <v>5.4666666666666659</v>
      </c>
      <c r="I231" s="30">
        <v>1</v>
      </c>
      <c r="J231" s="30">
        <v>25.599999999999998</v>
      </c>
      <c r="K231" s="30">
        <v>49.699999999999996</v>
      </c>
      <c r="L231" s="30">
        <v>31.333333333333332</v>
      </c>
      <c r="M231" s="30">
        <v>6</v>
      </c>
      <c r="N231" s="30">
        <v>55.6</v>
      </c>
      <c r="O231" s="30">
        <v>2</v>
      </c>
      <c r="P231" s="30">
        <v>4</v>
      </c>
      <c r="Q231" s="30">
        <v>0</v>
      </c>
      <c r="R231" s="30">
        <v>12</v>
      </c>
      <c r="S231" s="30">
        <v>1</v>
      </c>
    </row>
    <row r="232" spans="1:19" ht="18.600000000000001" customHeight="1">
      <c r="A232" s="25" t="s">
        <v>573</v>
      </c>
      <c r="B232" s="26" t="s">
        <v>142</v>
      </c>
      <c r="C232" s="41" t="s">
        <v>34</v>
      </c>
      <c r="D232" s="30">
        <v>58.066666666666663</v>
      </c>
      <c r="E232" s="32">
        <v>3.4615384615384617</v>
      </c>
      <c r="F232" s="32">
        <v>1.2370838117106773</v>
      </c>
      <c r="G232" s="30">
        <v>64.166666666666671</v>
      </c>
      <c r="H232" s="30">
        <v>3.3000000000000003</v>
      </c>
      <c r="I232" s="30">
        <v>3.6666666666666665</v>
      </c>
      <c r="J232" s="30">
        <v>22.333333333333332</v>
      </c>
      <c r="K232" s="30">
        <v>50.4</v>
      </c>
      <c r="L232" s="30">
        <v>21.433333333333334</v>
      </c>
      <c r="M232" s="30">
        <v>6</v>
      </c>
      <c r="N232" s="30">
        <v>54.633333333333333</v>
      </c>
      <c r="O232" s="30">
        <v>0.33333333333333331</v>
      </c>
      <c r="P232" s="30">
        <v>2.6666666666666665</v>
      </c>
      <c r="Q232" s="30">
        <v>0</v>
      </c>
      <c r="R232" s="30">
        <v>13.5</v>
      </c>
      <c r="S232" s="30">
        <v>0</v>
      </c>
    </row>
    <row r="233" spans="1:19" ht="18.600000000000001" customHeight="1">
      <c r="A233" s="25" t="s">
        <v>658</v>
      </c>
      <c r="B233" s="26" t="s">
        <v>136</v>
      </c>
      <c r="C233" s="41" t="s">
        <v>34</v>
      </c>
      <c r="D233" s="30">
        <v>60.566666666666663</v>
      </c>
      <c r="E233" s="32">
        <v>3.6653824986241057</v>
      </c>
      <c r="F233" s="32">
        <v>1.4232250963126032</v>
      </c>
      <c r="G233" s="30">
        <v>77.600000000000009</v>
      </c>
      <c r="H233" s="30">
        <v>3.3666666666666667</v>
      </c>
      <c r="I233" s="30">
        <v>9</v>
      </c>
      <c r="J233" s="30">
        <v>24.666666666666668</v>
      </c>
      <c r="K233" s="30">
        <v>50.199999999999996</v>
      </c>
      <c r="L233" s="30">
        <v>36</v>
      </c>
      <c r="M233" s="30">
        <v>5</v>
      </c>
      <c r="N233" s="30">
        <v>64.600000000000009</v>
      </c>
      <c r="O233" s="30">
        <v>0</v>
      </c>
      <c r="P233" s="30">
        <v>3.2333333333333329</v>
      </c>
      <c r="Q233" s="30">
        <v>0</v>
      </c>
      <c r="R233" s="30">
        <v>13</v>
      </c>
      <c r="S233" s="30">
        <v>2</v>
      </c>
    </row>
    <row r="234" spans="1:19" ht="18.600000000000001" customHeight="1">
      <c r="A234" s="25" t="s">
        <v>581</v>
      </c>
      <c r="B234" s="26" t="s">
        <v>160</v>
      </c>
      <c r="C234" s="41" t="s">
        <v>34</v>
      </c>
      <c r="D234" s="30">
        <v>61.6</v>
      </c>
      <c r="E234" s="32">
        <v>3.8133116883116878</v>
      </c>
      <c r="F234" s="32">
        <v>1.1634199134199135</v>
      </c>
      <c r="G234" s="30">
        <v>67.63333333333334</v>
      </c>
      <c r="H234" s="30">
        <v>3.2333333333333329</v>
      </c>
      <c r="I234" s="30">
        <v>2</v>
      </c>
      <c r="J234" s="30">
        <v>26.099999999999998</v>
      </c>
      <c r="K234" s="30">
        <v>52.833333333333336</v>
      </c>
      <c r="L234" s="30">
        <v>18.833333333333332</v>
      </c>
      <c r="M234" s="30">
        <v>8</v>
      </c>
      <c r="N234" s="30">
        <v>43.266666666666673</v>
      </c>
      <c r="O234" s="30">
        <v>3.3333333333333335</v>
      </c>
      <c r="P234" s="30">
        <v>3.7666666666666671</v>
      </c>
      <c r="Q234" s="30">
        <v>0</v>
      </c>
      <c r="R234" s="30">
        <v>10</v>
      </c>
      <c r="S234" s="30">
        <v>1</v>
      </c>
    </row>
    <row r="235" spans="1:19" ht="18.600000000000001" customHeight="1">
      <c r="A235" s="25" t="s">
        <v>564</v>
      </c>
      <c r="B235" s="26" t="s">
        <v>95</v>
      </c>
      <c r="C235" s="41" t="s">
        <v>34</v>
      </c>
      <c r="D235" s="30">
        <v>61.333333333333336</v>
      </c>
      <c r="E235" s="32">
        <v>3.7946739130434781</v>
      </c>
      <c r="F235" s="32">
        <v>1.1624999999999999</v>
      </c>
      <c r="G235" s="30">
        <v>60.166666666666664</v>
      </c>
      <c r="H235" s="30">
        <v>4.1000000000000005</v>
      </c>
      <c r="I235" s="30">
        <v>3</v>
      </c>
      <c r="J235" s="30">
        <v>25.86</v>
      </c>
      <c r="K235" s="30">
        <v>53.333333333333336</v>
      </c>
      <c r="L235" s="30">
        <v>17.966666666666665</v>
      </c>
      <c r="M235" s="30">
        <v>11</v>
      </c>
      <c r="N235" s="30">
        <v>62.6</v>
      </c>
      <c r="O235" s="30">
        <v>0</v>
      </c>
      <c r="P235" s="30">
        <v>4</v>
      </c>
      <c r="Q235" s="30">
        <v>0</v>
      </c>
      <c r="R235" s="30">
        <v>17</v>
      </c>
      <c r="S235" s="30">
        <v>1</v>
      </c>
    </row>
    <row r="236" spans="1:19" ht="18.600000000000001" customHeight="1">
      <c r="A236" s="25" t="s">
        <v>571</v>
      </c>
      <c r="B236" s="26" t="s">
        <v>64</v>
      </c>
      <c r="C236" s="41" t="s">
        <v>34</v>
      </c>
      <c r="D236" s="30">
        <v>63.1</v>
      </c>
      <c r="E236" s="32">
        <v>3.646592709984152</v>
      </c>
      <c r="F236" s="32">
        <v>1.1711568938193342</v>
      </c>
      <c r="G236" s="30">
        <v>66.100000000000009</v>
      </c>
      <c r="H236" s="30">
        <v>3.7666666666666671</v>
      </c>
      <c r="I236" s="30">
        <v>0.33333333333333331</v>
      </c>
      <c r="J236" s="30">
        <v>25.566666666666666</v>
      </c>
      <c r="K236" s="30">
        <v>49.233333333333327</v>
      </c>
      <c r="L236" s="30">
        <v>24.666666666666668</v>
      </c>
      <c r="M236" s="30">
        <v>9</v>
      </c>
      <c r="N236" s="30">
        <v>61.933333333333337</v>
      </c>
      <c r="O236" s="30">
        <v>0.33333333333333331</v>
      </c>
      <c r="P236" s="30">
        <v>3.0333333333333332</v>
      </c>
      <c r="Q236" s="30">
        <v>0</v>
      </c>
      <c r="R236" s="30">
        <v>6</v>
      </c>
      <c r="S236" s="30">
        <v>0</v>
      </c>
    </row>
    <row r="237" spans="1:19" ht="18.600000000000001" customHeight="1">
      <c r="A237" s="25" t="s">
        <v>577</v>
      </c>
      <c r="B237" s="26" t="s">
        <v>85</v>
      </c>
      <c r="C237" s="41" t="s">
        <v>34</v>
      </c>
      <c r="D237" s="30">
        <v>60.800000000000004</v>
      </c>
      <c r="E237" s="32">
        <v>3.7604605263157893</v>
      </c>
      <c r="F237" s="32">
        <v>1.1907894736842106</v>
      </c>
      <c r="G237" s="30">
        <v>56.1</v>
      </c>
      <c r="H237" s="30">
        <v>2.6666666666666665</v>
      </c>
      <c r="I237" s="30">
        <v>6.666666666666667</v>
      </c>
      <c r="J237" s="30">
        <v>25.404</v>
      </c>
      <c r="K237" s="30">
        <v>53.433333333333337</v>
      </c>
      <c r="L237" s="30">
        <v>18.966666666666665</v>
      </c>
      <c r="M237" s="30">
        <v>9</v>
      </c>
      <c r="N237" s="30">
        <v>53.566666666666663</v>
      </c>
      <c r="O237" s="30">
        <v>0.33333333333333331</v>
      </c>
      <c r="P237" s="30">
        <v>2.3666666666666667</v>
      </c>
      <c r="Q237" s="30">
        <v>0</v>
      </c>
      <c r="R237" s="30">
        <v>10.5</v>
      </c>
      <c r="S237" s="30">
        <v>2</v>
      </c>
    </row>
    <row r="238" spans="1:19" ht="18.600000000000001" customHeight="1">
      <c r="A238" s="25" t="s">
        <v>483</v>
      </c>
      <c r="B238" s="26" t="s">
        <v>95</v>
      </c>
      <c r="C238" s="41" t="s">
        <v>34</v>
      </c>
      <c r="D238" s="30">
        <v>36.533333333333331</v>
      </c>
      <c r="E238" s="32">
        <v>3.4817518248175183</v>
      </c>
      <c r="F238" s="32">
        <v>1.0428832116788322</v>
      </c>
      <c r="G238" s="30">
        <v>40.833333333333336</v>
      </c>
      <c r="H238" s="30">
        <v>2.9666666666666668</v>
      </c>
      <c r="I238" s="30">
        <v>2</v>
      </c>
      <c r="J238" s="30">
        <v>14.133333333333333</v>
      </c>
      <c r="K238" s="30">
        <v>28.166666666666668</v>
      </c>
      <c r="L238" s="30">
        <v>9.9333333333333336</v>
      </c>
      <c r="M238" s="30">
        <v>3</v>
      </c>
      <c r="N238" s="30">
        <v>33.333333333333336</v>
      </c>
      <c r="O238" s="30">
        <v>0</v>
      </c>
      <c r="P238" s="30">
        <v>2.2333333333333334</v>
      </c>
      <c r="Q238" s="30">
        <v>0</v>
      </c>
      <c r="R238" s="30">
        <v>10</v>
      </c>
      <c r="S238" s="30">
        <v>0</v>
      </c>
    </row>
    <row r="239" spans="1:19" ht="18.600000000000001" customHeight="1">
      <c r="A239" s="25" t="s">
        <v>511</v>
      </c>
      <c r="B239" s="26" t="s">
        <v>74</v>
      </c>
      <c r="C239" s="41" t="s">
        <v>34</v>
      </c>
      <c r="D239" s="30">
        <v>46.9</v>
      </c>
      <c r="E239" s="32">
        <v>3.2750533049040511</v>
      </c>
      <c r="F239" s="32">
        <v>1.1321961620469083</v>
      </c>
      <c r="G239" s="30">
        <v>51.266666666666673</v>
      </c>
      <c r="H239" s="30">
        <v>3.4666666666666668</v>
      </c>
      <c r="I239" s="30">
        <v>0</v>
      </c>
      <c r="J239" s="30">
        <v>17.066666666666666</v>
      </c>
      <c r="K239" s="30">
        <v>41.166666666666664</v>
      </c>
      <c r="L239" s="30">
        <v>11.933333333333332</v>
      </c>
      <c r="M239" s="30">
        <v>7</v>
      </c>
      <c r="N239" s="30">
        <v>43.566666666666663</v>
      </c>
      <c r="O239" s="30">
        <v>0</v>
      </c>
      <c r="P239" s="30">
        <v>1.9000000000000001</v>
      </c>
      <c r="Q239" s="30">
        <v>0</v>
      </c>
      <c r="R239" s="30">
        <v>11</v>
      </c>
      <c r="S239" s="30">
        <v>2</v>
      </c>
    </row>
    <row r="240" spans="1:19" ht="18.600000000000001" customHeight="1">
      <c r="A240" s="25" t="s">
        <v>603</v>
      </c>
      <c r="B240" s="26" t="s">
        <v>97</v>
      </c>
      <c r="C240" s="41" t="s">
        <v>34</v>
      </c>
      <c r="D240" s="30">
        <v>56.4</v>
      </c>
      <c r="E240" s="32">
        <v>3.6329787234042552</v>
      </c>
      <c r="F240" s="32">
        <v>1.1743498817966902</v>
      </c>
      <c r="G240" s="30">
        <v>63.699999999999996</v>
      </c>
      <c r="H240" s="30">
        <v>2</v>
      </c>
      <c r="I240" s="30">
        <v>2.3333333333333335</v>
      </c>
      <c r="J240" s="30">
        <v>22.766666666666666</v>
      </c>
      <c r="K240" s="30">
        <v>47.733333333333327</v>
      </c>
      <c r="L240" s="30">
        <v>18.5</v>
      </c>
      <c r="M240" s="30">
        <v>7</v>
      </c>
      <c r="N240" s="30">
        <v>60.266666666666673</v>
      </c>
      <c r="O240" s="30">
        <v>0</v>
      </c>
      <c r="P240" s="30">
        <v>2.5666666666666669</v>
      </c>
      <c r="Q240" s="30">
        <v>0</v>
      </c>
      <c r="R240" s="30">
        <v>19</v>
      </c>
      <c r="S240" s="30">
        <v>0</v>
      </c>
    </row>
    <row r="241" spans="1:19" ht="18.600000000000001" customHeight="1">
      <c r="A241" s="25" t="s">
        <v>608</v>
      </c>
      <c r="B241" s="26" t="s">
        <v>103</v>
      </c>
      <c r="C241" s="41" t="s">
        <v>34</v>
      </c>
      <c r="D241" s="30">
        <v>53.400000000000006</v>
      </c>
      <c r="E241" s="32">
        <v>3.328651685393258</v>
      </c>
      <c r="F241" s="32">
        <v>1.2453183520599249</v>
      </c>
      <c r="G241" s="30">
        <v>68.7</v>
      </c>
      <c r="H241" s="30">
        <v>2.5499999999999998</v>
      </c>
      <c r="I241" s="30">
        <v>0.5</v>
      </c>
      <c r="J241" s="30">
        <v>19.75</v>
      </c>
      <c r="K241" s="30">
        <v>42</v>
      </c>
      <c r="L241" s="30">
        <v>24.5</v>
      </c>
      <c r="M241" s="30">
        <v>6</v>
      </c>
      <c r="N241" s="30">
        <v>55.85</v>
      </c>
      <c r="O241" s="30">
        <v>0</v>
      </c>
      <c r="P241" s="30">
        <v>2.25</v>
      </c>
      <c r="Q241" s="30">
        <v>0</v>
      </c>
      <c r="R241" s="30">
        <v>6</v>
      </c>
      <c r="S241" s="30">
        <v>0</v>
      </c>
    </row>
    <row r="242" spans="1:19" ht="18.600000000000001" customHeight="1">
      <c r="A242" s="25" t="s">
        <v>604</v>
      </c>
      <c r="B242" s="26" t="s">
        <v>101</v>
      </c>
      <c r="C242" s="41" t="s">
        <v>34</v>
      </c>
      <c r="D242" s="30">
        <v>52.4</v>
      </c>
      <c r="E242" s="32">
        <v>3.33206106870229</v>
      </c>
      <c r="F242" s="32">
        <v>1.2375954198473282</v>
      </c>
      <c r="G242" s="30">
        <v>66.650000000000006</v>
      </c>
      <c r="H242" s="30">
        <v>3</v>
      </c>
      <c r="I242" s="30">
        <v>0</v>
      </c>
      <c r="J242" s="30">
        <v>19.399999999999999</v>
      </c>
      <c r="K242" s="30">
        <v>41.1</v>
      </c>
      <c r="L242" s="30">
        <v>23.75</v>
      </c>
      <c r="M242" s="30">
        <v>8</v>
      </c>
      <c r="N242" s="30">
        <v>38.85</v>
      </c>
      <c r="O242" s="30">
        <v>3.1</v>
      </c>
      <c r="P242" s="30">
        <v>2.75</v>
      </c>
      <c r="Q242" s="30">
        <v>3</v>
      </c>
      <c r="R242" s="30">
        <v>4</v>
      </c>
      <c r="S242" s="30">
        <v>1</v>
      </c>
    </row>
    <row r="243" spans="1:19" ht="18.600000000000001" customHeight="1">
      <c r="A243" s="25" t="s">
        <v>607</v>
      </c>
      <c r="B243" s="26" t="s">
        <v>99</v>
      </c>
      <c r="C243" s="41" t="s">
        <v>34</v>
      </c>
      <c r="D243" s="30">
        <v>52.866666666666667</v>
      </c>
      <c r="E243" s="32">
        <v>3.6998738965952085</v>
      </c>
      <c r="F243" s="32">
        <v>1.1683480453972257</v>
      </c>
      <c r="G243" s="30">
        <v>62.566666666666663</v>
      </c>
      <c r="H243" s="30">
        <v>2</v>
      </c>
      <c r="I243" s="30">
        <v>2.3333333333333335</v>
      </c>
      <c r="J243" s="30">
        <v>21.733333333333334</v>
      </c>
      <c r="K243" s="30">
        <v>42.699999999999996</v>
      </c>
      <c r="L243" s="30">
        <v>19.066666666666666</v>
      </c>
      <c r="M243" s="30">
        <v>8</v>
      </c>
      <c r="N243" s="30">
        <v>56.933333333333337</v>
      </c>
      <c r="O243" s="30">
        <v>1</v>
      </c>
      <c r="P243" s="30">
        <v>2.5666666666666669</v>
      </c>
      <c r="Q243" s="30">
        <v>0</v>
      </c>
      <c r="R243" s="30">
        <v>15</v>
      </c>
      <c r="S243" s="30">
        <v>0</v>
      </c>
    </row>
    <row r="244" spans="1:19" ht="18.600000000000001" customHeight="1">
      <c r="A244" s="25" t="s">
        <v>589</v>
      </c>
      <c r="B244" s="26" t="s">
        <v>136</v>
      </c>
      <c r="C244" s="41" t="s">
        <v>34</v>
      </c>
      <c r="D244" s="30">
        <v>51.866666666666667</v>
      </c>
      <c r="E244" s="32">
        <v>3.4530848329048847</v>
      </c>
      <c r="F244" s="32">
        <v>1.2107969151670952</v>
      </c>
      <c r="G244" s="30">
        <v>59.766666666666673</v>
      </c>
      <c r="H244" s="30">
        <v>3.3000000000000003</v>
      </c>
      <c r="I244" s="30">
        <v>1</v>
      </c>
      <c r="J244" s="30">
        <v>19.900000000000002</v>
      </c>
      <c r="K244" s="30">
        <v>40.56666666666667</v>
      </c>
      <c r="L244" s="30">
        <v>22.233333333333334</v>
      </c>
      <c r="M244" s="30">
        <v>7</v>
      </c>
      <c r="N244" s="30">
        <v>56.933333333333337</v>
      </c>
      <c r="O244" s="30">
        <v>0</v>
      </c>
      <c r="P244" s="30">
        <v>2.9333333333333336</v>
      </c>
      <c r="Q244" s="30">
        <v>0</v>
      </c>
      <c r="R244" s="30">
        <v>14.5</v>
      </c>
      <c r="S244" s="30">
        <v>2</v>
      </c>
    </row>
    <row r="245" spans="1:19" ht="18.600000000000001" customHeight="1">
      <c r="A245" s="25" t="s">
        <v>663</v>
      </c>
      <c r="B245" s="26" t="s">
        <v>158</v>
      </c>
      <c r="C245" s="41" t="s">
        <v>34</v>
      </c>
      <c r="D245" s="30">
        <v>65</v>
      </c>
      <c r="E245" s="32">
        <v>4.1815384615384614</v>
      </c>
      <c r="F245" s="32">
        <v>1.2420512820512819</v>
      </c>
      <c r="G245" s="30">
        <v>76.2</v>
      </c>
      <c r="H245" s="30">
        <v>3.1666666666666665</v>
      </c>
      <c r="I245" s="30">
        <v>3</v>
      </c>
      <c r="J245" s="30">
        <v>30.2</v>
      </c>
      <c r="K245" s="30">
        <v>57.733333333333327</v>
      </c>
      <c r="L245" s="30">
        <v>23</v>
      </c>
      <c r="M245" s="30">
        <v>9</v>
      </c>
      <c r="N245" s="30">
        <v>62.6</v>
      </c>
      <c r="O245" s="30">
        <v>0</v>
      </c>
      <c r="P245" s="30">
        <v>3.5</v>
      </c>
      <c r="Q245" s="30">
        <v>0</v>
      </c>
      <c r="R245" s="30">
        <v>14</v>
      </c>
      <c r="S245" s="30">
        <v>1</v>
      </c>
    </row>
    <row r="246" spans="1:19" ht="18.600000000000001" customHeight="1">
      <c r="A246" s="25" t="s">
        <v>600</v>
      </c>
      <c r="B246" s="26" t="s">
        <v>69</v>
      </c>
      <c r="C246" s="41" t="s">
        <v>34</v>
      </c>
      <c r="D246" s="30">
        <v>61.033333333333331</v>
      </c>
      <c r="E246" s="32">
        <v>3.4954014199890771</v>
      </c>
      <c r="F246" s="32">
        <v>1.243582741671218</v>
      </c>
      <c r="G246" s="30">
        <v>54.933333333333337</v>
      </c>
      <c r="H246" s="30">
        <v>3.8000000000000003</v>
      </c>
      <c r="I246" s="30">
        <v>3.3333333333333335</v>
      </c>
      <c r="J246" s="30">
        <v>23.703999999999997</v>
      </c>
      <c r="K246" s="30">
        <v>56.1</v>
      </c>
      <c r="L246" s="30">
        <v>19.8</v>
      </c>
      <c r="M246" s="30">
        <v>7</v>
      </c>
      <c r="N246" s="30">
        <v>57.6</v>
      </c>
      <c r="O246" s="30">
        <v>0.33333333333333331</v>
      </c>
      <c r="P246" s="30">
        <v>2.9666666666666668</v>
      </c>
      <c r="Q246" s="30">
        <v>0</v>
      </c>
      <c r="R246" s="30">
        <v>15.5</v>
      </c>
      <c r="S246" s="30">
        <v>0</v>
      </c>
    </row>
    <row r="247" spans="1:19" ht="18.600000000000001" customHeight="1">
      <c r="A247" s="25" t="s">
        <v>636</v>
      </c>
      <c r="B247" s="26" t="s">
        <v>77</v>
      </c>
      <c r="C247" s="41" t="s">
        <v>34</v>
      </c>
      <c r="D247" s="30">
        <v>62.75</v>
      </c>
      <c r="E247" s="32">
        <v>3.6717131474103586</v>
      </c>
      <c r="F247" s="32">
        <v>1.2382470119521913</v>
      </c>
      <c r="G247" s="30">
        <v>70.2</v>
      </c>
      <c r="H247" s="30">
        <v>3.3</v>
      </c>
      <c r="I247" s="30">
        <v>0</v>
      </c>
      <c r="J247" s="30">
        <v>25.6</v>
      </c>
      <c r="K247" s="30">
        <v>54.5</v>
      </c>
      <c r="L247" s="30">
        <v>23.2</v>
      </c>
      <c r="M247" s="30">
        <v>7</v>
      </c>
      <c r="N247" s="30">
        <v>57.6</v>
      </c>
      <c r="O247" s="30">
        <v>1</v>
      </c>
      <c r="P247" s="30">
        <v>2.6</v>
      </c>
      <c r="Q247" s="30">
        <v>0</v>
      </c>
      <c r="R247" s="30">
        <v>6</v>
      </c>
      <c r="S247" s="30">
        <v>1</v>
      </c>
    </row>
    <row r="248" spans="1:19" ht="18.600000000000001" customHeight="1">
      <c r="A248" s="25" t="s">
        <v>633</v>
      </c>
      <c r="B248" s="26" t="s">
        <v>85</v>
      </c>
      <c r="C248" s="41" t="s">
        <v>34</v>
      </c>
      <c r="D248" s="30">
        <v>61.133333333333326</v>
      </c>
      <c r="E248" s="32">
        <v>3.9662813522355509</v>
      </c>
      <c r="F248" s="32">
        <v>1.2197382769901854</v>
      </c>
      <c r="G248" s="30">
        <v>60</v>
      </c>
      <c r="H248" s="30">
        <v>3.0666666666666664</v>
      </c>
      <c r="I248" s="30">
        <v>5.333333333333333</v>
      </c>
      <c r="J248" s="30">
        <v>26.941333333333333</v>
      </c>
      <c r="K248" s="30">
        <v>51.833333333333336</v>
      </c>
      <c r="L248" s="30">
        <v>22.733333333333334</v>
      </c>
      <c r="M248" s="30">
        <v>8</v>
      </c>
      <c r="N248" s="30">
        <v>63.266666666666673</v>
      </c>
      <c r="O248" s="30">
        <v>0</v>
      </c>
      <c r="P248" s="30">
        <v>3.0666666666666664</v>
      </c>
      <c r="Q248" s="30">
        <v>0</v>
      </c>
      <c r="R248" s="30">
        <v>18</v>
      </c>
      <c r="S248" s="30">
        <v>2</v>
      </c>
    </row>
    <row r="249" spans="1:19" ht="18.600000000000001" customHeight="1">
      <c r="A249" s="25" t="s">
        <v>621</v>
      </c>
      <c r="B249" s="26" t="s">
        <v>119</v>
      </c>
      <c r="C249" s="41" t="s">
        <v>34</v>
      </c>
      <c r="D249" s="30">
        <v>56.79999999999999</v>
      </c>
      <c r="E249" s="32">
        <v>3.3750000000000009</v>
      </c>
      <c r="F249" s="32">
        <v>1.2611502347417844</v>
      </c>
      <c r="G249" s="30">
        <v>60.633333333333333</v>
      </c>
      <c r="H249" s="30">
        <v>3.1</v>
      </c>
      <c r="I249" s="30">
        <v>1.6666666666666667</v>
      </c>
      <c r="J249" s="30">
        <v>21.3</v>
      </c>
      <c r="K249" s="30">
        <v>44.5</v>
      </c>
      <c r="L249" s="30">
        <v>27.133333333333336</v>
      </c>
      <c r="M249" s="30">
        <v>7</v>
      </c>
      <c r="N249" s="30">
        <v>55.266666666666673</v>
      </c>
      <c r="O249" s="30">
        <v>0</v>
      </c>
      <c r="P249" s="30">
        <v>2.3666666666666667</v>
      </c>
      <c r="Q249" s="30">
        <v>0</v>
      </c>
      <c r="R249" s="30">
        <v>13.5</v>
      </c>
      <c r="S249" s="30">
        <v>0</v>
      </c>
    </row>
    <row r="250" spans="1:19" ht="18.600000000000001" customHeight="1">
      <c r="A250" s="25" t="s">
        <v>602</v>
      </c>
      <c r="B250" s="26" t="s">
        <v>74</v>
      </c>
      <c r="C250" s="41" t="s">
        <v>34</v>
      </c>
      <c r="D250" s="30">
        <v>39.699999999999996</v>
      </c>
      <c r="E250" s="32">
        <v>3.4231738035264487</v>
      </c>
      <c r="F250" s="32">
        <v>1.2191435768261967</v>
      </c>
      <c r="G250" s="30">
        <v>48.633333333333333</v>
      </c>
      <c r="H250" s="30">
        <v>1.5</v>
      </c>
      <c r="I250" s="30">
        <v>6.333333333333333</v>
      </c>
      <c r="J250" s="30">
        <v>15.1</v>
      </c>
      <c r="K250" s="30">
        <v>34.133333333333333</v>
      </c>
      <c r="L250" s="30">
        <v>14.266666666666666</v>
      </c>
      <c r="M250" s="30">
        <v>7</v>
      </c>
      <c r="N250" s="30">
        <v>47.300000000000004</v>
      </c>
      <c r="O250" s="30">
        <v>0</v>
      </c>
      <c r="P250" s="30">
        <v>2.4</v>
      </c>
      <c r="Q250" s="30">
        <v>0</v>
      </c>
      <c r="R250" s="30">
        <v>9.5</v>
      </c>
      <c r="S250" s="30">
        <v>1</v>
      </c>
    </row>
    <row r="251" spans="1:19" ht="18.600000000000001" customHeight="1">
      <c r="A251" s="25" t="s">
        <v>685</v>
      </c>
      <c r="B251" s="26" t="s">
        <v>85</v>
      </c>
      <c r="C251" s="41" t="s">
        <v>34</v>
      </c>
      <c r="D251" s="30">
        <v>59.866666666666667</v>
      </c>
      <c r="E251" s="32">
        <v>4.2444320712694878</v>
      </c>
      <c r="F251" s="32">
        <v>1.3173719376391984</v>
      </c>
      <c r="G251" s="30">
        <v>60.166666666666664</v>
      </c>
      <c r="H251" s="30">
        <v>2.9666666666666668</v>
      </c>
      <c r="I251" s="30">
        <v>9.6666666666666661</v>
      </c>
      <c r="J251" s="30">
        <v>28.233333333333334</v>
      </c>
      <c r="K251" s="30">
        <v>56.933333333333337</v>
      </c>
      <c r="L251" s="30">
        <v>21.933333333333334</v>
      </c>
      <c r="M251" s="30">
        <v>9</v>
      </c>
      <c r="N251" s="30">
        <v>64.266666666666666</v>
      </c>
      <c r="O251" s="30">
        <v>0</v>
      </c>
      <c r="P251" s="30">
        <v>3.6</v>
      </c>
      <c r="Q251" s="30">
        <v>0</v>
      </c>
      <c r="R251" s="30">
        <v>16.5</v>
      </c>
      <c r="S251" s="30">
        <v>9</v>
      </c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161"/>
  <sheetViews>
    <sheetView showGridLines="0" tabSelected="1" workbookViewId="0">
      <selection activeCell="I1" sqref="I1"/>
    </sheetView>
  </sheetViews>
  <sheetFormatPr defaultColWidth="16.28515625" defaultRowHeight="20.100000000000001" customHeight="1"/>
  <cols>
    <col min="1" max="1" width="23.7109375" style="1" customWidth="1"/>
    <col min="2" max="9" width="7.140625" style="1" customWidth="1"/>
    <col min="10" max="10" width="16.28515625" style="1" customWidth="1"/>
    <col min="11" max="16384" width="16.28515625" style="1"/>
  </cols>
  <sheetData>
    <row r="1" spans="1:9" ht="35.1" customHeight="1">
      <c r="A1" s="138" t="s">
        <v>59</v>
      </c>
      <c r="B1" s="139" t="s">
        <v>60</v>
      </c>
      <c r="C1" s="139" t="s">
        <v>752</v>
      </c>
      <c r="D1" s="140" t="s">
        <v>753</v>
      </c>
      <c r="E1" s="139" t="s">
        <v>63</v>
      </c>
      <c r="F1" s="139" t="s">
        <v>65</v>
      </c>
      <c r="G1" s="140" t="s">
        <v>754</v>
      </c>
      <c r="H1" s="139" t="s">
        <v>64</v>
      </c>
      <c r="I1" s="139" t="s">
        <v>65</v>
      </c>
    </row>
    <row r="2" spans="1:9" ht="18.600000000000001" customHeight="1">
      <c r="A2" s="25" t="s">
        <v>84</v>
      </c>
      <c r="B2" s="26" t="s">
        <v>85</v>
      </c>
      <c r="C2" s="130" t="s">
        <v>31</v>
      </c>
      <c r="D2" s="141">
        <f ca="1">RANK(E2,E$2:E$161)</f>
        <v>1</v>
      </c>
      <c r="E2" s="30">
        <f ca="1">VLOOKUP(A2,Rankings!B1:H651,6,FALSE)+(RAND()*0.00001)</f>
        <v>561.00000029367538</v>
      </c>
      <c r="F2" s="30">
        <f ca="1">E2-VLOOKUP(Settings!$K$8,D1:E155,2,FALSE)</f>
        <v>225.48399903963866</v>
      </c>
      <c r="G2" s="141">
        <f ca="1">RANK(H2,H$2:H$161)</f>
        <v>1</v>
      </c>
      <c r="H2" s="30">
        <f ca="1">VLOOKUP(A2,Rankings!B1:H651,7,FALSE)+(RAND()*0.00001)</f>
        <v>8.485851788895312</v>
      </c>
      <c r="I2" s="30">
        <f ca="1">H2-VLOOKUP(Settings!$K$8,G1:H155,2,FALSE)</f>
        <v>8.349863911007386</v>
      </c>
    </row>
    <row r="3" spans="1:9" ht="18.600000000000001" customHeight="1">
      <c r="A3" s="25" t="s">
        <v>93</v>
      </c>
      <c r="B3" s="26" t="s">
        <v>69</v>
      </c>
      <c r="C3" s="130" t="s">
        <v>31</v>
      </c>
      <c r="D3" s="141">
        <f ca="1">RANK(E3,E$2:E$161)</f>
        <v>2</v>
      </c>
      <c r="E3" s="30">
        <f ca="1">VLOOKUP(A3,Rankings!B1:H651,6,FALSE)+(RAND()*0.00001)</f>
        <v>550.55000508403862</v>
      </c>
      <c r="F3" s="30">
        <f ca="1">E3-VLOOKUP(Settings!$K$8,D2:E162,2,FALSE)</f>
        <v>215.03400383000189</v>
      </c>
      <c r="G3" s="141">
        <f ca="1">RANK(H3,H$2:H$161)</f>
        <v>3</v>
      </c>
      <c r="H3" s="30">
        <f ca="1">VLOOKUP(A3,Rankings!B1:H651,7,FALSE)+(RAND()*0.00001)</f>
        <v>7.1669504831791118</v>
      </c>
      <c r="I3" s="30">
        <f ca="1">H3-VLOOKUP(Settings!$K$8,G2:H162,2,FALSE)</f>
        <v>7.0309626052911858</v>
      </c>
    </row>
    <row r="4" spans="1:9" ht="18.600000000000001" customHeight="1">
      <c r="A4" s="25" t="s">
        <v>98</v>
      </c>
      <c r="B4" s="26" t="s">
        <v>99</v>
      </c>
      <c r="C4" s="130" t="s">
        <v>31</v>
      </c>
      <c r="D4" s="141">
        <f ca="1">RANK(E4,E$2:E$161)</f>
        <v>3</v>
      </c>
      <c r="E4" s="30">
        <f ca="1">VLOOKUP(A4,Rankings!B1:H651,6,FALSE)+(RAND()*0.00001)</f>
        <v>533.26667631892587</v>
      </c>
      <c r="F4" s="30">
        <f ca="1">E4-VLOOKUP(Settings!$K$8,D2:E162,2,FALSE)</f>
        <v>197.75067506488915</v>
      </c>
      <c r="G4" s="141">
        <f ca="1">RANK(H4,H$2:H$161)</f>
        <v>4</v>
      </c>
      <c r="H4" s="30">
        <f ca="1">VLOOKUP(A4,Rankings!B1:H651,7,FALSE)+(RAND()*0.00001)</f>
        <v>6.8556589391802367</v>
      </c>
      <c r="I4" s="30">
        <f ca="1">H4-VLOOKUP(Settings!$K$8,G2:H162,2,FALSE)</f>
        <v>6.7196710612923107</v>
      </c>
    </row>
    <row r="5" spans="1:9" ht="18.600000000000001" customHeight="1">
      <c r="A5" s="25" t="s">
        <v>135</v>
      </c>
      <c r="B5" s="26" t="s">
        <v>136</v>
      </c>
      <c r="C5" s="130" t="s">
        <v>31</v>
      </c>
      <c r="D5" s="141">
        <f ca="1">RANK(E5,E$2:E$161)</f>
        <v>4</v>
      </c>
      <c r="E5" s="30">
        <f ca="1">VLOOKUP(A5,Rankings!B1:H651,6,FALSE)+(RAND()*0.00001)</f>
        <v>512.81800329123701</v>
      </c>
      <c r="F5" s="30">
        <f ca="1">E5-VLOOKUP(Settings!$K$8,D1:E151,2,FALSE)</f>
        <v>177.30200203720028</v>
      </c>
      <c r="G5" s="141">
        <f ca="1">RANK(H5,H$2:H$161)</f>
        <v>12</v>
      </c>
      <c r="H5" s="30">
        <f ca="1">VLOOKUP(A5,Rankings!B1:H651,7,FALSE)+(RAND()*0.00001)</f>
        <v>5.0712254287271907</v>
      </c>
      <c r="I5" s="30">
        <f ca="1">H5-VLOOKUP(Settings!$K$8,G1:H151,2,FALSE)</f>
        <v>4.9352375508392647</v>
      </c>
    </row>
    <row r="6" spans="1:9" ht="18.600000000000001" customHeight="1">
      <c r="A6" s="25" t="s">
        <v>123</v>
      </c>
      <c r="B6" s="26" t="s">
        <v>92</v>
      </c>
      <c r="C6" s="130" t="s">
        <v>31</v>
      </c>
      <c r="D6" s="141">
        <f ca="1">RANK(E6,E$2:E$161)</f>
        <v>5</v>
      </c>
      <c r="E6" s="30">
        <f ca="1">VLOOKUP(A6,Rankings!B1:H651,6,FALSE)+(RAND()*0.00001)</f>
        <v>511.03334134726771</v>
      </c>
      <c r="F6" s="30">
        <f ca="1">E6-VLOOKUP(Settings!$K$8,D3:E161,2,FALSE)</f>
        <v>175.51734009323098</v>
      </c>
      <c r="G6" s="141">
        <f ca="1">RANK(H6,H$2:H$161)</f>
        <v>10</v>
      </c>
      <c r="H6" s="30">
        <f ca="1">VLOOKUP(A6,Rankings!B1:H651,7,FALSE)+(RAND()*0.00001)</f>
        <v>5.5386556091347456</v>
      </c>
      <c r="I6" s="30">
        <f ca="1">H6-VLOOKUP(Settings!$K$8,G3:H161,2,FALSE)</f>
        <v>5.4026677312468196</v>
      </c>
    </row>
    <row r="7" spans="1:9" ht="18.600000000000001" customHeight="1">
      <c r="A7" s="25" t="s">
        <v>106</v>
      </c>
      <c r="B7" s="26" t="s">
        <v>69</v>
      </c>
      <c r="C7" s="130" t="s">
        <v>31</v>
      </c>
      <c r="D7" s="141">
        <f ca="1">RANK(E7,E$2:E$161)</f>
        <v>6</v>
      </c>
      <c r="E7" s="30">
        <f ca="1">VLOOKUP(A7,Rankings!B1:H651,6,FALSE)+(RAND()*0.00001)</f>
        <v>490.03334315276663</v>
      </c>
      <c r="F7" s="30">
        <f ca="1">E7-VLOOKUP(Settings!$K$8,D4:E164,2,FALSE)</f>
        <v>154.51734189872991</v>
      </c>
      <c r="G7" s="141">
        <f ca="1">RANK(H7,H$2:H$161)</f>
        <v>5</v>
      </c>
      <c r="H7" s="30">
        <f ca="1">VLOOKUP(A7,Rankings!B1:H651,7,FALSE)+(RAND()*0.00001)</f>
        <v>6.5209909882562824</v>
      </c>
      <c r="I7" s="30">
        <f ca="1">H7-VLOOKUP(Settings!$K$8,G4:H164,2,FALSE)</f>
        <v>6.3850031103683564</v>
      </c>
    </row>
    <row r="8" spans="1:9" ht="18.600000000000001" customHeight="1">
      <c r="A8" s="25" t="s">
        <v>140</v>
      </c>
      <c r="B8" s="26" t="s">
        <v>77</v>
      </c>
      <c r="C8" s="130" t="s">
        <v>31</v>
      </c>
      <c r="D8" s="141">
        <f ca="1">RANK(E8,E$2:E$161)</f>
        <v>7</v>
      </c>
      <c r="E8" s="30">
        <f ca="1">VLOOKUP(A8,Rankings!B1:H651,6,FALSE)+(RAND()*0.00001)</f>
        <v>486.20000915505472</v>
      </c>
      <c r="F8" s="30">
        <f ca="1">E8-VLOOKUP(Settings!$K$8,D1:E155,2,FALSE)</f>
        <v>150.68400790101799</v>
      </c>
      <c r="G8" s="141">
        <f ca="1">RANK(H8,H$2:H$161)</f>
        <v>13</v>
      </c>
      <c r="H8" s="30">
        <f ca="1">VLOOKUP(A8,Rankings!B1:H651,7,FALSE)+(RAND()*0.00001)</f>
        <v>4.9245875997369568</v>
      </c>
      <c r="I8" s="30">
        <f ca="1">H8-VLOOKUP(Settings!$K$8,G1:H155,2,FALSE)</f>
        <v>4.7885997218490308</v>
      </c>
    </row>
    <row r="9" spans="1:9" ht="18.600000000000001" customHeight="1">
      <c r="A9" s="25" t="s">
        <v>109</v>
      </c>
      <c r="B9" s="26" t="s">
        <v>97</v>
      </c>
      <c r="C9" s="130" t="s">
        <v>31</v>
      </c>
      <c r="D9" s="141">
        <f ca="1">RANK(E9,E$2:E$161)</f>
        <v>8</v>
      </c>
      <c r="E9" s="30">
        <f ca="1">VLOOKUP(A9,Rankings!B1:H651,6,FALSE)+(RAND()*0.00001)</f>
        <v>481.9333422111539</v>
      </c>
      <c r="F9" s="30">
        <f ca="1">E9-VLOOKUP(Settings!$K$8,D3:E159,2,FALSE)</f>
        <v>146.41734095711718</v>
      </c>
      <c r="G9" s="141">
        <f ca="1">RANK(H9,H$2:H$161)</f>
        <v>6</v>
      </c>
      <c r="H9" s="30">
        <f ca="1">VLOOKUP(A9,Rankings!B1:H651,7,FALSE)+(RAND()*0.00001)</f>
        <v>6.370969568075604</v>
      </c>
      <c r="I9" s="30">
        <f ca="1">H9-VLOOKUP(Settings!$K$8,G3:H159,2,FALSE)</f>
        <v>6.234981690187678</v>
      </c>
    </row>
    <row r="10" spans="1:9" ht="18.600000000000001" customHeight="1">
      <c r="A10" s="25" t="s">
        <v>117</v>
      </c>
      <c r="B10" s="26" t="s">
        <v>103</v>
      </c>
      <c r="C10" s="130" t="s">
        <v>31</v>
      </c>
      <c r="D10" s="141">
        <f ca="1">RANK(E10,E$2:E$161)</f>
        <v>9</v>
      </c>
      <c r="E10" s="30">
        <f ca="1">VLOOKUP(A10,Rankings!B1:H651,6,FALSE)+(RAND()*0.00001)</f>
        <v>481.58333857264063</v>
      </c>
      <c r="F10" s="30">
        <f ca="1">E10-VLOOKUP(Settings!$K$8,D1:E161,2,FALSE)</f>
        <v>146.0673373186039</v>
      </c>
      <c r="G10" s="141">
        <f ca="1">RANK(H10,H$2:H$161)</f>
        <v>9</v>
      </c>
      <c r="H10" s="30">
        <f ca="1">VLOOKUP(A10,Rankings!B1:H651,7,FALSE)+(RAND()*0.00001)</f>
        <v>5.9186462782402804</v>
      </c>
      <c r="I10" s="30">
        <f ca="1">H10-VLOOKUP(Settings!$K$8,G1:H161,2,FALSE)</f>
        <v>5.7826584003523545</v>
      </c>
    </row>
    <row r="11" spans="1:9" ht="18.600000000000001" customHeight="1">
      <c r="A11" s="25" t="s">
        <v>165</v>
      </c>
      <c r="B11" s="26" t="s">
        <v>79</v>
      </c>
      <c r="C11" s="130" t="s">
        <v>31</v>
      </c>
      <c r="D11" s="141">
        <f ca="1">RANK(E11,E$2:E$161)</f>
        <v>10</v>
      </c>
      <c r="E11" s="30">
        <f ca="1">VLOOKUP(A11,Rankings!B1:H651,6,FALSE)+(RAND()*0.00001)</f>
        <v>480.19200288041498</v>
      </c>
      <c r="F11" s="30">
        <f ca="1">E11-VLOOKUP(Settings!$K$8,D1:E146,2,FALSE)</f>
        <v>144.67600162637825</v>
      </c>
      <c r="G11" s="141">
        <f ca="1">RANK(H11,H$2:H$161)</f>
        <v>24</v>
      </c>
      <c r="H11" s="30">
        <f ca="1">VLOOKUP(A11,Rankings!B1:H651,7,FALSE)+(RAND()*0.00001)</f>
        <v>3.8812661133639748</v>
      </c>
      <c r="I11" s="30">
        <f ca="1">H11-VLOOKUP(Settings!$K$8,G1:H146,2,FALSE)</f>
        <v>3.7452782354760488</v>
      </c>
    </row>
    <row r="12" spans="1:9" ht="18.600000000000001" customHeight="1">
      <c r="A12" s="25" t="s">
        <v>145</v>
      </c>
      <c r="B12" s="26" t="s">
        <v>64</v>
      </c>
      <c r="C12" s="130" t="s">
        <v>31</v>
      </c>
      <c r="D12" s="141">
        <f ca="1">RANK(E12,E$2:E$161)</f>
        <v>11</v>
      </c>
      <c r="E12" s="30">
        <f ca="1">VLOOKUP(A12,Rankings!B1:H651,6,FALSE)+(RAND()*0.00001)</f>
        <v>478.5500090527056</v>
      </c>
      <c r="F12" s="30">
        <f ca="1">E12-VLOOKUP(Settings!$K$8,D5:E156,2,FALSE)</f>
        <v>143.03400779866888</v>
      </c>
      <c r="G12" s="141">
        <f ca="1">RANK(H12,H$2:H$161)</f>
        <v>14</v>
      </c>
      <c r="H12" s="30">
        <f ca="1">VLOOKUP(A12,Rankings!B1:H651,7,FALSE)+(RAND()*0.00001)</f>
        <v>4.61433677077728</v>
      </c>
      <c r="I12" s="30">
        <f ca="1">H12-VLOOKUP(Settings!$K$8,G5:H156,2,FALSE)</f>
        <v>4.478348892889354</v>
      </c>
    </row>
    <row r="13" spans="1:9" ht="18.600000000000001" customHeight="1">
      <c r="A13" s="25" t="s">
        <v>112</v>
      </c>
      <c r="B13" s="26" t="s">
        <v>97</v>
      </c>
      <c r="C13" s="130" t="s">
        <v>31</v>
      </c>
      <c r="D13" s="141">
        <f ca="1">RANK(E13,E$2:E$161)</f>
        <v>12</v>
      </c>
      <c r="E13" s="30">
        <f ca="1">VLOOKUP(A13,Rankings!B1:H651,6,FALSE)+(RAND()*0.00001)</f>
        <v>475.73333398326076</v>
      </c>
      <c r="F13" s="30">
        <f ca="1">E13-VLOOKUP(Settings!$K$8,D5:E165,2,FALSE)</f>
        <v>140.21733272922404</v>
      </c>
      <c r="G13" s="141">
        <f ca="1">RANK(H13,H$2:H$161)</f>
        <v>7</v>
      </c>
      <c r="H13" s="30">
        <f ca="1">VLOOKUP(A13,Rankings!B1:H651,7,FALSE)+(RAND()*0.00001)</f>
        <v>6.2270468381095183</v>
      </c>
      <c r="I13" s="30">
        <f ca="1">H13-VLOOKUP(Settings!$K$8,G5:H165,2,FALSE)</f>
        <v>6.0910589602215923</v>
      </c>
    </row>
    <row r="14" spans="1:9" ht="18.600000000000001" customHeight="1">
      <c r="A14" s="25" t="s">
        <v>153</v>
      </c>
      <c r="B14" s="26" t="s">
        <v>74</v>
      </c>
      <c r="C14" s="130" t="s">
        <v>31</v>
      </c>
      <c r="D14" s="141">
        <f ca="1">RANK(E14,E$2:E$161)</f>
        <v>13</v>
      </c>
      <c r="E14" s="30">
        <f ca="1">VLOOKUP(A14,Rankings!B1:H651,6,FALSE)+(RAND()*0.00001)</f>
        <v>470.39733433097223</v>
      </c>
      <c r="F14" s="30">
        <f ca="1">E14-VLOOKUP(Settings!$K$8,D1:E146,2,FALSE)</f>
        <v>134.8813330769355</v>
      </c>
      <c r="G14" s="141">
        <f ca="1">RANK(H14,H$2:H$161)</f>
        <v>19</v>
      </c>
      <c r="H14" s="30">
        <f ca="1">VLOOKUP(A14,Rankings!B1:H651,7,FALSE)+(RAND()*0.00001)</f>
        <v>4.2463229867461969</v>
      </c>
      <c r="I14" s="30">
        <f ca="1">H14-VLOOKUP(Settings!$K$8,G1:H146,2,FALSE)</f>
        <v>4.1103351088582709</v>
      </c>
    </row>
    <row r="15" spans="1:9" ht="18.600000000000001" customHeight="1">
      <c r="A15" s="25" t="s">
        <v>171</v>
      </c>
      <c r="B15" s="26" t="s">
        <v>95</v>
      </c>
      <c r="C15" s="130" t="s">
        <v>31</v>
      </c>
      <c r="D15" s="141">
        <f ca="1">RANK(E15,E$2:E$161)</f>
        <v>14</v>
      </c>
      <c r="E15" s="30">
        <f ca="1">VLOOKUP(A15,Rankings!B1:H651,6,FALSE)+(RAND()*0.00001)</f>
        <v>470.10800105462295</v>
      </c>
      <c r="F15" s="30">
        <f ca="1">E15-VLOOKUP(Settings!$K$8,D3:E152,2,FALSE)</f>
        <v>134.59199980058622</v>
      </c>
      <c r="G15" s="141">
        <f ca="1">RANK(H15,H$2:H$161)</f>
        <v>26</v>
      </c>
      <c r="H15" s="30">
        <f ca="1">VLOOKUP(A15,Rankings!B1:H651,7,FALSE)+(RAND()*0.00001)</f>
        <v>3.7493311147526427</v>
      </c>
      <c r="I15" s="30">
        <f ca="1">H15-VLOOKUP(Settings!$K$8,G3:H152,2,FALSE)</f>
        <v>3.6133432368647167</v>
      </c>
    </row>
    <row r="16" spans="1:9" ht="18.600000000000001" customHeight="1">
      <c r="A16" s="25" t="s">
        <v>130</v>
      </c>
      <c r="B16" s="26" t="s">
        <v>99</v>
      </c>
      <c r="C16" s="130" t="s">
        <v>31</v>
      </c>
      <c r="D16" s="141">
        <f ca="1">RANK(E16,E$2:E$161)</f>
        <v>15</v>
      </c>
      <c r="E16" s="30">
        <f ca="1">VLOOKUP(A16,Rankings!B1:H651,6,FALSE)+(RAND()*0.00001)</f>
        <v>461.45000266494202</v>
      </c>
      <c r="F16" s="30">
        <f ca="1">E16-VLOOKUP(Settings!$K$8,D4:E164,2,FALSE)</f>
        <v>125.9340014109053</v>
      </c>
      <c r="G16" s="141">
        <f ca="1">RANK(H16,H$2:H$161)</f>
        <v>11</v>
      </c>
      <c r="H16" s="30">
        <f ca="1">VLOOKUP(A16,Rankings!B1:H651,7,FALSE)+(RAND()*0.00001)</f>
        <v>5.2101050638526187</v>
      </c>
      <c r="I16" s="30">
        <f ca="1">H16-VLOOKUP(Settings!$K$8,G4:H164,2,FALSE)</f>
        <v>5.0741171859646927</v>
      </c>
    </row>
    <row r="17" spans="1:9" ht="18.600000000000001" customHeight="1">
      <c r="A17" s="25" t="s">
        <v>148</v>
      </c>
      <c r="B17" s="26" t="s">
        <v>116</v>
      </c>
      <c r="C17" s="130" t="s">
        <v>31</v>
      </c>
      <c r="D17" s="141">
        <f ca="1">RANK(E17,E$2:E$161)</f>
        <v>16</v>
      </c>
      <c r="E17" s="30">
        <f ca="1">VLOOKUP(A17,Rankings!B1:H651,6,FALSE)+(RAND()*0.00001)</f>
        <v>460.35000573493153</v>
      </c>
      <c r="F17" s="30">
        <f ca="1">E17-VLOOKUP(Settings!$K$8,D6:E166,2,FALSE)</f>
        <v>124.83400448089481</v>
      </c>
      <c r="G17" s="141">
        <f ca="1">RANK(H17,H$2:H$161)</f>
        <v>16</v>
      </c>
      <c r="H17" s="30">
        <f ca="1">VLOOKUP(A17,Rankings!B1:H651,7,FALSE)+(RAND()*0.00001)</f>
        <v>4.5245157393923279</v>
      </c>
      <c r="I17" s="30">
        <f ca="1">H17-VLOOKUP(Settings!$K$8,G6:H166,2,FALSE)</f>
        <v>4.3885278615044019</v>
      </c>
    </row>
    <row r="18" spans="1:9" ht="18.600000000000001" customHeight="1">
      <c r="A18" s="25" t="s">
        <v>146</v>
      </c>
      <c r="B18" s="26" t="s">
        <v>92</v>
      </c>
      <c r="C18" s="130" t="s">
        <v>31</v>
      </c>
      <c r="D18" s="141">
        <f ca="1">RANK(E18,E$2:E$161)</f>
        <v>17</v>
      </c>
      <c r="E18" s="30">
        <f ca="1">VLOOKUP(A18,Rankings!B1:H651,6,FALSE)+(RAND()*0.00001)</f>
        <v>457.83334251331507</v>
      </c>
      <c r="F18" s="30">
        <f ca="1">E18-VLOOKUP(Settings!$K$8,D1:E158,2,FALSE)</f>
        <v>122.31734125927835</v>
      </c>
      <c r="G18" s="141">
        <f ca="1">RANK(H18,H$2:H$161)</f>
        <v>15</v>
      </c>
      <c r="H18" s="30">
        <f ca="1">VLOOKUP(A18,Rankings!B1:H651,7,FALSE)+(RAND()*0.00001)</f>
        <v>4.5705332046499967</v>
      </c>
      <c r="I18" s="30">
        <f ca="1">H18-VLOOKUP(Settings!$K$8,G1:H158,2,FALSE)</f>
        <v>4.4345453267620707</v>
      </c>
    </row>
    <row r="19" spans="1:9" ht="18.600000000000001" customHeight="1">
      <c r="A19" s="25" t="s">
        <v>152</v>
      </c>
      <c r="B19" s="26" t="s">
        <v>82</v>
      </c>
      <c r="C19" s="130" t="s">
        <v>31</v>
      </c>
      <c r="D19" s="141">
        <f ca="1">RANK(E19,E$2:E$161)</f>
        <v>18</v>
      </c>
      <c r="E19" s="30">
        <f ca="1">VLOOKUP(A19,Rankings!B1:H651,6,FALSE)+(RAND()*0.00001)</f>
        <v>457.41200796382469</v>
      </c>
      <c r="F19" s="30">
        <f ca="1">E19-VLOOKUP(Settings!$K$8,D2:E152,2,FALSE)</f>
        <v>121.89600670978797</v>
      </c>
      <c r="G19" s="141">
        <f ca="1">RANK(H19,H$2:H$161)</f>
        <v>18</v>
      </c>
      <c r="H19" s="30">
        <f ca="1">VLOOKUP(A19,Rankings!B1:H651,7,FALSE)+(RAND()*0.00001)</f>
        <v>4.2556549349179917</v>
      </c>
      <c r="I19" s="30">
        <f ca="1">H19-VLOOKUP(Settings!$K$8,G2:H152,2,FALSE)</f>
        <v>4.1196670570300657</v>
      </c>
    </row>
    <row r="20" spans="1:9" ht="18.600000000000001" customHeight="1">
      <c r="A20" s="25" t="s">
        <v>149</v>
      </c>
      <c r="B20" s="26" t="s">
        <v>95</v>
      </c>
      <c r="C20" s="130" t="s">
        <v>31</v>
      </c>
      <c r="D20" s="141">
        <f ca="1">RANK(E20,E$2:E$161)</f>
        <v>19</v>
      </c>
      <c r="E20" s="30">
        <f ca="1">VLOOKUP(A20,Rankings!B1:H651,6,FALSE)+(RAND()*0.00001)</f>
        <v>454.28333797095399</v>
      </c>
      <c r="F20" s="30">
        <f ca="1">E20-VLOOKUP(Settings!$K$8,D5:E165,2,FALSE)</f>
        <v>118.76733671691727</v>
      </c>
      <c r="G20" s="141">
        <f ca="1">RANK(H20,H$2:H$161)</f>
        <v>17</v>
      </c>
      <c r="H20" s="30">
        <f ca="1">VLOOKUP(A20,Rankings!B1:H651,7,FALSE)+(RAND()*0.00001)</f>
        <v>4.3395305837220208</v>
      </c>
      <c r="I20" s="30">
        <f ca="1">H20-VLOOKUP(Settings!$K$8,G5:H165,2,FALSE)</f>
        <v>4.2035427058340948</v>
      </c>
    </row>
    <row r="21" spans="1:9" ht="18.600000000000001" customHeight="1">
      <c r="A21" s="25" t="s">
        <v>173</v>
      </c>
      <c r="B21" s="26" t="s">
        <v>64</v>
      </c>
      <c r="C21" s="130" t="s">
        <v>31</v>
      </c>
      <c r="D21" s="141">
        <f ca="1">RANK(E21,E$2:E$161)</f>
        <v>20</v>
      </c>
      <c r="E21" s="30">
        <f ca="1">VLOOKUP(A21,Rankings!B1:H651,6,FALSE)+(RAND()*0.00001)</f>
        <v>451.53333481171035</v>
      </c>
      <c r="F21" s="30">
        <f ca="1">E21-VLOOKUP(Settings!$K$8,D1:E159,2,FALSE)</f>
        <v>116.01733355767362</v>
      </c>
      <c r="G21" s="141">
        <f ca="1">RANK(H21,H$2:H$161)</f>
        <v>28</v>
      </c>
      <c r="H21" s="30">
        <f ca="1">VLOOKUP(A21,Rankings!B1:H651,7,FALSE)+(RAND()*0.00001)</f>
        <v>3.7337389363657372</v>
      </c>
      <c r="I21" s="30">
        <f ca="1">H21-VLOOKUP(Settings!$K$8,G1:H159,2,FALSE)</f>
        <v>3.5977510584778112</v>
      </c>
    </row>
    <row r="22" spans="1:9" ht="18.600000000000001" customHeight="1">
      <c r="A22" s="25" t="s">
        <v>164</v>
      </c>
      <c r="B22" s="26" t="s">
        <v>122</v>
      </c>
      <c r="C22" s="130" t="s">
        <v>31</v>
      </c>
      <c r="D22" s="141">
        <f ca="1">RANK(E22,E$2:E$161)</f>
        <v>21</v>
      </c>
      <c r="E22" s="30">
        <f ca="1">VLOOKUP(A22,Rankings!B1:H651,6,FALSE)+(RAND()*0.00001)</f>
        <v>449.16667016866433</v>
      </c>
      <c r="F22" s="30">
        <f ca="1">E22-VLOOKUP(Settings!$K$8,D3:E163,2,FALSE)</f>
        <v>113.6506689146276</v>
      </c>
      <c r="G22" s="141">
        <f ca="1">RANK(H22,H$2:H$161)</f>
        <v>23</v>
      </c>
      <c r="H22" s="30">
        <f ca="1">VLOOKUP(A22,Rankings!B1:H651,7,FALSE)+(RAND()*0.00001)</f>
        <v>3.907955594286888</v>
      </c>
      <c r="I22" s="30">
        <f ca="1">H22-VLOOKUP(Settings!$K$8,G3:H163,2,FALSE)</f>
        <v>3.771967716398962</v>
      </c>
    </row>
    <row r="23" spans="1:9" ht="18.600000000000001" customHeight="1">
      <c r="A23" s="25" t="s">
        <v>179</v>
      </c>
      <c r="B23" s="26" t="s">
        <v>72</v>
      </c>
      <c r="C23" s="130" t="s">
        <v>31</v>
      </c>
      <c r="D23" s="141">
        <f ca="1">RANK(E23,E$2:E$161)</f>
        <v>22</v>
      </c>
      <c r="E23" s="30">
        <f ca="1">VLOOKUP(A23,Rankings!B1:H651,6,FALSE)+(RAND()*0.00001)</f>
        <v>447.31667028793612</v>
      </c>
      <c r="F23" s="30">
        <f ca="1">E23-VLOOKUP(Settings!$K$8,D2:E162,2,FALSE)</f>
        <v>111.8006690338994</v>
      </c>
      <c r="G23" s="141">
        <f ca="1">RANK(H23,H$2:H$161)</f>
        <v>29</v>
      </c>
      <c r="H23" s="30">
        <f ca="1">VLOOKUP(A23,Rankings!B1:H651,7,FALSE)+(RAND()*0.00001)</f>
        <v>3.5751478706118527</v>
      </c>
      <c r="I23" s="30">
        <f ca="1">H23-VLOOKUP(Settings!$K$8,G2:H162,2,FALSE)</f>
        <v>3.4391599927239267</v>
      </c>
    </row>
    <row r="24" spans="1:9" ht="18.600000000000001" customHeight="1">
      <c r="A24" s="25" t="s">
        <v>191</v>
      </c>
      <c r="B24" s="26" t="s">
        <v>72</v>
      </c>
      <c r="C24" s="130" t="s">
        <v>31</v>
      </c>
      <c r="D24" s="141">
        <f ca="1">RANK(E24,E$2:E$161)</f>
        <v>23</v>
      </c>
      <c r="E24" s="30">
        <f ca="1">VLOOKUP(A24,Rankings!B1:H651,6,FALSE)+(RAND()*0.00001)</f>
        <v>443.4833334596795</v>
      </c>
      <c r="F24" s="30">
        <f ca="1">E24-VLOOKUP(Settings!$K$8,D6:E166,2,FALSE)</f>
        <v>107.96733220564278</v>
      </c>
      <c r="G24" s="141">
        <f ca="1">RANK(H24,H$2:H$161)</f>
        <v>31</v>
      </c>
      <c r="H24" s="30">
        <f ca="1">VLOOKUP(A24,Rankings!B1:H651,7,FALSE)+(RAND()*0.00001)</f>
        <v>3.1636852772183555</v>
      </c>
      <c r="I24" s="30">
        <f ca="1">H24-VLOOKUP(Settings!$K$8,G6:H166,2,FALSE)</f>
        <v>3.0276973993304295</v>
      </c>
    </row>
    <row r="25" spans="1:9" ht="18.600000000000001" customHeight="1">
      <c r="A25" s="25" t="s">
        <v>113</v>
      </c>
      <c r="B25" s="26" t="s">
        <v>74</v>
      </c>
      <c r="C25" s="130" t="s">
        <v>31</v>
      </c>
      <c r="D25" s="141">
        <f ca="1">RANK(E25,E$2:E$161)</f>
        <v>24</v>
      </c>
      <c r="E25" s="30">
        <f ca="1">VLOOKUP(A25,Rankings!B1:H651,6,FALSE)+(RAND()*0.00001)</f>
        <v>441.70000424572413</v>
      </c>
      <c r="F25" s="30">
        <f ca="1">E25-VLOOKUP(Settings!$K$8,D19:E179,2,FALSE)</f>
        <v>106.18400299168741</v>
      </c>
      <c r="G25" s="141">
        <f ca="1">RANK(H25,H$2:H$161)</f>
        <v>8</v>
      </c>
      <c r="H25" s="30">
        <f ca="1">VLOOKUP(A25,Rankings!B1:H651,7,FALSE)+(RAND()*0.00001)</f>
        <v>6.0611739597958394</v>
      </c>
      <c r="I25" s="30">
        <f ca="1">H25-VLOOKUP(Settings!$K$8,G19:H179,2,FALSE)</f>
        <v>5.9251860819079134</v>
      </c>
    </row>
    <row r="26" spans="1:9" ht="18.600000000000001" customHeight="1">
      <c r="A26" s="25" t="s">
        <v>181</v>
      </c>
      <c r="B26" s="26" t="s">
        <v>77</v>
      </c>
      <c r="C26" s="130" t="s">
        <v>31</v>
      </c>
      <c r="D26" s="141">
        <f ca="1">RANK(E26,E$2:E$161)</f>
        <v>25</v>
      </c>
      <c r="E26" s="30">
        <f ca="1">VLOOKUP(A26,Rankings!B1:H651,6,FALSE)+(RAND()*0.00001)</f>
        <v>439.20000161571386</v>
      </c>
      <c r="F26" s="30">
        <f ca="1">E26-VLOOKUP(Settings!$K$8,D3:E162,2,FALSE)</f>
        <v>103.68400036167714</v>
      </c>
      <c r="G26" s="141">
        <f ca="1">RANK(H26,H$2:H$161)</f>
        <v>30</v>
      </c>
      <c r="H26" s="30">
        <f ca="1">VLOOKUP(A26,Rankings!B1:H651,7,FALSE)+(RAND()*0.00001)</f>
        <v>3.4993733188798672</v>
      </c>
      <c r="I26" s="30">
        <f ca="1">H26-VLOOKUP(Settings!$K$8,G3:H162,2,FALSE)</f>
        <v>3.3633854409919413</v>
      </c>
    </row>
    <row r="27" spans="1:9" ht="18.600000000000001" customHeight="1">
      <c r="A27" s="25" t="s">
        <v>86</v>
      </c>
      <c r="B27" s="26" t="s">
        <v>87</v>
      </c>
      <c r="C27" s="130" t="s">
        <v>31</v>
      </c>
      <c r="D27" s="141">
        <f ca="1">RANK(E27,E$2:E$161)</f>
        <v>26</v>
      </c>
      <c r="E27" s="30">
        <f ca="1">VLOOKUP(A27,Rankings!B1:H651,6,FALSE)+(RAND()*0.00001)</f>
        <v>436.81667450132176</v>
      </c>
      <c r="F27" s="30">
        <f ca="1">E27-VLOOKUP(Settings!$K$8,D23:E183,2,FALSE)</f>
        <v>101.30067324728503</v>
      </c>
      <c r="G27" s="141">
        <f ca="1">RANK(H27,H$2:H$161)</f>
        <v>2</v>
      </c>
      <c r="H27" s="30">
        <f ca="1">VLOOKUP(A27,Rankings!B1:H651,7,FALSE)+(RAND()*0.00001)</f>
        <v>7.7871629842648193</v>
      </c>
      <c r="I27" s="30">
        <f ca="1">H27-VLOOKUP(Settings!$K$8,G23:H183,2,FALSE)</f>
        <v>7.6511751063768934</v>
      </c>
    </row>
    <row r="28" spans="1:9" ht="18.600000000000001" customHeight="1">
      <c r="A28" s="25" t="s">
        <v>154</v>
      </c>
      <c r="B28" s="26" t="s">
        <v>79</v>
      </c>
      <c r="C28" s="130" t="s">
        <v>31</v>
      </c>
      <c r="D28" s="141">
        <f ca="1">RANK(E28,E$2:E$161)</f>
        <v>27</v>
      </c>
      <c r="E28" s="30">
        <f ca="1">VLOOKUP(A28,Rankings!B1:H651,6,FALSE)+(RAND()*0.00001)</f>
        <v>429.9000005051729</v>
      </c>
      <c r="F28" s="30">
        <f ca="1">E28-VLOOKUP(Settings!$K$8,D11:E171,2,FALSE)</f>
        <v>94.383999251136174</v>
      </c>
      <c r="G28" s="141">
        <f ca="1">RANK(H28,H$2:H$161)</f>
        <v>20</v>
      </c>
      <c r="H28" s="30">
        <f ca="1">VLOOKUP(A28,Rankings!B1:H651,7,FALSE)+(RAND()*0.00001)</f>
        <v>4.2345751780392158</v>
      </c>
      <c r="I28" s="30">
        <f ca="1">H28-VLOOKUP(Settings!$K$8,G11:H171,2,FALSE)</f>
        <v>4.0985873001512898</v>
      </c>
    </row>
    <row r="29" spans="1:9" ht="18.600000000000001" customHeight="1">
      <c r="A29" s="25" t="s">
        <v>172</v>
      </c>
      <c r="B29" s="26" t="s">
        <v>69</v>
      </c>
      <c r="C29" s="130" t="s">
        <v>31</v>
      </c>
      <c r="D29" s="141">
        <f ca="1">RANK(E29,E$2:E$161)</f>
        <v>28</v>
      </c>
      <c r="E29" s="30">
        <f ca="1">VLOOKUP(A29,Rankings!B1:H651,6,FALSE)+(RAND()*0.00001)</f>
        <v>427.95000915443416</v>
      </c>
      <c r="F29" s="30">
        <f ca="1">E29-VLOOKUP(Settings!$K$8,D3:E160,2,FALSE)</f>
        <v>92.434007900397432</v>
      </c>
      <c r="G29" s="141">
        <f ca="1">RANK(H29,H$2:H$161)</f>
        <v>27</v>
      </c>
      <c r="H29" s="30">
        <f ca="1">VLOOKUP(A29,Rankings!B1:H651,7,FALSE)+(RAND()*0.00001)</f>
        <v>3.7392253694074924</v>
      </c>
      <c r="I29" s="30">
        <f ca="1">H29-VLOOKUP(Settings!$K$8,G3:H160,2,FALSE)</f>
        <v>3.6032374915195664</v>
      </c>
    </row>
    <row r="30" spans="1:9" ht="18.600000000000001" customHeight="1">
      <c r="A30" s="25" t="s">
        <v>221</v>
      </c>
      <c r="B30" s="26" t="s">
        <v>219</v>
      </c>
      <c r="C30" s="130" t="s">
        <v>31</v>
      </c>
      <c r="D30" s="141">
        <f ca="1">RANK(E30,E$2:E$161)</f>
        <v>29</v>
      </c>
      <c r="E30" s="30">
        <f ca="1">VLOOKUP(A30,Rankings!B1:H651,6,FALSE)+(RAND()*0.00001)</f>
        <v>422.9040095514635</v>
      </c>
      <c r="F30" s="30">
        <f ca="1">E30-VLOOKUP(Settings!$K$8,D1:E148,2,FALSE)</f>
        <v>87.388008297426779</v>
      </c>
      <c r="G30" s="141">
        <f ca="1">RANK(H30,H$2:H$161)</f>
        <v>37</v>
      </c>
      <c r="H30" s="30">
        <f ca="1">VLOOKUP(A30,Rankings!B1:H651,7,FALSE)+(RAND()*0.00001)</f>
        <v>2.3426760757863421</v>
      </c>
      <c r="I30" s="30">
        <f ca="1">H30-VLOOKUP(Settings!$K$8,G1:H148,2,FALSE)</f>
        <v>2.2066881978984161</v>
      </c>
    </row>
    <row r="31" spans="1:9" ht="18.600000000000001" customHeight="1">
      <c r="A31" s="25" t="s">
        <v>209</v>
      </c>
      <c r="B31" s="26" t="s">
        <v>95</v>
      </c>
      <c r="C31" s="130" t="s">
        <v>31</v>
      </c>
      <c r="D31" s="141">
        <f ca="1">RANK(E31,E$2:E$161)</f>
        <v>30</v>
      </c>
      <c r="E31" s="30">
        <f ca="1">VLOOKUP(A31,Rankings!B1:H651,6,FALSE)+(RAND()*0.00001)</f>
        <v>419.13734086453724</v>
      </c>
      <c r="F31" s="30">
        <f ca="1">E31-VLOOKUP(Settings!$K$8,D2:E150,2,FALSE)</f>
        <v>83.621339610500513</v>
      </c>
      <c r="G31" s="141">
        <f ca="1">RANK(H31,H$2:H$161)</f>
        <v>34</v>
      </c>
      <c r="H31" s="30">
        <f ca="1">VLOOKUP(A31,Rankings!B1:H651,7,FALSE)+(RAND()*0.00001)</f>
        <v>2.5163712888201153</v>
      </c>
      <c r="I31" s="30">
        <f ca="1">H31-VLOOKUP(Settings!$K$8,G2:H150,2,FALSE)</f>
        <v>2.3803834109321893</v>
      </c>
    </row>
    <row r="32" spans="1:9" ht="18.600000000000001" customHeight="1">
      <c r="A32" s="25" t="s">
        <v>227</v>
      </c>
      <c r="B32" s="26" t="s">
        <v>72</v>
      </c>
      <c r="C32" s="130" t="s">
        <v>31</v>
      </c>
      <c r="D32" s="141">
        <f ca="1">RANK(E32,E$2:E$161)</f>
        <v>31</v>
      </c>
      <c r="E32" s="30">
        <f ca="1">VLOOKUP(A32,Rankings!B1:H651,6,FALSE)+(RAND()*0.00001)</f>
        <v>418.37666926045517</v>
      </c>
      <c r="F32" s="30">
        <f ca="1">E32-VLOOKUP(Settings!$K$8,D2:E154,2,FALSE)</f>
        <v>82.86066800641845</v>
      </c>
      <c r="G32" s="141">
        <f ca="1">RANK(H32,H$2:H$161)</f>
        <v>40</v>
      </c>
      <c r="H32" s="30">
        <f ca="1">VLOOKUP(A32,Rankings!B1:H651,7,FALSE)+(RAND()*0.00001)</f>
        <v>2.1569514128460194</v>
      </c>
      <c r="I32" s="30">
        <f ca="1">H32-VLOOKUP(Settings!$K$8,G2:H154,2,FALSE)</f>
        <v>2.0209635349580934</v>
      </c>
    </row>
    <row r="33" spans="1:9" ht="18.600000000000001" customHeight="1">
      <c r="A33" s="25" t="s">
        <v>155</v>
      </c>
      <c r="B33" s="26" t="s">
        <v>69</v>
      </c>
      <c r="C33" s="130" t="s">
        <v>31</v>
      </c>
      <c r="D33" s="141">
        <f ca="1">RANK(E33,E$2:E$161)</f>
        <v>32</v>
      </c>
      <c r="E33" s="30">
        <f ca="1">VLOOKUP(A33,Rankings!B1:H651,6,FALSE)+(RAND()*0.00001)</f>
        <v>412.31667517748684</v>
      </c>
      <c r="F33" s="30">
        <f ca="1">E33-VLOOKUP(Settings!$K$8,D7:E167,2,FALSE)</f>
        <v>76.80067392345012</v>
      </c>
      <c r="G33" s="141">
        <f ca="1">RANK(H33,H$2:H$161)</f>
        <v>21</v>
      </c>
      <c r="H33" s="30">
        <f ca="1">VLOOKUP(A33,Rankings!B1:H651,7,FALSE)+(RAND()*0.00001)</f>
        <v>4.2120094776949939</v>
      </c>
      <c r="I33" s="30">
        <f ca="1">H33-VLOOKUP(Settings!$K$8,G7:H167,2,FALSE)</f>
        <v>4.0760215998070679</v>
      </c>
    </row>
    <row r="34" spans="1:9" ht="18.600000000000001" customHeight="1">
      <c r="A34" s="25" t="s">
        <v>238</v>
      </c>
      <c r="B34" s="26" t="s">
        <v>74</v>
      </c>
      <c r="C34" s="130" t="s">
        <v>31</v>
      </c>
      <c r="D34" s="141">
        <f ca="1">RANK(E34,E$2:E$161)</f>
        <v>33</v>
      </c>
      <c r="E34" s="30">
        <f ca="1">VLOOKUP(A34,Rankings!B1:H651,6,FALSE)+(RAND()*0.00001)</f>
        <v>412.06200197465779</v>
      </c>
      <c r="F34" s="30">
        <f ca="1">E34-VLOOKUP(Settings!$K$8,D1:E150,2,FALSE)</f>
        <v>76.546000720621066</v>
      </c>
      <c r="G34" s="141">
        <f ca="1">RANK(H34,H$2:H$161)</f>
        <v>44</v>
      </c>
      <c r="H34" s="30">
        <f ca="1">VLOOKUP(A34,Rankings!B1:H651,7,FALSE)+(RAND()*0.00001)</f>
        <v>1.8758278379304583</v>
      </c>
      <c r="I34" s="30">
        <f ca="1">H34-VLOOKUP(Settings!$K$8,G1:H150,2,FALSE)</f>
        <v>1.7398399600425323</v>
      </c>
    </row>
    <row r="35" spans="1:9" ht="18.600000000000001" customHeight="1">
      <c r="A35" s="25" t="s">
        <v>263</v>
      </c>
      <c r="B35" s="26" t="s">
        <v>125</v>
      </c>
      <c r="C35" s="130" t="s">
        <v>31</v>
      </c>
      <c r="D35" s="141">
        <f ca="1">RANK(E35,E$2:E$161)</f>
        <v>34</v>
      </c>
      <c r="E35" s="30">
        <f ca="1">VLOOKUP(A35,Rankings!B1:H651,6,FALSE)+(RAND()*0.00001)</f>
        <v>402.57600031496281</v>
      </c>
      <c r="F35" s="30">
        <f ca="1">E35-VLOOKUP(Settings!$K$8,D1:E138,2,FALSE)</f>
        <v>67.059999060926089</v>
      </c>
      <c r="G35" s="141">
        <f ca="1">RANK(H35,H$2:H$161)</f>
        <v>51</v>
      </c>
      <c r="H35" s="30">
        <f ca="1">VLOOKUP(A35,Rankings!B1:H651,7,FALSE)+(RAND()*0.00001)</f>
        <v>1.3087312832731979</v>
      </c>
      <c r="I35" s="30">
        <f ca="1">H35-VLOOKUP(Settings!$K$8,G1:H138,2,FALSE)</f>
        <v>1.1727434053852719</v>
      </c>
    </row>
    <row r="36" spans="1:9" ht="18.600000000000001" customHeight="1">
      <c r="A36" s="25" t="s">
        <v>234</v>
      </c>
      <c r="B36" s="26" t="s">
        <v>125</v>
      </c>
      <c r="C36" s="130" t="s">
        <v>31</v>
      </c>
      <c r="D36" s="141">
        <f ca="1">RANK(E36,E$2:E$161)</f>
        <v>35</v>
      </c>
      <c r="E36" s="30">
        <f ca="1">VLOOKUP(A36,Rankings!B1:H651,6,FALSE)+(RAND()*0.00001)</f>
        <v>402.17066882802004</v>
      </c>
      <c r="F36" s="30">
        <f ca="1">E36-VLOOKUP(Settings!$K$8,D1:E150,2,FALSE)</f>
        <v>66.654667573983318</v>
      </c>
      <c r="G36" s="141">
        <f ca="1">RANK(H36,H$2:H$161)</f>
        <v>43</v>
      </c>
      <c r="H36" s="30">
        <f ca="1">VLOOKUP(A36,Rankings!B1:H651,7,FALSE)+(RAND()*0.00001)</f>
        <v>2.0104288862380115</v>
      </c>
      <c r="I36" s="30">
        <f ca="1">H36-VLOOKUP(Settings!$K$8,G1:H150,2,FALSE)</f>
        <v>1.8744410083500855</v>
      </c>
    </row>
    <row r="37" spans="1:9" ht="18.600000000000001" customHeight="1">
      <c r="A37" s="25" t="s">
        <v>216</v>
      </c>
      <c r="B37" s="26" t="s">
        <v>116</v>
      </c>
      <c r="C37" s="130" t="s">
        <v>31</v>
      </c>
      <c r="D37" s="141">
        <f ca="1">RANK(E37,E$2:E$161)</f>
        <v>36</v>
      </c>
      <c r="E37" s="30">
        <f ca="1">VLOOKUP(A37,Rankings!B1:H651,6,FALSE)+(RAND()*0.00001)</f>
        <v>398.11667098554034</v>
      </c>
      <c r="F37" s="30">
        <f ca="1">E37-VLOOKUP(Settings!$K$8,D1:E158,2,FALSE)</f>
        <v>62.600669731503615</v>
      </c>
      <c r="G37" s="141">
        <f ca="1">RANK(H37,H$2:H$161)</f>
        <v>36</v>
      </c>
      <c r="H37" s="30">
        <f ca="1">VLOOKUP(A37,Rankings!B1:H651,7,FALSE)+(RAND()*0.00001)</f>
        <v>2.3667921115885546</v>
      </c>
      <c r="I37" s="30">
        <f ca="1">H37-VLOOKUP(Settings!$K$8,G1:H158,2,FALSE)</f>
        <v>2.2308042337006286</v>
      </c>
    </row>
    <row r="38" spans="1:9" ht="18.600000000000001" customHeight="1">
      <c r="A38" s="25" t="s">
        <v>203</v>
      </c>
      <c r="B38" s="26" t="s">
        <v>158</v>
      </c>
      <c r="C38" s="130" t="s">
        <v>31</v>
      </c>
      <c r="D38" s="141">
        <f ca="1">RANK(E38,E$2:E$161)</f>
        <v>37</v>
      </c>
      <c r="E38" s="30">
        <f ca="1">VLOOKUP(A38,Rankings!B1:H651,6,FALSE)+(RAND()*0.00001)</f>
        <v>397.56667036994531</v>
      </c>
      <c r="F38" s="30">
        <f ca="1">E38-VLOOKUP(Settings!$K$8,D4:E162,2,FALSE)</f>
        <v>62.05066911590859</v>
      </c>
      <c r="G38" s="141">
        <f ca="1">RANK(H38,H$2:H$161)</f>
        <v>33</v>
      </c>
      <c r="H38" s="30">
        <f ca="1">VLOOKUP(A38,Rankings!B1:H651,7,FALSE)+(RAND()*0.00001)</f>
        <v>2.7229064274377905</v>
      </c>
      <c r="I38" s="30">
        <f ca="1">H38-VLOOKUP(Settings!$K$8,G4:H162,2,FALSE)</f>
        <v>2.5869185495498646</v>
      </c>
    </row>
    <row r="39" spans="1:9" ht="18.600000000000001" customHeight="1">
      <c r="A39" s="25" t="s">
        <v>285</v>
      </c>
      <c r="B39" s="26" t="s">
        <v>122</v>
      </c>
      <c r="C39" s="130" t="s">
        <v>31</v>
      </c>
      <c r="D39" s="141">
        <f ca="1">RANK(E39,E$2:E$161)</f>
        <v>38</v>
      </c>
      <c r="E39" s="30">
        <f ca="1">VLOOKUP(A39,Rankings!B1:H651,6,FALSE)+(RAND()*0.00001)</f>
        <v>394.51000063523639</v>
      </c>
      <c r="F39" s="30">
        <f ca="1">E39-VLOOKUP(Settings!$K$8,D1:E146,2,FALSE)</f>
        <v>58.993999381199671</v>
      </c>
      <c r="G39" s="141">
        <f ca="1">RANK(H39,H$2:H$161)</f>
        <v>58</v>
      </c>
      <c r="H39" s="30">
        <f ca="1">VLOOKUP(A39,Rankings!B1:H651,7,FALSE)+(RAND()*0.00001)</f>
        <v>0.85361604890176224</v>
      </c>
      <c r="I39" s="30">
        <f ca="1">H39-VLOOKUP(Settings!$K$8,G1:H146,2,FALSE)</f>
        <v>0.71762817101383625</v>
      </c>
    </row>
    <row r="40" spans="1:9" ht="18.600000000000001" customHeight="1">
      <c r="A40" s="25" t="s">
        <v>242</v>
      </c>
      <c r="B40" s="26" t="s">
        <v>74</v>
      </c>
      <c r="C40" s="130" t="s">
        <v>31</v>
      </c>
      <c r="D40" s="141">
        <f ca="1">RANK(E40,E$2:E$161)</f>
        <v>39</v>
      </c>
      <c r="E40" s="30">
        <f ca="1">VLOOKUP(A40,Rankings!B1:H651,6,FALSE)+(RAND()*0.00001)</f>
        <v>394.15000096495794</v>
      </c>
      <c r="F40" s="30">
        <f ca="1">E40-VLOOKUP(Settings!$K$8,D3:E163,2,FALSE)</f>
        <v>58.633999710921216</v>
      </c>
      <c r="G40" s="141">
        <f ca="1">RANK(H40,H$2:H$161)</f>
        <v>46</v>
      </c>
      <c r="H40" s="30">
        <f ca="1">VLOOKUP(A40,Rankings!B1:H651,7,FALSE)+(RAND()*0.00001)</f>
        <v>1.7648991589894725</v>
      </c>
      <c r="I40" s="30">
        <f ca="1">H40-VLOOKUP(Settings!$K$8,G3:H163,2,FALSE)</f>
        <v>1.6289112811015465</v>
      </c>
    </row>
    <row r="41" spans="1:9" ht="18.600000000000001" customHeight="1">
      <c r="A41" s="25" t="s">
        <v>212</v>
      </c>
      <c r="B41" s="26" t="s">
        <v>72</v>
      </c>
      <c r="C41" s="130" t="s">
        <v>31</v>
      </c>
      <c r="D41" s="141">
        <f ca="1">RANK(E41,E$2:E$161)</f>
        <v>40</v>
      </c>
      <c r="E41" s="30">
        <f ca="1">VLOOKUP(A41,Rankings!B1:H651,6,FALSE)+(RAND()*0.00001)</f>
        <v>392.59334135380095</v>
      </c>
      <c r="F41" s="30">
        <f ca="1">E41-VLOOKUP(Settings!$K$8,D5:E161,2,FALSE)</f>
        <v>57.077340099764228</v>
      </c>
      <c r="G41" s="141">
        <f ca="1">RANK(H41,H$2:H$161)</f>
        <v>35</v>
      </c>
      <c r="H41" s="30">
        <f ca="1">VLOOKUP(A41,Rankings!B1:H651,7,FALSE)+(RAND()*0.00001)</f>
        <v>2.4336451196846505</v>
      </c>
      <c r="I41" s="30">
        <f ca="1">H41-VLOOKUP(Settings!$K$8,G5:H161,2,FALSE)</f>
        <v>2.2976572417967245</v>
      </c>
    </row>
    <row r="42" spans="1:9" ht="18.600000000000001" customHeight="1">
      <c r="A42" s="25" t="s">
        <v>271</v>
      </c>
      <c r="B42" s="26" t="s">
        <v>119</v>
      </c>
      <c r="C42" s="130" t="s">
        <v>31</v>
      </c>
      <c r="D42" s="141">
        <f ca="1">RANK(E42,E$2:E$161)</f>
        <v>41</v>
      </c>
      <c r="E42" s="30">
        <f ca="1">VLOOKUP(A42,Rankings!B1:H651,6,FALSE)+(RAND()*0.00001)</f>
        <v>388.71133408870844</v>
      </c>
      <c r="F42" s="30">
        <f ca="1">E42-VLOOKUP(Settings!$K$8,D1:E154,2,FALSE)</f>
        <v>53.195332834671717</v>
      </c>
      <c r="G42" s="141">
        <f ca="1">RANK(H42,H$2:H$161)</f>
        <v>52</v>
      </c>
      <c r="H42" s="30">
        <f ca="1">VLOOKUP(A42,Rankings!B1:H651,7,FALSE)+(RAND()*0.00001)</f>
        <v>1.1541975602600258</v>
      </c>
      <c r="I42" s="30">
        <f ca="1">H42-VLOOKUP(Settings!$K$8,G1:H154,2,FALSE)</f>
        <v>1.0182096823720999</v>
      </c>
    </row>
    <row r="43" spans="1:9" ht="18.600000000000001" customHeight="1">
      <c r="A43" s="25" t="s">
        <v>246</v>
      </c>
      <c r="B43" s="26" t="s">
        <v>158</v>
      </c>
      <c r="C43" s="130" t="s">
        <v>31</v>
      </c>
      <c r="D43" s="141">
        <f ca="1">RANK(E43,E$2:E$161)</f>
        <v>42</v>
      </c>
      <c r="E43" s="30">
        <f ca="1">VLOOKUP(A43,Rankings!B1:H651,6,FALSE)+(RAND()*0.00001)</f>
        <v>385.33400681354124</v>
      </c>
      <c r="F43" s="30">
        <f ca="1">E43-VLOOKUP(Settings!$K$8,D1:E158,2,FALSE)</f>
        <v>49.818005559504513</v>
      </c>
      <c r="G43" s="141">
        <f ca="1">RANK(H43,H$2:H$161)</f>
        <v>47</v>
      </c>
      <c r="H43" s="30">
        <f ca="1">VLOOKUP(A43,Rankings!B1:H651,7,FALSE)+(RAND()*0.00001)</f>
        <v>1.7141793008174082</v>
      </c>
      <c r="I43" s="30">
        <f ca="1">H43-VLOOKUP(Settings!$K$8,G1:H158,2,FALSE)</f>
        <v>1.5781914229294822</v>
      </c>
    </row>
    <row r="44" spans="1:9" ht="18.600000000000001" customHeight="1">
      <c r="A44" s="25" t="s">
        <v>156</v>
      </c>
      <c r="B44" s="26" t="s">
        <v>82</v>
      </c>
      <c r="C44" s="130" t="s">
        <v>31</v>
      </c>
      <c r="D44" s="141">
        <f ca="1">RANK(E44,E$2:E$161)</f>
        <v>43</v>
      </c>
      <c r="E44" s="30">
        <f ca="1">VLOOKUP(A44,Rankings!B1:H651,6,FALSE)+(RAND()*0.00001)</f>
        <v>384.0500027684194</v>
      </c>
      <c r="F44" s="30">
        <f ca="1">E44-VLOOKUP(Settings!$K$8,D11:E171,2,FALSE)</f>
        <v>48.53400151438268</v>
      </c>
      <c r="G44" s="141">
        <f ca="1">RANK(H44,H$2:H$161)</f>
        <v>22</v>
      </c>
      <c r="H44" s="30">
        <f ca="1">VLOOKUP(A44,Rankings!B1:H651,7,FALSE)+(RAND()*0.00001)</f>
        <v>4.1571665648670733</v>
      </c>
      <c r="I44" s="30">
        <f ca="1">H44-VLOOKUP(Settings!$K$8,G11:H171,2,FALSE)</f>
        <v>4.0211786869791473</v>
      </c>
    </row>
    <row r="45" spans="1:9" ht="18.600000000000001" customHeight="1">
      <c r="A45" s="25" t="s">
        <v>280</v>
      </c>
      <c r="B45" s="26" t="s">
        <v>116</v>
      </c>
      <c r="C45" s="130" t="s">
        <v>31</v>
      </c>
      <c r="D45" s="141">
        <f ca="1">RANK(E45,E$2:E$161)</f>
        <v>44</v>
      </c>
      <c r="E45" s="30">
        <f ca="1">VLOOKUP(A45,Rankings!B1:H651,6,FALSE)+(RAND()*0.00001)</f>
        <v>383.28334168088378</v>
      </c>
      <c r="F45" s="30">
        <f ca="1">E45-VLOOKUP(Settings!$K$8,D4:E162,2,FALSE)</f>
        <v>47.767340426847056</v>
      </c>
      <c r="G45" s="141">
        <f ca="1">RANK(H45,H$2:H$161)</f>
        <v>55</v>
      </c>
      <c r="H45" s="30">
        <f ca="1">VLOOKUP(A45,Rankings!B1:H651,7,FALSE)+(RAND()*0.00001)</f>
        <v>0.97518391198837195</v>
      </c>
      <c r="I45" s="30">
        <f ca="1">H45-VLOOKUP(Settings!$K$8,G4:H162,2,FALSE)</f>
        <v>0.83919603410044596</v>
      </c>
    </row>
    <row r="46" spans="1:9" ht="18.600000000000001" customHeight="1">
      <c r="A46" s="25" t="s">
        <v>233</v>
      </c>
      <c r="B46" s="26" t="s">
        <v>225</v>
      </c>
      <c r="C46" s="130" t="s">
        <v>31</v>
      </c>
      <c r="D46" s="141">
        <f ca="1">RANK(E46,E$2:E$161)</f>
        <v>45</v>
      </c>
      <c r="E46" s="30">
        <f ca="1">VLOOKUP(A46,Rankings!B1:H651,6,FALSE)+(RAND()*0.00001)</f>
        <v>379.93333614948494</v>
      </c>
      <c r="F46" s="30">
        <f ca="1">E46-VLOOKUP(Settings!$K$8,D14:E174,2,FALSE)</f>
        <v>44.417334895448221</v>
      </c>
      <c r="G46" s="141">
        <f ca="1">RANK(H46,H$2:H$161)</f>
        <v>42</v>
      </c>
      <c r="H46" s="30">
        <f ca="1">VLOOKUP(A46,Rankings!B1:H651,7,FALSE)+(RAND()*0.00001)</f>
        <v>2.0168537824577064</v>
      </c>
      <c r="I46" s="30">
        <f ca="1">H46-VLOOKUP(Settings!$K$8,G14:H174,2,FALSE)</f>
        <v>1.8808659045697804</v>
      </c>
    </row>
    <row r="47" spans="1:9" ht="18.600000000000001" customHeight="1">
      <c r="A47" s="25" t="s">
        <v>224</v>
      </c>
      <c r="B47" s="26" t="s">
        <v>225</v>
      </c>
      <c r="C47" s="130" t="s">
        <v>31</v>
      </c>
      <c r="D47" s="141">
        <f ca="1">RANK(E47,E$2:E$161)</f>
        <v>46</v>
      </c>
      <c r="E47" s="30">
        <f ca="1">VLOOKUP(A47,Rankings!B1:H651,6,FALSE)+(RAND()*0.00001)</f>
        <v>378.50000250966519</v>
      </c>
      <c r="F47" s="30">
        <f ca="1">E47-VLOOKUP(Settings!$K$8,D16:E176,2,FALSE)</f>
        <v>42.984001255628471</v>
      </c>
      <c r="G47" s="141">
        <f ca="1">RANK(H47,H$2:H$161)</f>
        <v>38</v>
      </c>
      <c r="H47" s="30">
        <f ca="1">VLOOKUP(A47,Rankings!B1:H651,7,FALSE)+(RAND()*0.00001)</f>
        <v>2.1944106358200153</v>
      </c>
      <c r="I47" s="30">
        <f ca="1">H47-VLOOKUP(Settings!$K$8,G16:H176,2,FALSE)</f>
        <v>2.0584227579320893</v>
      </c>
    </row>
    <row r="48" spans="1:9" ht="18.600000000000001" customHeight="1">
      <c r="A48" s="25" t="s">
        <v>284</v>
      </c>
      <c r="B48" s="26" t="s">
        <v>85</v>
      </c>
      <c r="C48" s="130" t="s">
        <v>31</v>
      </c>
      <c r="D48" s="141">
        <f ca="1">RANK(E48,E$2:E$161)</f>
        <v>47</v>
      </c>
      <c r="E48" s="30">
        <f ca="1">VLOOKUP(A48,Rankings!B1:H651,6,FALSE)+(RAND()*0.00001)</f>
        <v>377.55667015267932</v>
      </c>
      <c r="F48" s="30">
        <f ca="1">E48-VLOOKUP(Settings!$K$8,D1:E141,2,FALSE)</f>
        <v>42.040668898642593</v>
      </c>
      <c r="G48" s="141">
        <f ca="1">RANK(H48,H$2:H$161)</f>
        <v>57</v>
      </c>
      <c r="H48" s="30">
        <f ca="1">VLOOKUP(A48,Rankings!B1:H651,7,FALSE)+(RAND()*0.00001)</f>
        <v>0.87370111685140051</v>
      </c>
      <c r="I48" s="30">
        <f ca="1">H48-VLOOKUP(Settings!$K$8,G1:H141,2,FALSE)</f>
        <v>0.73771323896347452</v>
      </c>
    </row>
    <row r="49" spans="1:9" ht="18.600000000000001" customHeight="1">
      <c r="A49" s="25" t="s">
        <v>322</v>
      </c>
      <c r="B49" s="26" t="s">
        <v>125</v>
      </c>
      <c r="C49" s="130" t="s">
        <v>31</v>
      </c>
      <c r="D49" s="141">
        <f ca="1">RANK(E49,E$2:E$161)</f>
        <v>48</v>
      </c>
      <c r="E49" s="30">
        <f ca="1">VLOOKUP(A49,Rankings!B1:H651,6,FALSE)+(RAND()*0.00001)</f>
        <v>374.04533553178544</v>
      </c>
      <c r="F49" s="30">
        <f ca="1">E49-VLOOKUP(Settings!$K$8,D1:E137,2,FALSE)</f>
        <v>38.529334277748717</v>
      </c>
      <c r="G49" s="141">
        <f ca="1">RANK(H49,H$2:H$161)</f>
        <v>66</v>
      </c>
      <c r="H49" s="30">
        <f ca="1">VLOOKUP(A49,Rankings!B1:H651,7,FALSE)+(RAND()*0.00001)</f>
        <v>0.32656705044326989</v>
      </c>
      <c r="I49" s="30">
        <f ca="1">H49-VLOOKUP(Settings!$K$8,G1:H137,2,FALSE)</f>
        <v>0.19057917255534393</v>
      </c>
    </row>
    <row r="50" spans="1:9" ht="18.600000000000001" customHeight="1">
      <c r="A50" s="25" t="s">
        <v>339</v>
      </c>
      <c r="B50" s="26" t="s">
        <v>95</v>
      </c>
      <c r="C50" s="130" t="s">
        <v>31</v>
      </c>
      <c r="D50" s="141">
        <f ca="1">RANK(E50,E$2:E$161)</f>
        <v>49</v>
      </c>
      <c r="E50" s="30">
        <f ca="1">VLOOKUP(A50,Rankings!B1:H651,6,FALSE)+(RAND()*0.00001)</f>
        <v>372.32666876779444</v>
      </c>
      <c r="F50" s="30">
        <f ca="1">E50-VLOOKUP(Settings!$K$8,D1:E151,2,FALSE)</f>
        <v>36.810667513757721</v>
      </c>
      <c r="G50" s="141">
        <f ca="1">RANK(H50,H$2:H$161)</f>
        <v>69</v>
      </c>
      <c r="H50" s="30">
        <f ca="1">VLOOKUP(A50,Rankings!B1:H651,7,FALSE)+(RAND()*0.00001)</f>
        <v>0.12587537304024626</v>
      </c>
      <c r="I50" s="30">
        <f ca="1">H50-VLOOKUP(Settings!$K$8,G1:H151,2,FALSE)</f>
        <v>-1.0112504847679699E-2</v>
      </c>
    </row>
    <row r="51" spans="1:9" ht="18.600000000000001" customHeight="1">
      <c r="A51" s="25" t="s">
        <v>256</v>
      </c>
      <c r="B51" s="26" t="s">
        <v>219</v>
      </c>
      <c r="C51" s="130" t="s">
        <v>31</v>
      </c>
      <c r="D51" s="141">
        <f ca="1">RANK(E51,E$2:E$161)</f>
        <v>50</v>
      </c>
      <c r="E51" s="30">
        <f ca="1">VLOOKUP(A51,Rankings!B1:H651,6,FALSE)+(RAND()*0.00001)</f>
        <v>372.31400505911517</v>
      </c>
      <c r="F51" s="30">
        <f ca="1">E51-VLOOKUP(Settings!$K$8,D2:E162,2,FALSE)</f>
        <v>36.798003805078451</v>
      </c>
      <c r="G51" s="141">
        <f ca="1">RANK(H51,H$2:H$161)</f>
        <v>50</v>
      </c>
      <c r="H51" s="30">
        <f ca="1">VLOOKUP(A51,Rankings!B1:H651,7,FALSE)+(RAND()*0.00001)</f>
        <v>1.3908903763648837</v>
      </c>
      <c r="I51" s="30">
        <f ca="1">H51-VLOOKUP(Settings!$K$8,G2:H162,2,FALSE)</f>
        <v>1.2549024984769577</v>
      </c>
    </row>
    <row r="52" spans="1:9" ht="18.600000000000001" customHeight="1">
      <c r="A52" s="25" t="s">
        <v>169</v>
      </c>
      <c r="B52" s="26" t="s">
        <v>103</v>
      </c>
      <c r="C52" s="130" t="s">
        <v>31</v>
      </c>
      <c r="D52" s="141">
        <f ca="1">RANK(E52,E$2:E$161)</f>
        <v>51</v>
      </c>
      <c r="E52" s="30">
        <f ca="1">VLOOKUP(A52,Rankings!B1:H651,6,FALSE)+(RAND()*0.00001)</f>
        <v>369.63333385209222</v>
      </c>
      <c r="F52" s="30">
        <f ca="1">E52-VLOOKUP(Settings!$K$8,D22:E182,2,FALSE)</f>
        <v>34.117332598055498</v>
      </c>
      <c r="G52" s="141">
        <f ca="1">RANK(H52,H$2:H$161)</f>
        <v>25</v>
      </c>
      <c r="H52" s="30">
        <f ca="1">VLOOKUP(A52,Rankings!B1:H651,7,FALSE)+(RAND()*0.00001)</f>
        <v>3.8307858770879801</v>
      </c>
      <c r="I52" s="30">
        <f ca="1">H52-VLOOKUP(Settings!$K$8,G22:H182,2,FALSE)</f>
        <v>3.6947979992000541</v>
      </c>
    </row>
    <row r="53" spans="1:9" ht="18.600000000000001" customHeight="1">
      <c r="A53" s="25" t="s">
        <v>195</v>
      </c>
      <c r="B53" s="26" t="s">
        <v>103</v>
      </c>
      <c r="C53" s="130" t="s">
        <v>31</v>
      </c>
      <c r="D53" s="141">
        <f ca="1">RANK(E53,E$2:E$161)</f>
        <v>52</v>
      </c>
      <c r="E53" s="30">
        <f ca="1">VLOOKUP(A53,Rankings!B1:H651,6,FALSE)+(RAND()*0.00001)</f>
        <v>368.61667140531313</v>
      </c>
      <c r="F53" s="30">
        <f ca="1">E53-VLOOKUP(Settings!$K$8,D18:E178,2,FALSE)</f>
        <v>33.100670151276404</v>
      </c>
      <c r="G53" s="141">
        <f ca="1">RANK(H53,H$2:H$161)</f>
        <v>32</v>
      </c>
      <c r="H53" s="30">
        <f ca="1">VLOOKUP(A53,Rankings!B1:H651,7,FALSE)+(RAND()*0.00001)</f>
        <v>3.059610785379308</v>
      </c>
      <c r="I53" s="30">
        <f ca="1">H53-VLOOKUP(Settings!$K$8,G18:H178,2,FALSE)</f>
        <v>2.923622907491382</v>
      </c>
    </row>
    <row r="54" spans="1:9" ht="18.600000000000001" customHeight="1">
      <c r="A54" s="25" t="s">
        <v>226</v>
      </c>
      <c r="B54" s="26" t="s">
        <v>64</v>
      </c>
      <c r="C54" s="130" t="s">
        <v>31</v>
      </c>
      <c r="D54" s="141">
        <f ca="1">RANK(E54,E$2:E$161)</f>
        <v>53</v>
      </c>
      <c r="E54" s="30">
        <f ca="1">VLOOKUP(A54,Rankings!B1:H651,6,FALSE)+(RAND()*0.00001)</f>
        <v>363.66667018753662</v>
      </c>
      <c r="F54" s="30">
        <f ca="1">E54-VLOOKUP(Settings!$K$8,D20:E180,2,FALSE)</f>
        <v>28.150668933499901</v>
      </c>
      <c r="G54" s="141">
        <f ca="1">RANK(H54,H$2:H$161)</f>
        <v>39</v>
      </c>
      <c r="H54" s="30">
        <f ca="1">VLOOKUP(A54,Rankings!B1:H651,7,FALSE)+(RAND()*0.00001)</f>
        <v>2.1873437415696189</v>
      </c>
      <c r="I54" s="30">
        <f ca="1">H54-VLOOKUP(Settings!$K$8,G20:H180,2,FALSE)</f>
        <v>2.0513558636816929</v>
      </c>
    </row>
    <row r="55" spans="1:9" ht="18.600000000000001" customHeight="1">
      <c r="A55" s="25" t="s">
        <v>232</v>
      </c>
      <c r="B55" s="26" t="s">
        <v>82</v>
      </c>
      <c r="C55" s="130" t="s">
        <v>31</v>
      </c>
      <c r="D55" s="141">
        <f ca="1">RANK(E55,E$2:E$161)</f>
        <v>54</v>
      </c>
      <c r="E55" s="30">
        <f ca="1">VLOOKUP(A55,Rankings!B1:H651,6,FALSE)+(RAND()*0.00001)</f>
        <v>353.18800047595812</v>
      </c>
      <c r="F55" s="30">
        <f ca="1">E55-VLOOKUP(Settings!$K$8,D3:E163,2,FALSE)</f>
        <v>17.671999221921396</v>
      </c>
      <c r="G55" s="141">
        <f ca="1">RANK(H55,H$2:H$161)</f>
        <v>41</v>
      </c>
      <c r="H55" s="30">
        <f ca="1">VLOOKUP(A55,Rankings!B1:H651,7,FALSE)+(RAND()*0.00001)</f>
        <v>2.0271661477654028</v>
      </c>
      <c r="I55" s="30">
        <f ca="1">H55-VLOOKUP(Settings!$K$8,G3:H163,2,FALSE)</f>
        <v>1.8911782698774768</v>
      </c>
    </row>
    <row r="56" spans="1:9" ht="18.600000000000001" customHeight="1">
      <c r="A56" s="25" t="s">
        <v>351</v>
      </c>
      <c r="B56" s="26" t="s">
        <v>79</v>
      </c>
      <c r="C56" s="130" t="s">
        <v>31</v>
      </c>
      <c r="D56" s="141">
        <f ca="1">RANK(E56,E$2:E$161)</f>
        <v>55</v>
      </c>
      <c r="E56" s="30">
        <f ca="1">VLOOKUP(A56,Rankings!B1:H651,6,FALSE)+(RAND()*0.00001)</f>
        <v>351.44333887533185</v>
      </c>
      <c r="F56" s="30">
        <f ca="1">E56-VLOOKUP(Settings!$K$8,D1:E161,2,FALSE)</f>
        <v>15.927337621295123</v>
      </c>
      <c r="G56" s="141">
        <f ca="1">RANK(H56,H$2:H$161)</f>
        <v>74</v>
      </c>
      <c r="H56" s="30">
        <f ca="1">VLOOKUP(A56,Rankings!B1:H651,7,FALSE)+(RAND()*0.00001)</f>
        <v>-3.9691514325059331E-2</v>
      </c>
      <c r="I56" s="30">
        <f ca="1">H56-VLOOKUP(Settings!$K$8,G1:H161,2,FALSE)</f>
        <v>-0.17567939221298529</v>
      </c>
    </row>
    <row r="57" spans="1:9" ht="18.600000000000001" customHeight="1">
      <c r="A57" s="25" t="s">
        <v>301</v>
      </c>
      <c r="B57" s="26" t="s">
        <v>87</v>
      </c>
      <c r="C57" s="130" t="s">
        <v>31</v>
      </c>
      <c r="D57" s="141">
        <f ca="1">RANK(E57,E$2:E$161)</f>
        <v>56</v>
      </c>
      <c r="E57" s="30">
        <f ca="1">VLOOKUP(A57,Rankings!B1:H651,6,FALSE)+(RAND()*0.00001)</f>
        <v>351.00000844030598</v>
      </c>
      <c r="F57" s="30">
        <f ca="1">E57-VLOOKUP(Settings!$K$8,D6:E166,2,FALSE)</f>
        <v>15.484007186269253</v>
      </c>
      <c r="G57" s="141">
        <f ca="1">RANK(H57,H$2:H$161)</f>
        <v>62</v>
      </c>
      <c r="H57" s="30">
        <f ca="1">VLOOKUP(A57,Rankings!B1:H651,7,FALSE)+(RAND()*0.00001)</f>
        <v>0.57226158704278041</v>
      </c>
      <c r="I57" s="30">
        <f ca="1">H57-VLOOKUP(Settings!$K$8,G6:H166,2,FALSE)</f>
        <v>0.43627370915485442</v>
      </c>
    </row>
    <row r="58" spans="1:9" ht="18.600000000000001" customHeight="1">
      <c r="A58" s="25" t="s">
        <v>281</v>
      </c>
      <c r="B58" s="26" t="s">
        <v>103</v>
      </c>
      <c r="C58" s="130" t="s">
        <v>31</v>
      </c>
      <c r="D58" s="141">
        <f ca="1">RANK(E58,E$2:E$161)</f>
        <v>57</v>
      </c>
      <c r="E58" s="30">
        <f ca="1">VLOOKUP(A58,Rankings!B1:H651,6,FALSE)+(RAND()*0.00001)</f>
        <v>349.97400135261734</v>
      </c>
      <c r="F58" s="30">
        <f ca="1">E58-VLOOKUP(Settings!$K$8,D1:E153,2,FALSE)</f>
        <v>14.458000098580612</v>
      </c>
      <c r="G58" s="141">
        <f ca="1">RANK(H58,H$2:H$161)</f>
        <v>56</v>
      </c>
      <c r="H58" s="30">
        <f ca="1">VLOOKUP(A58,Rankings!B1:H651,7,FALSE)+(RAND()*0.00001)</f>
        <v>0.974340862404663</v>
      </c>
      <c r="I58" s="30">
        <f ca="1">H58-VLOOKUP(Settings!$K$8,G1:H153,2,FALSE)</f>
        <v>0.83835298451673701</v>
      </c>
    </row>
    <row r="59" spans="1:9" ht="18.600000000000001" customHeight="1">
      <c r="A59" s="25" t="s">
        <v>319</v>
      </c>
      <c r="B59" s="26" t="s">
        <v>160</v>
      </c>
      <c r="C59" s="130" t="s">
        <v>31</v>
      </c>
      <c r="D59" s="141">
        <f ca="1">RANK(E59,E$2:E$161)</f>
        <v>58</v>
      </c>
      <c r="E59" s="30">
        <f ca="1">VLOOKUP(A59,Rankings!B1:H651,6,FALSE)+(RAND()*0.00001)</f>
        <v>349.50333978233692</v>
      </c>
      <c r="F59" s="30">
        <f ca="1">E59-VLOOKUP(Settings!$K$8,D1:E149,2,FALSE)</f>
        <v>13.987338528300199</v>
      </c>
      <c r="G59" s="141">
        <f ca="1">RANK(H59,H$2:H$161)</f>
        <v>65</v>
      </c>
      <c r="H59" s="30">
        <f ca="1">VLOOKUP(A59,Rankings!B1:H651,7,FALSE)+(RAND()*0.00001)</f>
        <v>0.34762054960799899</v>
      </c>
      <c r="I59" s="30">
        <f ca="1">H59-VLOOKUP(Settings!$K$8,G1:H149,2,FALSE)</f>
        <v>0.21163267172007302</v>
      </c>
    </row>
    <row r="60" spans="1:9" ht="18.600000000000001" customHeight="1">
      <c r="A60" s="25" t="s">
        <v>348</v>
      </c>
      <c r="B60" s="26" t="s">
        <v>160</v>
      </c>
      <c r="C60" s="130" t="s">
        <v>31</v>
      </c>
      <c r="D60" s="141">
        <f ca="1">RANK(E60,E$2:E$161)</f>
        <v>59</v>
      </c>
      <c r="E60" s="30">
        <f ca="1">VLOOKUP(A60,Rankings!B1:H651,6,FALSE)+(RAND()*0.00001)</f>
        <v>348.73333944939577</v>
      </c>
      <c r="F60" s="30">
        <f ca="1">E60-VLOOKUP(Settings!$K$8,D4:E146,2,FALSE)</f>
        <v>13.217338195359048</v>
      </c>
      <c r="G60" s="141">
        <f ca="1">RANK(H60,H$2:H$161)</f>
        <v>72</v>
      </c>
      <c r="H60" s="30">
        <f ca="1">VLOOKUP(A60,Rankings!B1:H651,7,FALSE)+(RAND()*0.00001)</f>
        <v>-2.4609587597788003E-3</v>
      </c>
      <c r="I60" s="30">
        <f ca="1">H60-VLOOKUP(Settings!$K$8,G4:H146,2,FALSE)</f>
        <v>-0.13844883664770477</v>
      </c>
    </row>
    <row r="61" spans="1:9" ht="18.600000000000001" customHeight="1">
      <c r="A61" s="25" t="s">
        <v>391</v>
      </c>
      <c r="B61" s="26" t="s">
        <v>87</v>
      </c>
      <c r="C61" s="130" t="s">
        <v>31</v>
      </c>
      <c r="D61" s="141">
        <f ca="1">RANK(E61,E$2:E$161)</f>
        <v>60</v>
      </c>
      <c r="E61" s="30">
        <f ca="1">VLOOKUP(A61,Rankings!B1:H651,6,FALSE)+(RAND()*0.00001)</f>
        <v>346.36400260165578</v>
      </c>
      <c r="F61" s="30">
        <f ca="1">E61-VLOOKUP(Settings!$K$8,D1:E140,2,FALSE)</f>
        <v>10.848001347619061</v>
      </c>
      <c r="G61" s="141">
        <f ca="1">RANK(H61,H$2:H$161)</f>
        <v>87</v>
      </c>
      <c r="H61" s="30">
        <f ca="1">VLOOKUP(A61,Rankings!B1:H651,7,FALSE)+(RAND()*0.00001)</f>
        <v>-0.66260726420568183</v>
      </c>
      <c r="I61" s="30">
        <f ca="1">H61-VLOOKUP(Settings!$K$8,G1:H140,2,FALSE)</f>
        <v>-0.79859514209360782</v>
      </c>
    </row>
    <row r="62" spans="1:9" ht="18.600000000000001" customHeight="1">
      <c r="A62" s="25" t="s">
        <v>439</v>
      </c>
      <c r="B62" s="26" t="s">
        <v>178</v>
      </c>
      <c r="C62" s="130" t="s">
        <v>31</v>
      </c>
      <c r="D62" s="141">
        <f ca="1">RANK(E62,E$2:E$161)</f>
        <v>61</v>
      </c>
      <c r="E62" s="30">
        <f ca="1">VLOOKUP(A62,Rankings!B1:H651,6,FALSE)+(RAND()*0.00001)</f>
        <v>345.22600656558819</v>
      </c>
      <c r="F62" s="30">
        <f ca="1">E62-VLOOKUP(Settings!$K$8,D1:E145,2,FALSE)</f>
        <v>9.7100053115514697</v>
      </c>
      <c r="G62" s="141">
        <f ca="1">RANK(H62,H$2:H$161)</f>
        <v>101</v>
      </c>
      <c r="H62" s="30">
        <f ca="1">VLOOKUP(A62,Rankings!B1:H651,7,FALSE)+(RAND()*0.00001)</f>
        <v>-1.6065816277046858</v>
      </c>
      <c r="I62" s="30">
        <f ca="1">H62-VLOOKUP(Settings!$K$8,G1:H145,2,FALSE)</f>
        <v>-1.7425695055926118</v>
      </c>
    </row>
    <row r="63" spans="1:9" ht="18.600000000000001" customHeight="1">
      <c r="A63" s="25" t="s">
        <v>316</v>
      </c>
      <c r="B63" s="26" t="s">
        <v>85</v>
      </c>
      <c r="C63" s="130" t="s">
        <v>31</v>
      </c>
      <c r="D63" s="141">
        <f ca="1">RANK(E63,E$2:E$161)</f>
        <v>62</v>
      </c>
      <c r="E63" s="30">
        <f ca="1">VLOOKUP(A63,Rankings!B1:H651,6,FALSE)+(RAND()*0.00001)</f>
        <v>344.30000683623945</v>
      </c>
      <c r="F63" s="30">
        <f ca="1">E63-VLOOKUP(Settings!$K$8,D5:E165,2,FALSE)</f>
        <v>8.7840055822027239</v>
      </c>
      <c r="G63" s="141">
        <f ca="1">RANK(H63,H$2:H$161)</f>
        <v>64</v>
      </c>
      <c r="H63" s="30">
        <f ca="1">VLOOKUP(A63,Rankings!B1:H651,7,FALSE)+(RAND()*0.00001)</f>
        <v>0.36592741913591809</v>
      </c>
      <c r="I63" s="30">
        <f ca="1">H63-VLOOKUP(Settings!$K$8,G5:H165,2,FALSE)</f>
        <v>0.22993954124799212</v>
      </c>
    </row>
    <row r="64" spans="1:9" ht="18.600000000000001" customHeight="1">
      <c r="A64" s="25" t="s">
        <v>338</v>
      </c>
      <c r="B64" s="26" t="s">
        <v>79</v>
      </c>
      <c r="C64" s="130" t="s">
        <v>31</v>
      </c>
      <c r="D64" s="141">
        <f ca="1">RANK(E64,E$2:E$161)</f>
        <v>63</v>
      </c>
      <c r="E64" s="30">
        <f ca="1">VLOOKUP(A64,Rankings!B1:H651,6,FALSE)+(RAND()*0.00001)</f>
        <v>342.1446691965877</v>
      </c>
      <c r="F64" s="30">
        <f ca="1">E64-VLOOKUP(Settings!$K$8,D7:E146,2,FALSE)</f>
        <v>6.628667942550976</v>
      </c>
      <c r="G64" s="141">
        <f ca="1">RANK(H64,H$2:H$161)</f>
        <v>68</v>
      </c>
      <c r="H64" s="30">
        <f ca="1">VLOOKUP(A64,Rankings!B1:H651,7,FALSE)+(RAND()*0.00001)</f>
        <v>0.13598787788792596</v>
      </c>
      <c r="I64" s="30">
        <f ca="1">H64-VLOOKUP(Settings!$K$8,G7:H146,2,FALSE)</f>
        <v>0</v>
      </c>
    </row>
    <row r="65" spans="1:9" ht="18.600000000000001" customHeight="1">
      <c r="A65" s="25" t="s">
        <v>296</v>
      </c>
      <c r="B65" s="26" t="s">
        <v>87</v>
      </c>
      <c r="C65" s="130" t="s">
        <v>31</v>
      </c>
      <c r="D65" s="141">
        <f ca="1">RANK(E65,E$2:E$161)</f>
        <v>64</v>
      </c>
      <c r="E65" s="30">
        <f ca="1">VLOOKUP(A65,Rankings!B1:H651,6,FALSE)+(RAND()*0.00001)</f>
        <v>340.42334008559374</v>
      </c>
      <c r="F65" s="30">
        <f ca="1">E65-VLOOKUP(Settings!$K$8,D3:E162,2,FALSE)</f>
        <v>4.9073388315570128</v>
      </c>
      <c r="G65" s="141">
        <f ca="1">RANK(H65,H$2:H$161)</f>
        <v>59</v>
      </c>
      <c r="H65" s="30">
        <f ca="1">VLOOKUP(A65,Rankings!B1:H651,7,FALSE)+(RAND()*0.00001)</f>
        <v>0.67669500854992448</v>
      </c>
      <c r="I65" s="30">
        <f ca="1">H65-VLOOKUP(Settings!$K$8,G3:H162,2,FALSE)</f>
        <v>0.54070713066199849</v>
      </c>
    </row>
    <row r="66" spans="1:9" ht="18.600000000000001" customHeight="1">
      <c r="A66" s="25" t="s">
        <v>353</v>
      </c>
      <c r="B66" s="26" t="s">
        <v>97</v>
      </c>
      <c r="C66" s="130" t="s">
        <v>31</v>
      </c>
      <c r="D66" s="141">
        <f ca="1">RANK(E66,E$2:E$161)</f>
        <v>65</v>
      </c>
      <c r="E66" s="30">
        <f ca="1">VLOOKUP(A66,Rankings!B1:H651,6,FALSE)+(RAND()*0.00001)</f>
        <v>338.11900080922845</v>
      </c>
      <c r="F66" s="30">
        <f ca="1">E66-VLOOKUP(Settings!$K$8,D1:E155,2,FALSE)</f>
        <v>2.6029995551917295</v>
      </c>
      <c r="G66" s="141">
        <f ca="1">RANK(H66,H$2:H$161)</f>
        <v>75</v>
      </c>
      <c r="H66" s="30">
        <f ca="1">VLOOKUP(A66,Rankings!B1:H651,7,FALSE)+(RAND()*0.00001)</f>
        <v>-4.5096320204868277E-2</v>
      </c>
      <c r="I66" s="30">
        <f ca="1">H66-VLOOKUP(Settings!$K$8,G1:H155,2,FALSE)</f>
        <v>-0.18108419809279425</v>
      </c>
    </row>
    <row r="67" spans="1:9" ht="18.600000000000001" customHeight="1">
      <c r="A67" s="25" t="s">
        <v>378</v>
      </c>
      <c r="B67" s="26" t="s">
        <v>219</v>
      </c>
      <c r="C67" s="130" t="s">
        <v>31</v>
      </c>
      <c r="D67" s="141">
        <f ca="1">RANK(E67,E$2:E$161)</f>
        <v>66</v>
      </c>
      <c r="E67" s="30">
        <f ca="1">VLOOKUP(A67,Rankings!B1:H651,6,FALSE)+(RAND()*0.00001)</f>
        <v>336.29734066812159</v>
      </c>
      <c r="F67" s="30">
        <f ca="1">E67-VLOOKUP(Settings!$K$8,D1:E158,2,FALSE)</f>
        <v>0.78133941408486862</v>
      </c>
      <c r="G67" s="141">
        <f ca="1">RANK(H67,H$2:H$161)</f>
        <v>83</v>
      </c>
      <c r="H67" s="30">
        <f ca="1">VLOOKUP(A67,Rankings!B1:H651,7,FALSE)+(RAND()*0.00001)</f>
        <v>-0.53899065374518373</v>
      </c>
      <c r="I67" s="30">
        <f ca="1">H67-VLOOKUP(Settings!$K$8,G1:H158,2,FALSE)</f>
        <v>-0.67497853163310972</v>
      </c>
    </row>
    <row r="68" spans="1:9" ht="18.600000000000001" customHeight="1">
      <c r="A68" s="25" t="s">
        <v>365</v>
      </c>
      <c r="B68" s="26" t="s">
        <v>92</v>
      </c>
      <c r="C68" s="130" t="s">
        <v>31</v>
      </c>
      <c r="D68" s="141">
        <f ca="1">RANK(E68,E$2:E$161)</f>
        <v>67</v>
      </c>
      <c r="E68" s="30">
        <f ca="1">VLOOKUP(A68,Rankings!B1:H651,6,FALSE)+(RAND()*0.00001)</f>
        <v>335.7046762868423</v>
      </c>
      <c r="F68" s="30">
        <f ca="1">E68-VLOOKUP(Settings!$K$8,D5:E149,2,FALSE)</f>
        <v>0.18867503280557685</v>
      </c>
      <c r="G68" s="141">
        <f ca="1">RANK(H68,H$2:H$161)</f>
        <v>81</v>
      </c>
      <c r="H68" s="30">
        <f ca="1">VLOOKUP(A68,Rankings!B1:H651,7,FALSE)+(RAND()*0.00001)</f>
        <v>-0.36823017653104267</v>
      </c>
      <c r="I68" s="30">
        <f ca="1">H68-VLOOKUP(Settings!$K$8,G5:H149,2,FALSE)</f>
        <v>-0.50421805441896861</v>
      </c>
    </row>
    <row r="69" spans="1:9" ht="18.600000000000001" customHeight="1">
      <c r="A69" s="25" t="s">
        <v>427</v>
      </c>
      <c r="B69" s="26" t="s">
        <v>77</v>
      </c>
      <c r="C69" s="130" t="s">
        <v>31</v>
      </c>
      <c r="D69" s="141">
        <f ca="1">RANK(E69,E$2:E$161)</f>
        <v>68</v>
      </c>
      <c r="E69" s="30">
        <f ca="1">VLOOKUP(A69,Rankings!B1:H651,6,FALSE)+(RAND()*0.00001)</f>
        <v>335.51600125403672</v>
      </c>
      <c r="F69" s="30">
        <f ca="1">E69-VLOOKUP(Settings!$K$8,D1:E132,2,FALSE)</f>
        <v>0</v>
      </c>
      <c r="G69" s="141">
        <f ca="1">RANK(H69,H$2:H$161)</f>
        <v>95</v>
      </c>
      <c r="H69" s="30">
        <f ca="1">VLOOKUP(A69,Rankings!B1:H651,7,FALSE)+(RAND()*0.00001)</f>
        <v>-1.4289778030305835</v>
      </c>
      <c r="I69" s="30">
        <f ca="1">H69-VLOOKUP(Settings!$K$8,G1:H132,2,FALSE)</f>
        <v>-1.5649656809185095</v>
      </c>
    </row>
    <row r="70" spans="1:9" ht="18.600000000000001" customHeight="1">
      <c r="A70" s="25" t="s">
        <v>356</v>
      </c>
      <c r="B70" s="26" t="s">
        <v>85</v>
      </c>
      <c r="C70" s="130" t="s">
        <v>31</v>
      </c>
      <c r="D70" s="141">
        <f ca="1">RANK(E70,E$2:E$161)</f>
        <v>69</v>
      </c>
      <c r="E70" s="30">
        <f ca="1">VLOOKUP(A70,Rankings!B1:H651,6,FALSE)+(RAND()*0.00001)</f>
        <v>333.75100827248775</v>
      </c>
      <c r="F70" s="30">
        <f ca="1">E70-VLOOKUP(Settings!$K$8,D4:E164,2,FALSE)</f>
        <v>-1.7649929815489713</v>
      </c>
      <c r="G70" s="141">
        <f ca="1">RANK(H70,H$2:H$161)</f>
        <v>77</v>
      </c>
      <c r="H70" s="30">
        <f ca="1">VLOOKUP(A70,Rankings!B1:H651,7,FALSE)+(RAND()*0.00001)</f>
        <v>-7.2339441080870967E-2</v>
      </c>
      <c r="I70" s="30">
        <f ca="1">H70-VLOOKUP(Settings!$K$8,G4:H164,2,FALSE)</f>
        <v>-0.20832731896879692</v>
      </c>
    </row>
    <row r="71" spans="1:9" ht="18.600000000000001" customHeight="1">
      <c r="A71" s="25" t="s">
        <v>346</v>
      </c>
      <c r="B71" s="26" t="s">
        <v>158</v>
      </c>
      <c r="C71" s="130" t="s">
        <v>31</v>
      </c>
      <c r="D71" s="141">
        <f ca="1">RANK(E71,E$2:E$161)</f>
        <v>70</v>
      </c>
      <c r="E71" s="30">
        <f ca="1">VLOOKUP(A71,Rankings!B1:H651,6,FALSE)+(RAND()*0.00001)</f>
        <v>333.00000471041471</v>
      </c>
      <c r="F71" s="30">
        <f ca="1">E71-VLOOKUP(Settings!$K$8,D7:E167,2,FALSE)</f>
        <v>-2.5159965436220091</v>
      </c>
      <c r="G71" s="141">
        <f ca="1">RANK(H71,H$2:H$161)</f>
        <v>71</v>
      </c>
      <c r="H71" s="30">
        <f ca="1">VLOOKUP(A71,Rankings!B1:H651,7,FALSE)+(RAND()*0.00001)</f>
        <v>2.6161076564274362E-2</v>
      </c>
      <c r="I71" s="30">
        <f ca="1">H71-VLOOKUP(Settings!$K$8,G7:H167,2,FALSE)</f>
        <v>-0.10982680132365161</v>
      </c>
    </row>
    <row r="72" spans="1:9" ht="18.600000000000001" customHeight="1">
      <c r="A72" s="25" t="s">
        <v>299</v>
      </c>
      <c r="B72" s="26" t="s">
        <v>97</v>
      </c>
      <c r="C72" s="130" t="s">
        <v>31</v>
      </c>
      <c r="D72" s="141">
        <f ca="1">RANK(E72,E$2:E$161)</f>
        <v>71</v>
      </c>
      <c r="E72" s="30">
        <f ca="1">VLOOKUP(A72,Rankings!B1:H651,6,FALSE)+(RAND()*0.00001)</f>
        <v>330.8000009399907</v>
      </c>
      <c r="F72" s="30">
        <f ca="1">E72-VLOOKUP(Settings!$K$8,D16:E176,2,FALSE)</f>
        <v>-4.7160003140460276</v>
      </c>
      <c r="G72" s="141">
        <f ca="1">RANK(H72,H$2:H$161)</f>
        <v>61</v>
      </c>
      <c r="H72" s="30">
        <f ca="1">VLOOKUP(A72,Rankings!B1:H651,7,FALSE)+(RAND()*0.00001)</f>
        <v>0.6215347939122996</v>
      </c>
      <c r="I72" s="30">
        <f ca="1">H72-VLOOKUP(Settings!$K$8,G16:H176,2,FALSE)</f>
        <v>0.48554691602437361</v>
      </c>
    </row>
    <row r="73" spans="1:9" ht="18.600000000000001" customHeight="1">
      <c r="A73" s="25" t="s">
        <v>240</v>
      </c>
      <c r="B73" s="26" t="s">
        <v>105</v>
      </c>
      <c r="C73" s="130" t="s">
        <v>31</v>
      </c>
      <c r="D73" s="141">
        <f ca="1">RANK(E73,E$2:E$161)</f>
        <v>72</v>
      </c>
      <c r="E73" s="30">
        <f ca="1">VLOOKUP(A73,Rankings!B1:H651,6,FALSE)+(RAND()*0.00001)</f>
        <v>327.45000051627801</v>
      </c>
      <c r="F73" s="30">
        <f ca="1">E73-VLOOKUP(Settings!$K$8,D26:E186,2,FALSE)</f>
        <v>-8.0660007377587135</v>
      </c>
      <c r="G73" s="141">
        <f ca="1">RANK(H73,H$2:H$161)</f>
        <v>45</v>
      </c>
      <c r="H73" s="30">
        <f ca="1">VLOOKUP(A73,Rankings!B1:H651,7,FALSE)+(RAND()*0.00001)</f>
        <v>1.8242075335131172</v>
      </c>
      <c r="I73" s="30">
        <f ca="1">H73-VLOOKUP(Settings!$K$8,G26:H186,2,FALSE)</f>
        <v>1.6882196556251912</v>
      </c>
    </row>
    <row r="74" spans="1:9" ht="18.600000000000001" customHeight="1">
      <c r="A74" s="25" t="s">
        <v>381</v>
      </c>
      <c r="B74" s="26" t="s">
        <v>260</v>
      </c>
      <c r="C74" s="130" t="s">
        <v>31</v>
      </c>
      <c r="D74" s="141">
        <f ca="1">RANK(E74,E$2:E$161)</f>
        <v>73</v>
      </c>
      <c r="E74" s="30">
        <f ca="1">VLOOKUP(A74,Rankings!B1:H651,6,FALSE)+(RAND()*0.00001)</f>
        <v>324.86866698548965</v>
      </c>
      <c r="F74" s="30">
        <f ca="1">E74-VLOOKUP(Settings!$K$8,D1:E152,2,FALSE)</f>
        <v>-10.64733426854707</v>
      </c>
      <c r="G74" s="141">
        <f ca="1">RANK(H74,H$2:H$161)</f>
        <v>84</v>
      </c>
      <c r="H74" s="30">
        <f ca="1">VLOOKUP(A74,Rankings!B1:H651,7,FALSE)+(RAND()*0.00001)</f>
        <v>-0.56029194866479826</v>
      </c>
      <c r="I74" s="30">
        <f ca="1">H74-VLOOKUP(Settings!$K$8,G1:H152,2,FALSE)</f>
        <v>-0.69627982655272425</v>
      </c>
    </row>
    <row r="75" spans="1:9" ht="18.600000000000001" customHeight="1">
      <c r="A75" s="25" t="s">
        <v>468</v>
      </c>
      <c r="B75" s="26" t="s">
        <v>101</v>
      </c>
      <c r="C75" s="130" t="s">
        <v>31</v>
      </c>
      <c r="D75" s="141">
        <f ca="1">RANK(E75,E$2:E$161)</f>
        <v>74</v>
      </c>
      <c r="E75" s="30">
        <f ca="1">VLOOKUP(A75,Rankings!B1:H651,6,FALSE)+(RAND()*0.00001)</f>
        <v>323.55067582964148</v>
      </c>
      <c r="F75" s="30">
        <f ca="1">E75-VLOOKUP(Settings!$K$8,D1:E141,2,FALSE)</f>
        <v>-11.965325424395246</v>
      </c>
      <c r="G75" s="141">
        <f ca="1">RANK(H75,H$2:H$161)</f>
        <v>110</v>
      </c>
      <c r="H75" s="30">
        <f ca="1">VLOOKUP(A75,Rankings!B1:H651,7,FALSE)+(RAND()*0.00001)</f>
        <v>-1.9236849040828512</v>
      </c>
      <c r="I75" s="30">
        <f ca="1">H75-VLOOKUP(Settings!$K$8,G1:H141,2,FALSE)</f>
        <v>-2.059672781970777</v>
      </c>
    </row>
    <row r="76" spans="1:9" ht="18.600000000000001" customHeight="1">
      <c r="A76" s="25" t="s">
        <v>387</v>
      </c>
      <c r="B76" s="26" t="s">
        <v>92</v>
      </c>
      <c r="C76" s="130" t="s">
        <v>31</v>
      </c>
      <c r="D76" s="141">
        <f ca="1">RANK(E76,E$2:E$161)</f>
        <v>75</v>
      </c>
      <c r="E76" s="30">
        <f ca="1">VLOOKUP(A76,Rankings!B1:H651,6,FALSE)+(RAND()*0.00001)</f>
        <v>323.11467664440579</v>
      </c>
      <c r="F76" s="30">
        <f ca="1">E76-VLOOKUP(Settings!$K$8,D1:E148,2,FALSE)</f>
        <v>-12.401324609630933</v>
      </c>
      <c r="G76" s="141">
        <f ca="1">RANK(H76,H$2:H$161)</f>
        <v>85</v>
      </c>
      <c r="H76" s="30">
        <f ca="1">VLOOKUP(A76,Rankings!B1:H651,7,FALSE)+(RAND()*0.00001)</f>
        <v>-0.61365823210580128</v>
      </c>
      <c r="I76" s="30">
        <f ca="1">H76-VLOOKUP(Settings!$K$8,G1:H148,2,FALSE)</f>
        <v>-0.74964610999372727</v>
      </c>
    </row>
    <row r="77" spans="1:9" ht="18.600000000000001" customHeight="1">
      <c r="A77" s="25" t="s">
        <v>298</v>
      </c>
      <c r="B77" s="26" t="s">
        <v>158</v>
      </c>
      <c r="C77" s="130" t="s">
        <v>31</v>
      </c>
      <c r="D77" s="141">
        <f ca="1">RANK(E77,E$2:E$161)</f>
        <v>76</v>
      </c>
      <c r="E77" s="30">
        <f ca="1">VLOOKUP(A77,Rankings!B1:H651,6,FALSE)+(RAND()*0.00001)</f>
        <v>322.43334317654501</v>
      </c>
      <c r="F77" s="30">
        <f ca="1">E77-VLOOKUP(Settings!$K$8,D15:E175,2,FALSE)</f>
        <v>-13.082658077491715</v>
      </c>
      <c r="G77" s="141">
        <f ca="1">RANK(H77,H$2:H$161)</f>
        <v>60</v>
      </c>
      <c r="H77" s="30">
        <f ca="1">VLOOKUP(A77,Rankings!B1:H651,7,FALSE)+(RAND()*0.00001)</f>
        <v>0.63966297720612908</v>
      </c>
      <c r="I77" s="30">
        <f ca="1">H77-VLOOKUP(Settings!$K$8,G15:H175,2,FALSE)</f>
        <v>0.50367509931820309</v>
      </c>
    </row>
    <row r="78" spans="1:9" ht="18.600000000000001" customHeight="1">
      <c r="A78" s="25" t="s">
        <v>479</v>
      </c>
      <c r="B78" s="26" t="s">
        <v>105</v>
      </c>
      <c r="C78" s="130" t="s">
        <v>31</v>
      </c>
      <c r="D78" s="141">
        <f ca="1">RANK(E78,E$2:E$161)</f>
        <v>77</v>
      </c>
      <c r="E78" s="30">
        <f ca="1">VLOOKUP(A78,Rankings!B1:H651,6,FALSE)+(RAND()*0.00001)</f>
        <v>319.1666742413509</v>
      </c>
      <c r="F78" s="30">
        <f ca="1">E78-VLOOKUP(Settings!$K$8,D1:E154,2,FALSE)</f>
        <v>-16.349327012685819</v>
      </c>
      <c r="G78" s="141">
        <f ca="1">RANK(H78,H$2:H$161)</f>
        <v>114</v>
      </c>
      <c r="H78" s="30">
        <f ca="1">VLOOKUP(A78,Rankings!B1:H651,7,FALSE)+(RAND()*0.00001)</f>
        <v>-2.0507150938994068</v>
      </c>
      <c r="I78" s="30">
        <f ca="1">H78-VLOOKUP(Settings!$K$8,G1:H154,2,FALSE)</f>
        <v>-2.1867029717873327</v>
      </c>
    </row>
    <row r="79" spans="1:9" ht="18.600000000000001" customHeight="1">
      <c r="A79" s="25" t="s">
        <v>434</v>
      </c>
      <c r="B79" s="26" t="s">
        <v>72</v>
      </c>
      <c r="C79" s="130" t="s">
        <v>31</v>
      </c>
      <c r="D79" s="141">
        <f ca="1">RANK(E79,E$2:E$161)</f>
        <v>78</v>
      </c>
      <c r="E79" s="30">
        <f ca="1">VLOOKUP(A79,Rankings!B1:H651,6,FALSE)+(RAND()*0.00001)</f>
        <v>319.06067546696408</v>
      </c>
      <c r="F79" s="30">
        <f ca="1">E79-VLOOKUP(Settings!$K$8,D5:E135,2,FALSE)</f>
        <v>-16.455325787072638</v>
      </c>
      <c r="G79" s="141">
        <f ca="1">RANK(H79,H$2:H$161)</f>
        <v>98</v>
      </c>
      <c r="H79" s="30">
        <f ca="1">VLOOKUP(A79,Rankings!B1:H651,7,FALSE)+(RAND()*0.00001)</f>
        <v>-1.5774852724234751</v>
      </c>
      <c r="I79" s="30">
        <f ca="1">H79-VLOOKUP(Settings!$K$8,G5:H135,2,FALSE)</f>
        <v>-1.7134731503114011</v>
      </c>
    </row>
    <row r="80" spans="1:9" ht="18.600000000000001" customHeight="1">
      <c r="A80" s="25" t="s">
        <v>276</v>
      </c>
      <c r="B80" s="26" t="s">
        <v>87</v>
      </c>
      <c r="C80" s="130" t="s">
        <v>31</v>
      </c>
      <c r="D80" s="141">
        <f ca="1">RANK(E80,E$2:E$161)</f>
        <v>79</v>
      </c>
      <c r="E80" s="30">
        <f ca="1">VLOOKUP(A80,Rankings!B1:H651,6,FALSE)+(RAND()*0.00001)</f>
        <v>317.30000507552654</v>
      </c>
      <c r="F80" s="30">
        <f ca="1">E80-VLOOKUP(Settings!$K$8,D30:E190,2,FALSE)</f>
        <v>-18.215996178510181</v>
      </c>
      <c r="G80" s="141">
        <f ca="1">RANK(H80,H$2:H$161)</f>
        <v>53</v>
      </c>
      <c r="H80" s="30">
        <f ca="1">VLOOKUP(A80,Rankings!B1:H651,7,FALSE)+(RAND()*0.00001)</f>
        <v>1.086591803098693</v>
      </c>
      <c r="I80" s="30">
        <f ca="1">H80-VLOOKUP(Settings!$K$8,G30:H190,2,FALSE)</f>
        <v>0.95060392521076698</v>
      </c>
    </row>
    <row r="81" spans="1:9" ht="18.600000000000001" customHeight="1">
      <c r="A81" s="25" t="s">
        <v>312</v>
      </c>
      <c r="B81" s="26" t="s">
        <v>136</v>
      </c>
      <c r="C81" s="130" t="s">
        <v>31</v>
      </c>
      <c r="D81" s="141">
        <f ca="1">RANK(E81,E$2:E$161)</f>
        <v>80</v>
      </c>
      <c r="E81" s="30">
        <f ca="1">VLOOKUP(A81,Rankings!B1:H651,6,FALSE)+(RAND()*0.00001)</f>
        <v>317.23333959923724</v>
      </c>
      <c r="F81" s="30">
        <f ca="1">E81-VLOOKUP(Settings!$K$8,D20:E180,2,FALSE)</f>
        <v>-18.282661654799483</v>
      </c>
      <c r="G81" s="141">
        <f ca="1">RANK(H81,H$2:H$161)</f>
        <v>63</v>
      </c>
      <c r="H81" s="30">
        <f ca="1">VLOOKUP(A81,Rankings!B1:H651,7,FALSE)+(RAND()*0.00001)</f>
        <v>0.4505614782049</v>
      </c>
      <c r="I81" s="30">
        <f ca="1">H81-VLOOKUP(Settings!$K$8,G20:H180,2,FALSE)</f>
        <v>0.31457360031697401</v>
      </c>
    </row>
    <row r="82" spans="1:9" ht="18.600000000000001" customHeight="1">
      <c r="A82" s="25" t="s">
        <v>392</v>
      </c>
      <c r="B82" s="26" t="s">
        <v>99</v>
      </c>
      <c r="C82" s="130" t="s">
        <v>31</v>
      </c>
      <c r="D82" s="141">
        <f ca="1">RANK(E82,E$2:E$161)</f>
        <v>81</v>
      </c>
      <c r="E82" s="30">
        <f ca="1">VLOOKUP(A82,Rankings!B1:H651,6,FALSE)+(RAND()*0.00001)</f>
        <v>315.95133557436782</v>
      </c>
      <c r="F82" s="30">
        <f ca="1">E82-VLOOKUP(Settings!$K$8,D6:E166,2,FALSE)</f>
        <v>-19.564665679668906</v>
      </c>
      <c r="G82" s="141">
        <f ca="1">RANK(H82,H$2:H$161)</f>
        <v>88</v>
      </c>
      <c r="H82" s="30">
        <f ca="1">VLOOKUP(A82,Rankings!B1:H651,7,FALSE)+(RAND()*0.00001)</f>
        <v>-0.66376323052066688</v>
      </c>
      <c r="I82" s="30">
        <f ca="1">H82-VLOOKUP(Settings!$K$8,G6:H166,2,FALSE)</f>
        <v>-0.79975110840859287</v>
      </c>
    </row>
    <row r="83" spans="1:9" ht="18.600000000000001" customHeight="1">
      <c r="A83" s="25" t="s">
        <v>254</v>
      </c>
      <c r="B83" s="26" t="s">
        <v>99</v>
      </c>
      <c r="C83" s="130" t="s">
        <v>31</v>
      </c>
      <c r="D83" s="141">
        <f ca="1">RANK(E83,E$2:E$161)</f>
        <v>82</v>
      </c>
      <c r="E83" s="30">
        <f ca="1">VLOOKUP(A83,Rankings!B1:H651,6,FALSE)+(RAND()*0.00001)</f>
        <v>315.86667454641082</v>
      </c>
      <c r="F83" s="30">
        <f ca="1">E83-VLOOKUP(Settings!$K$8,D29:E189,2,FALSE)</f>
        <v>-19.649326707625903</v>
      </c>
      <c r="G83" s="141">
        <f ca="1">RANK(H83,H$2:H$161)</f>
        <v>48</v>
      </c>
      <c r="H83" s="30">
        <f ca="1">VLOOKUP(A83,Rankings!B1:H651,7,FALSE)+(RAND()*0.00001)</f>
        <v>1.4293666622548638</v>
      </c>
      <c r="I83" s="30">
        <f ca="1">H83-VLOOKUP(Settings!$K$8,G29:H189,2,FALSE)</f>
        <v>1.2933787843669378</v>
      </c>
    </row>
    <row r="84" spans="1:9" ht="18.600000000000001" customHeight="1">
      <c r="A84" s="25" t="s">
        <v>364</v>
      </c>
      <c r="B84" s="26" t="s">
        <v>97</v>
      </c>
      <c r="C84" s="130" t="s">
        <v>31</v>
      </c>
      <c r="D84" s="141">
        <f ca="1">RANK(E84,E$2:E$161)</f>
        <v>83</v>
      </c>
      <c r="E84" s="30">
        <f ca="1">VLOOKUP(A84,Rankings!B1:H651,6,FALSE)+(RAND()*0.00001)</f>
        <v>313.96600115942738</v>
      </c>
      <c r="F84" s="30">
        <f ca="1">E84-VLOOKUP(Settings!$K$8,D9:E169,2,FALSE)</f>
        <v>-21.550000094609345</v>
      </c>
      <c r="G84" s="141">
        <f ca="1">RANK(H84,H$2:H$161)</f>
        <v>80</v>
      </c>
      <c r="H84" s="30">
        <f ca="1">VLOOKUP(A84,Rankings!B1:H651,7,FALSE)+(RAND()*0.00001)</f>
        <v>-0.32797143546446472</v>
      </c>
      <c r="I84" s="30">
        <f ca="1">H84-VLOOKUP(Settings!$K$8,G9:H169,2,FALSE)</f>
        <v>-0.46395931335239071</v>
      </c>
    </row>
    <row r="85" spans="1:9" ht="18.600000000000001" customHeight="1">
      <c r="A85" s="25" t="s">
        <v>336</v>
      </c>
      <c r="B85" s="26" t="s">
        <v>160</v>
      </c>
      <c r="C85" s="130" t="s">
        <v>31</v>
      </c>
      <c r="D85" s="141">
        <f ca="1">RANK(E85,E$2:E$161)</f>
        <v>84</v>
      </c>
      <c r="E85" s="30">
        <f ca="1">VLOOKUP(A85,Rankings!B1:H651,6,FALSE)+(RAND()*0.00001)</f>
        <v>309.99733641608964</v>
      </c>
      <c r="F85" s="30">
        <f ca="1">E85-VLOOKUP(Settings!$K$8,D12:E172,2,FALSE)</f>
        <v>-25.518664837947085</v>
      </c>
      <c r="G85" s="141">
        <f ca="1">RANK(H85,H$2:H$161)</f>
        <v>67</v>
      </c>
      <c r="H85" s="30">
        <f ca="1">VLOOKUP(A85,Rankings!B1:H651,7,FALSE)+(RAND()*0.00001)</f>
        <v>0.15109208861628415</v>
      </c>
      <c r="I85" s="30">
        <f ca="1">H85-VLOOKUP(Settings!$K$8,G12:H172,2,FALSE)</f>
        <v>1.5104210728358186E-2</v>
      </c>
    </row>
    <row r="86" spans="1:9" ht="18.600000000000001" customHeight="1">
      <c r="A86" s="25" t="s">
        <v>255</v>
      </c>
      <c r="B86" s="26" t="s">
        <v>82</v>
      </c>
      <c r="C86" s="130" t="s">
        <v>31</v>
      </c>
      <c r="D86" s="141">
        <f ca="1">RANK(E86,E$2:E$161)</f>
        <v>85</v>
      </c>
      <c r="E86" s="30">
        <f ca="1">VLOOKUP(A86,Rankings!B1:H651,6,FALSE)+(RAND()*0.00001)</f>
        <v>306.27500778583709</v>
      </c>
      <c r="F86" s="30">
        <f ca="1">E86-VLOOKUP(Settings!$K$8,D26:E186,2,FALSE)</f>
        <v>-29.240993468199633</v>
      </c>
      <c r="G86" s="141">
        <f ca="1">RANK(H86,H$2:H$161)</f>
        <v>49</v>
      </c>
      <c r="H86" s="30">
        <f ca="1">VLOOKUP(A86,Rankings!B1:H651,7,FALSE)+(RAND()*0.00001)</f>
        <v>1.4149561889019888</v>
      </c>
      <c r="I86" s="30">
        <f ca="1">H86-VLOOKUP(Settings!$K$8,G26:H186,2,FALSE)</f>
        <v>1.2789683110140628</v>
      </c>
    </row>
    <row r="87" spans="1:9" ht="18.600000000000001" customHeight="1">
      <c r="A87" s="25" t="s">
        <v>457</v>
      </c>
      <c r="B87" s="26" t="s">
        <v>139</v>
      </c>
      <c r="C87" s="130" t="s">
        <v>31</v>
      </c>
      <c r="D87" s="141">
        <f ca="1">RANK(E87,E$2:E$161)</f>
        <v>86</v>
      </c>
      <c r="E87" s="30">
        <f ca="1">VLOOKUP(A87,Rankings!B1:H651,6,FALSE)+(RAND()*0.00001)</f>
        <v>305.42100396812725</v>
      </c>
      <c r="F87" s="30">
        <f ca="1">E87-VLOOKUP(Settings!$K$8,D1:E155,2,FALSE)</f>
        <v>-30.094997285909471</v>
      </c>
      <c r="G87" s="141">
        <f ca="1">RANK(H87,H$2:H$161)</f>
        <v>106</v>
      </c>
      <c r="H87" s="30">
        <f ca="1">VLOOKUP(A87,Rankings!B1:H651,7,FALSE)+(RAND()*0.00001)</f>
        <v>-1.8218758159308117</v>
      </c>
      <c r="I87" s="30">
        <f ca="1">H87-VLOOKUP(Settings!$K$8,G1:H155,2,FALSE)</f>
        <v>-1.9578636938187377</v>
      </c>
    </row>
    <row r="88" spans="1:9" ht="18.600000000000001" customHeight="1">
      <c r="A88" s="25" t="s">
        <v>453</v>
      </c>
      <c r="B88" s="26" t="s">
        <v>101</v>
      </c>
      <c r="C88" s="130" t="s">
        <v>31</v>
      </c>
      <c r="D88" s="141">
        <f ca="1">RANK(E88,E$2:E$161)</f>
        <v>87</v>
      </c>
      <c r="E88" s="30">
        <f ca="1">VLOOKUP(A88,Rankings!B1:H651,6,FALSE)+(RAND()*0.00001)</f>
        <v>303.70067642861676</v>
      </c>
      <c r="F88" s="30">
        <f ca="1">E88-VLOOKUP(Settings!$K$8,D1:E143,2,FALSE)</f>
        <v>-31.815324825419964</v>
      </c>
      <c r="G88" s="141">
        <f ca="1">RANK(H88,H$2:H$161)</f>
        <v>105</v>
      </c>
      <c r="H88" s="30">
        <f ca="1">VLOOKUP(A88,Rankings!B1:H651,7,FALSE)+(RAND()*0.00001)</f>
        <v>-1.7658142971535842</v>
      </c>
      <c r="I88" s="30">
        <f ca="1">H88-VLOOKUP(Settings!$K$8,G1:H143,2,FALSE)</f>
        <v>-1.9018021750415102</v>
      </c>
    </row>
    <row r="89" spans="1:9" ht="18.600000000000001" customHeight="1">
      <c r="A89" s="25" t="s">
        <v>349</v>
      </c>
      <c r="B89" s="26" t="s">
        <v>219</v>
      </c>
      <c r="C89" s="130" t="s">
        <v>31</v>
      </c>
      <c r="D89" s="141">
        <f ca="1">RANK(E89,E$2:E$161)</f>
        <v>88</v>
      </c>
      <c r="E89" s="30">
        <f ca="1">VLOOKUP(A89,Rankings!B1:H651,6,FALSE)+(RAND()*0.00001)</f>
        <v>300.00334056366495</v>
      </c>
      <c r="F89" s="30">
        <f ca="1">E89-VLOOKUP(Settings!$K$8,D3:E160,2,FALSE)</f>
        <v>-35.512660690371774</v>
      </c>
      <c r="G89" s="141">
        <f ca="1">RANK(H89,H$2:H$161)</f>
        <v>73</v>
      </c>
      <c r="H89" s="30">
        <f ca="1">VLOOKUP(A89,Rankings!B1:H651,7,FALSE)+(RAND()*0.00001)</f>
        <v>-1.8937756313473872E-2</v>
      </c>
      <c r="I89" s="30">
        <f ca="1">H89-VLOOKUP(Settings!$K$8,G3:H160,2,FALSE)</f>
        <v>-0.15492563420139982</v>
      </c>
    </row>
    <row r="90" spans="1:9" ht="18.600000000000001" customHeight="1">
      <c r="A90" s="25" t="s">
        <v>354</v>
      </c>
      <c r="B90" s="26" t="s">
        <v>77</v>
      </c>
      <c r="C90" s="130" t="s">
        <v>31</v>
      </c>
      <c r="D90" s="141">
        <f ca="1">RANK(E90,E$2:E$161)</f>
        <v>89</v>
      </c>
      <c r="E90" s="30">
        <f ca="1">VLOOKUP(A90,Rankings!B1:H651,6,FALSE)+(RAND()*0.00001)</f>
        <v>297.66333580437208</v>
      </c>
      <c r="F90" s="30">
        <f ca="1">E90-VLOOKUP(Settings!$K$8,D5:E165,2,FALSE)</f>
        <v>-37.852665449664642</v>
      </c>
      <c r="G90" s="141">
        <f ca="1">RANK(H90,H$2:H$161)</f>
        <v>76</v>
      </c>
      <c r="H90" s="30">
        <f ca="1">VLOOKUP(A90,Rankings!B1:H651,7,FALSE)+(RAND()*0.00001)</f>
        <v>-5.1163339727620293E-2</v>
      </c>
      <c r="I90" s="30">
        <f ca="1">H90-VLOOKUP(Settings!$K$8,G5:H165,2,FALSE)</f>
        <v>-0.18715121761554626</v>
      </c>
    </row>
    <row r="91" spans="1:9" ht="18.600000000000001" customHeight="1">
      <c r="A91" s="25" t="s">
        <v>359</v>
      </c>
      <c r="B91" s="26" t="s">
        <v>79</v>
      </c>
      <c r="C91" s="130" t="s">
        <v>31</v>
      </c>
      <c r="D91" s="141">
        <f ca="1">RANK(E91,E$2:E$161)</f>
        <v>90</v>
      </c>
      <c r="E91" s="30">
        <f ca="1">VLOOKUP(A91,Rankings!B1:H651,6,FALSE)+(RAND()*0.00001)</f>
        <v>297.21667220316607</v>
      </c>
      <c r="F91" s="30">
        <f ca="1">E91-VLOOKUP(Settings!$K$8,D8:E168,2,FALSE)</f>
        <v>-38.299329050870654</v>
      </c>
      <c r="G91" s="141">
        <f ca="1">RANK(H91,H$2:H$161)</f>
        <v>78</v>
      </c>
      <c r="H91" s="30">
        <f ca="1">VLOOKUP(A91,Rankings!B1:H651,7,FALSE)+(RAND()*0.00001)</f>
        <v>-0.12374563176960324</v>
      </c>
      <c r="I91" s="30">
        <f ca="1">H91-VLOOKUP(Settings!$K$8,G8:H168,2,FALSE)</f>
        <v>-0.25973350965752917</v>
      </c>
    </row>
    <row r="92" spans="1:9" ht="18.600000000000001" customHeight="1">
      <c r="A92" s="25" t="s">
        <v>467</v>
      </c>
      <c r="B92" s="26" t="s">
        <v>139</v>
      </c>
      <c r="C92" s="130" t="s">
        <v>31</v>
      </c>
      <c r="D92" s="141">
        <f ca="1">RANK(E92,E$2:E$161)</f>
        <v>91</v>
      </c>
      <c r="E92" s="30">
        <f ca="1">VLOOKUP(A92,Rankings!B1:H651,6,FALSE)+(RAND()*0.00001)</f>
        <v>296.62100112605884</v>
      </c>
      <c r="F92" s="30">
        <f ca="1">E92-VLOOKUP(Settings!$K$8,D1:E161,2,FALSE)</f>
        <v>-38.89500012797788</v>
      </c>
      <c r="G92" s="141">
        <f ca="1">RANK(H92,H$2:H$161)</f>
        <v>109</v>
      </c>
      <c r="H92" s="30">
        <f ca="1">VLOOKUP(A92,Rankings!B1:H651,7,FALSE)+(RAND()*0.00001)</f>
        <v>-1.9093890542580034</v>
      </c>
      <c r="I92" s="30">
        <f ca="1">H92-VLOOKUP(Settings!$K$8,G1:H161,2,FALSE)</f>
        <v>-2.0453769321459294</v>
      </c>
    </row>
    <row r="93" spans="1:9" ht="18.600000000000001" customHeight="1">
      <c r="A93" s="25" t="s">
        <v>340</v>
      </c>
      <c r="B93" s="26" t="s">
        <v>122</v>
      </c>
      <c r="C93" s="130" t="s">
        <v>31</v>
      </c>
      <c r="D93" s="141">
        <f ca="1">RANK(E93,E$2:E$161)</f>
        <v>92</v>
      </c>
      <c r="E93" s="30">
        <f ca="1">VLOOKUP(A93,Rankings!B1:H651,6,FALSE)+(RAND()*0.00001)</f>
        <v>293.35100288966504</v>
      </c>
      <c r="F93" s="30">
        <f ca="1">E93-VLOOKUP(Settings!$K$8,D7:E167,2,FALSE)</f>
        <v>-42.164998364371684</v>
      </c>
      <c r="G93" s="141">
        <f ca="1">RANK(H93,H$2:H$161)</f>
        <v>70</v>
      </c>
      <c r="H93" s="30">
        <f ca="1">VLOOKUP(A93,Rankings!B1:H651,7,FALSE)+(RAND()*0.00001)</f>
        <v>0.1094682227885672</v>
      </c>
      <c r="I93" s="30">
        <f ca="1">H93-VLOOKUP(Settings!$K$8,G7:H167,2,FALSE)</f>
        <v>-2.651965509935876E-2</v>
      </c>
    </row>
    <row r="94" spans="1:9" ht="18.600000000000001" customHeight="1">
      <c r="A94" s="25" t="s">
        <v>435</v>
      </c>
      <c r="B94" s="26" t="s">
        <v>82</v>
      </c>
      <c r="C94" s="130" t="s">
        <v>31</v>
      </c>
      <c r="D94" s="141">
        <f ca="1">RANK(E94,E$2:E$161)</f>
        <v>93</v>
      </c>
      <c r="E94" s="30">
        <f ca="1">VLOOKUP(A94,Rankings!B1:H651,6,FALSE)+(RAND()*0.00001)</f>
        <v>292.76267169006314</v>
      </c>
      <c r="F94" s="30">
        <f ca="1">E94-VLOOKUP(Settings!$K$8,D1:E151,2,FALSE)</f>
        <v>-42.75332956397358</v>
      </c>
      <c r="G94" s="141">
        <f ca="1">RANK(H94,H$2:H$161)</f>
        <v>99</v>
      </c>
      <c r="H94" s="30">
        <f ca="1">VLOOKUP(A94,Rankings!B1:H651,7,FALSE)+(RAND()*0.00001)</f>
        <v>-1.5818948454258726</v>
      </c>
      <c r="I94" s="30">
        <f ca="1">H94-VLOOKUP(Settings!$K$8,G1:H151,2,FALSE)</f>
        <v>-1.7178827233137985</v>
      </c>
    </row>
    <row r="95" spans="1:9" ht="18.600000000000001" customHeight="1">
      <c r="A95" s="25" t="s">
        <v>394</v>
      </c>
      <c r="B95" s="26" t="s">
        <v>64</v>
      </c>
      <c r="C95" s="130" t="s">
        <v>31</v>
      </c>
      <c r="D95" s="141">
        <f ca="1">RANK(E95,E$2:E$161)</f>
        <v>94</v>
      </c>
      <c r="E95" s="30">
        <f ca="1">VLOOKUP(A95,Rankings!B1:H651,6,FALSE)+(RAND()*0.00001)</f>
        <v>288.53334149660458</v>
      </c>
      <c r="F95" s="30">
        <f ca="1">E95-VLOOKUP(Settings!$K$8,D8:E165,2,FALSE)</f>
        <v>-46.982659757432145</v>
      </c>
      <c r="G95" s="141">
        <f ca="1">RANK(H95,H$2:H$161)</f>
        <v>89</v>
      </c>
      <c r="H95" s="30">
        <f ca="1">VLOOKUP(A95,Rankings!B1:H651,7,FALSE)+(RAND()*0.00001)</f>
        <v>-0.70672339698486508</v>
      </c>
      <c r="I95" s="30">
        <f ca="1">H95-VLOOKUP(Settings!$K$8,G8:H165,2,FALSE)</f>
        <v>-0.84271127487279107</v>
      </c>
    </row>
    <row r="96" spans="1:9" ht="18.600000000000001" customHeight="1">
      <c r="A96" s="25" t="s">
        <v>446</v>
      </c>
      <c r="B96" s="26" t="s">
        <v>142</v>
      </c>
      <c r="C96" s="130" t="s">
        <v>31</v>
      </c>
      <c r="D96" s="141">
        <f ca="1">RANK(E96,E$2:E$161)</f>
        <v>95</v>
      </c>
      <c r="E96" s="30">
        <f ca="1">VLOOKUP(A96,Rankings!B1:H651,6,FALSE)+(RAND()*0.00001)</f>
        <v>286.17800981726646</v>
      </c>
      <c r="F96" s="30">
        <f ca="1">E96-VLOOKUP(Settings!$K$8,D1:E150,2,FALSE)</f>
        <v>-49.337991436770267</v>
      </c>
      <c r="G96" s="141">
        <f ca="1">RANK(H96,H$2:H$161)</f>
        <v>82</v>
      </c>
      <c r="H96" s="30">
        <f ca="1">VLOOKUP(A96,Rankings!B1:H651,7,FALSE)+(RAND()*0.00001)</f>
        <v>-0.4606961760307669</v>
      </c>
      <c r="I96" s="30">
        <f ca="1">H96-VLOOKUP(Settings!$K$8,G1:H150,2,FALSE)</f>
        <v>-0.59668405391869284</v>
      </c>
    </row>
    <row r="97" spans="1:9" ht="18.600000000000001" customHeight="1">
      <c r="A97" s="25" t="s">
        <v>437</v>
      </c>
      <c r="B97" s="26" t="s">
        <v>139</v>
      </c>
      <c r="C97" s="130" t="s">
        <v>31</v>
      </c>
      <c r="D97" s="141">
        <f ca="1">RANK(E97,E$2:E$161)</f>
        <v>96</v>
      </c>
      <c r="E97" s="30">
        <f ca="1">VLOOKUP(A97,Rankings!B1:H651,6,FALSE)+(RAND()*0.00001)</f>
        <v>283.25000139617106</v>
      </c>
      <c r="F97" s="30">
        <f ca="1">E97-VLOOKUP(Settings!$K$8,D1:E161,2,FALSE)</f>
        <v>-52.265999857865665</v>
      </c>
      <c r="G97" s="141">
        <f ca="1">RANK(H97,H$2:H$161)</f>
        <v>100</v>
      </c>
      <c r="H97" s="30">
        <f ca="1">VLOOKUP(A97,Rankings!B1:H651,7,FALSE)+(RAND()*0.00001)</f>
        <v>-1.5928621409268315</v>
      </c>
      <c r="I97" s="30">
        <f ca="1">H97-VLOOKUP(Settings!$K$8,G1:H161,2,FALSE)</f>
        <v>-1.7288500188147575</v>
      </c>
    </row>
    <row r="98" spans="1:9" ht="18.600000000000001" customHeight="1">
      <c r="A98" s="25" t="s">
        <v>362</v>
      </c>
      <c r="B98" s="26" t="s">
        <v>136</v>
      </c>
      <c r="C98" s="130" t="s">
        <v>31</v>
      </c>
      <c r="D98" s="141">
        <f ca="1">RANK(E98,E$2:E$161)</f>
        <v>97</v>
      </c>
      <c r="E98" s="30">
        <f ca="1">VLOOKUP(A98,Rankings!B1:H651,6,FALSE)+(RAND()*0.00001)</f>
        <v>281.91667413432646</v>
      </c>
      <c r="F98" s="30">
        <f ca="1">E98-VLOOKUP(Settings!$K$8,D18:E178,2,FALSE)</f>
        <v>-53.599327119710267</v>
      </c>
      <c r="G98" s="141">
        <f ca="1">RANK(H98,H$2:H$161)</f>
        <v>79</v>
      </c>
      <c r="H98" s="30">
        <f ca="1">VLOOKUP(A98,Rankings!B1:H651,7,FALSE)+(RAND()*0.00001)</f>
        <v>-0.1860641749710229</v>
      </c>
      <c r="I98" s="30">
        <f ca="1">H98-VLOOKUP(Settings!$K$8,G18:H178,2,FALSE)</f>
        <v>-0.32205205285894889</v>
      </c>
    </row>
    <row r="99" spans="1:9" ht="18.600000000000001" customHeight="1">
      <c r="A99" s="25" t="s">
        <v>409</v>
      </c>
      <c r="B99" s="26" t="s">
        <v>125</v>
      </c>
      <c r="C99" s="130" t="s">
        <v>31</v>
      </c>
      <c r="D99" s="141">
        <f ca="1">RANK(E99,E$2:E$161)</f>
        <v>98</v>
      </c>
      <c r="E99" s="30">
        <f ca="1">VLOOKUP(A99,Rankings!B1:H651,6,FALSE)+(RAND()*0.00001)</f>
        <v>281.71400701233796</v>
      </c>
      <c r="F99" s="30">
        <f ca="1">E99-VLOOKUP(Settings!$K$8,D6:E166,2,FALSE)</f>
        <v>-53.801994241698765</v>
      </c>
      <c r="G99" s="141">
        <f ca="1">RANK(H99,H$2:H$161)</f>
        <v>92</v>
      </c>
      <c r="H99" s="30">
        <f ca="1">VLOOKUP(A99,Rankings!B1:H651,7,FALSE)+(RAND()*0.00001)</f>
        <v>-0.90826197965900068</v>
      </c>
      <c r="I99" s="30">
        <f ca="1">H99-VLOOKUP(Settings!$K$8,G6:H166,2,FALSE)</f>
        <v>-1.0442498575469266</v>
      </c>
    </row>
    <row r="100" spans="1:9" ht="18.600000000000001" customHeight="1">
      <c r="A100" s="25" t="s">
        <v>277</v>
      </c>
      <c r="B100" s="26" t="s">
        <v>79</v>
      </c>
      <c r="C100" s="130" t="s">
        <v>31</v>
      </c>
      <c r="D100" s="141">
        <f ca="1">RANK(E100,E$2:E$161)</f>
        <v>99</v>
      </c>
      <c r="E100" s="30">
        <f ca="1">VLOOKUP(A100,Rankings!B1:H651,6,FALSE)+(RAND()*0.00001)</f>
        <v>281.60000711368338</v>
      </c>
      <c r="F100" s="30">
        <f ca="1">E100-VLOOKUP(Settings!$K$8,D32:E192,2,FALSE)</f>
        <v>-53.915994140353348</v>
      </c>
      <c r="G100" s="141">
        <f ca="1">RANK(H100,H$2:H$161)</f>
        <v>54</v>
      </c>
      <c r="H100" s="30">
        <f ca="1">VLOOKUP(A100,Rankings!B1:H651,7,FALSE)+(RAND()*0.00001)</f>
        <v>1.057054442596044</v>
      </c>
      <c r="I100" s="30">
        <f ca="1">H100-VLOOKUP(Settings!$K$8,G32:H192,2,FALSE)</f>
        <v>0.92106656470811799</v>
      </c>
    </row>
    <row r="101" spans="1:9" ht="18.600000000000001" customHeight="1">
      <c r="A101" s="25" t="s">
        <v>554</v>
      </c>
      <c r="B101" s="26" t="s">
        <v>225</v>
      </c>
      <c r="C101" s="130" t="s">
        <v>31</v>
      </c>
      <c r="D101" s="141">
        <f ca="1">RANK(E101,E$2:E$161)</f>
        <v>100</v>
      </c>
      <c r="E101" s="30">
        <f ca="1">VLOOKUP(A101,Rankings!B1:H651,6,FALSE)+(RAND()*0.00001)</f>
        <v>280.39133531360818</v>
      </c>
      <c r="F101" s="30">
        <f ca="1">E101-VLOOKUP(Settings!$K$8,D1:E144,2,FALSE)</f>
        <v>-55.124665940428542</v>
      </c>
      <c r="G101" s="141">
        <f ca="1">RANK(H101,H$2:H$161)</f>
        <v>133</v>
      </c>
      <c r="H101" s="30">
        <f ca="1">VLOOKUP(A101,Rankings!B1:H651,7,FALSE)+(RAND()*0.00001)</f>
        <v>-2.8832750487165981</v>
      </c>
      <c r="I101" s="30">
        <f ca="1">H101-VLOOKUP(Settings!$K$8,G1:H144,2,FALSE)</f>
        <v>-3.0192629266045241</v>
      </c>
    </row>
    <row r="102" spans="1:9" ht="18.600000000000001" customHeight="1">
      <c r="A102" s="25" t="s">
        <v>498</v>
      </c>
      <c r="B102" s="26" t="s">
        <v>105</v>
      </c>
      <c r="C102" s="130" t="s">
        <v>31</v>
      </c>
      <c r="D102" s="141">
        <f ca="1">RANK(E102,E$2:E$161)</f>
        <v>101</v>
      </c>
      <c r="E102" s="30">
        <f ca="1">VLOOKUP(A102,Rankings!B1:H651,6,FALSE)+(RAND()*0.00001)</f>
        <v>279.5886725324591</v>
      </c>
      <c r="F102" s="30">
        <f ca="1">E102-VLOOKUP(Settings!$K$8,D1:E152,2,FALSE)</f>
        <v>-55.927328721577624</v>
      </c>
      <c r="G102" s="141">
        <f ca="1">RANK(H102,H$2:H$161)</f>
        <v>118</v>
      </c>
      <c r="H102" s="30">
        <f ca="1">VLOOKUP(A102,Rankings!B1:H651,7,FALSE)+(RAND()*0.00001)</f>
        <v>-2.2938232199846849</v>
      </c>
      <c r="I102" s="30">
        <f ca="1">H102-VLOOKUP(Settings!$K$8,G1:H152,2,FALSE)</f>
        <v>-2.4298110978726108</v>
      </c>
    </row>
    <row r="103" spans="1:9" ht="18.600000000000001" customHeight="1">
      <c r="A103" s="25" t="s">
        <v>515</v>
      </c>
      <c r="B103" s="26" t="s">
        <v>136</v>
      </c>
      <c r="C103" s="130" t="s">
        <v>31</v>
      </c>
      <c r="D103" s="141">
        <f ca="1">RANK(E103,E$2:E$161)</f>
        <v>102</v>
      </c>
      <c r="E103" s="30">
        <f ca="1">VLOOKUP(A103,Rankings!B1:H651,6,FALSE)+(RAND()*0.00001)</f>
        <v>278.19067157510483</v>
      </c>
      <c r="F103" s="30">
        <f ca="1">E103-VLOOKUP(Settings!$K$8,D1:E141,2,FALSE)</f>
        <v>-57.325329678931894</v>
      </c>
      <c r="G103" s="141">
        <f ca="1">RANK(H103,H$2:H$161)</f>
        <v>121</v>
      </c>
      <c r="H103" s="30">
        <f ca="1">VLOOKUP(A103,Rankings!B1:H651,7,FALSE)+(RAND()*0.00001)</f>
        <v>-2.5388851285890093</v>
      </c>
      <c r="I103" s="30">
        <f ca="1">H103-VLOOKUP(Settings!$K$8,G1:H141,2,FALSE)</f>
        <v>-2.6748730064769353</v>
      </c>
    </row>
    <row r="104" spans="1:9" ht="18.600000000000001" customHeight="1">
      <c r="A104" s="25" t="s">
        <v>585</v>
      </c>
      <c r="B104" s="26" t="s">
        <v>309</v>
      </c>
      <c r="C104" s="130" t="s">
        <v>31</v>
      </c>
      <c r="D104" s="141">
        <f ca="1">RANK(E104,E$2:E$161)</f>
        <v>103</v>
      </c>
      <c r="E104" s="30">
        <f ca="1">VLOOKUP(A104,Rankings!B1:H651,6,FALSE)+(RAND()*0.00001)</f>
        <v>275.73333586062478</v>
      </c>
      <c r="F104" s="30">
        <f ca="1">E104-VLOOKUP(Settings!$K$8,D2:E162,2,FALSE)</f>
        <v>-59.782665393411946</v>
      </c>
      <c r="G104" s="141">
        <f ca="1">RANK(H104,H$2:H$161)</f>
        <v>140</v>
      </c>
      <c r="H104" s="30">
        <f ca="1">VLOOKUP(A104,Rankings!B1:H651,7,FALSE)+(RAND()*0.00001)</f>
        <v>-3.3560784457431052</v>
      </c>
      <c r="I104" s="30">
        <f ca="1">H104-VLOOKUP(Settings!$K$8,G2:H162,2,FALSE)</f>
        <v>-3.4920663236310312</v>
      </c>
    </row>
    <row r="105" spans="1:9" ht="18.600000000000001" customHeight="1">
      <c r="A105" s="25" t="s">
        <v>500</v>
      </c>
      <c r="B105" s="26" t="s">
        <v>101</v>
      </c>
      <c r="C105" s="130" t="s">
        <v>31</v>
      </c>
      <c r="D105" s="141">
        <f ca="1">RANK(E105,E$2:E$161)</f>
        <v>104</v>
      </c>
      <c r="E105" s="30">
        <f ca="1">VLOOKUP(A105,Rankings!B1:H651,6,FALSE)+(RAND()*0.00001)</f>
        <v>274.54400050534525</v>
      </c>
      <c r="F105" s="30">
        <f ca="1">E105-VLOOKUP(Settings!$K$8,D6:E154,2,FALSE)</f>
        <v>-60.972000748691471</v>
      </c>
      <c r="G105" s="141">
        <f ca="1">RANK(H105,H$2:H$161)</f>
        <v>120</v>
      </c>
      <c r="H105" s="30">
        <f ca="1">VLOOKUP(A105,Rankings!B1:H651,7,FALSE)+(RAND()*0.00001)</f>
        <v>-2.3329743599415207</v>
      </c>
      <c r="I105" s="30">
        <f ca="1">H105-VLOOKUP(Settings!$K$8,G6:H154,2,FALSE)</f>
        <v>-2.4689622378294467</v>
      </c>
    </row>
    <row r="106" spans="1:9" ht="18.600000000000001" customHeight="1">
      <c r="A106" s="25" t="s">
        <v>644</v>
      </c>
      <c r="B106" s="26" t="s">
        <v>119</v>
      </c>
      <c r="C106" s="130" t="s">
        <v>31</v>
      </c>
      <c r="D106" s="141">
        <f ca="1">RANK(E106,E$2:E$161)</f>
        <v>105</v>
      </c>
      <c r="E106" s="30">
        <f ca="1">VLOOKUP(A106,Rankings!B1:H651,6,FALSE)+(RAND()*0.00001)</f>
        <v>274.3213340314968</v>
      </c>
      <c r="F106" s="30">
        <f ca="1">E106-VLOOKUP(Settings!$K$8,D1:E138,2,FALSE)</f>
        <v>-61.19466722253992</v>
      </c>
      <c r="G106" s="141">
        <f ca="1">RANK(H106,H$2:H$161)</f>
        <v>151</v>
      </c>
      <c r="H106" s="30">
        <f ca="1">VLOOKUP(A106,Rankings!B1:H651,7,FALSE)+(RAND()*0.00001)</f>
        <v>-4.084346669733212</v>
      </c>
      <c r="I106" s="30">
        <f ca="1">H106-VLOOKUP(Settings!$K$8,G1:H138,2,FALSE)</f>
        <v>-4.220334547621138</v>
      </c>
    </row>
    <row r="107" spans="1:9" ht="18.600000000000001" customHeight="1">
      <c r="A107" s="25" t="s">
        <v>654</v>
      </c>
      <c r="B107" s="26" t="s">
        <v>178</v>
      </c>
      <c r="C107" s="130" t="s">
        <v>31</v>
      </c>
      <c r="D107" s="141">
        <f ca="1">RANK(E107,E$2:E$161)</f>
        <v>106</v>
      </c>
      <c r="E107" s="30">
        <f ca="1">VLOOKUP(A107,Rankings!B1:H651,6,FALSE)+(RAND()*0.00001)</f>
        <v>273.209333448108</v>
      </c>
      <c r="F107" s="30">
        <f ca="1">E107-VLOOKUP(Settings!$K$8,D3:E132,2,FALSE)</f>
        <v>-62.306667805928726</v>
      </c>
      <c r="G107" s="141">
        <f ca="1">RANK(H107,H$2:H$161)</f>
        <v>154</v>
      </c>
      <c r="H107" s="30">
        <f ca="1">VLOOKUP(A107,Rankings!B1:H651,7,FALSE)+(RAND()*0.00001)</f>
        <v>-4.2770532780692516</v>
      </c>
      <c r="I107" s="30">
        <f ca="1">H107-VLOOKUP(Settings!$K$8,G3:H132,2,FALSE)</f>
        <v>-4.4130411559571776</v>
      </c>
    </row>
    <row r="108" spans="1:9" ht="18.600000000000001" customHeight="1">
      <c r="A108" s="25" t="s">
        <v>389</v>
      </c>
      <c r="B108" s="26" t="s">
        <v>136</v>
      </c>
      <c r="C108" s="130" t="s">
        <v>31</v>
      </c>
      <c r="D108" s="141">
        <f ca="1">RANK(E108,E$2:E$161)</f>
        <v>107</v>
      </c>
      <c r="E108" s="30">
        <f ca="1">VLOOKUP(A108,Rankings!B1:H651,6,FALSE)+(RAND()*0.00001)</f>
        <v>270.25000015188471</v>
      </c>
      <c r="F108" s="30">
        <f ca="1">E108-VLOOKUP(Settings!$K$8,D21:E181,2,FALSE)</f>
        <v>-65.266001102152018</v>
      </c>
      <c r="G108" s="141">
        <f ca="1">RANK(H108,H$2:H$161)</f>
        <v>86</v>
      </c>
      <c r="H108" s="30">
        <f ca="1">VLOOKUP(A108,Rankings!B1:H651,7,FALSE)+(RAND()*0.00001)</f>
        <v>-0.64237335966306763</v>
      </c>
      <c r="I108" s="30">
        <f ca="1">H108-VLOOKUP(Settings!$K$8,G21:H181,2,FALSE)</f>
        <v>-0.77836123755099362</v>
      </c>
    </row>
    <row r="109" spans="1:9" ht="18.600000000000001" customHeight="1">
      <c r="A109" s="25" t="s">
        <v>411</v>
      </c>
      <c r="B109" s="26" t="s">
        <v>103</v>
      </c>
      <c r="C109" s="130" t="s">
        <v>31</v>
      </c>
      <c r="D109" s="141">
        <f ca="1">RANK(E109,E$2:E$161)</f>
        <v>108</v>
      </c>
      <c r="E109" s="30">
        <f ca="1">VLOOKUP(A109,Rankings!B1:H651,6,FALSE)+(RAND()*0.00001)</f>
        <v>269.82667502170005</v>
      </c>
      <c r="F109" s="30">
        <f ca="1">E109-VLOOKUP(Settings!$K$8,D9:E169,2,FALSE)</f>
        <v>-65.689326232336668</v>
      </c>
      <c r="G109" s="141">
        <f ca="1">RANK(H109,H$2:H$161)</f>
        <v>93</v>
      </c>
      <c r="H109" s="30">
        <f ca="1">VLOOKUP(A109,Rankings!B1:H651,7,FALSE)+(RAND()*0.00001)</f>
        <v>-1.0315210360656761</v>
      </c>
      <c r="I109" s="30">
        <f ca="1">H109-VLOOKUP(Settings!$K$8,G9:H169,2,FALSE)</f>
        <v>-1.1675089139536021</v>
      </c>
    </row>
    <row r="110" spans="1:9" ht="18.600000000000001" customHeight="1">
      <c r="A110" s="25" t="s">
        <v>476</v>
      </c>
      <c r="B110" s="26" t="s">
        <v>64</v>
      </c>
      <c r="C110" s="130" t="s">
        <v>31</v>
      </c>
      <c r="D110" s="141">
        <f ca="1">RANK(E110,E$2:E$161)</f>
        <v>109</v>
      </c>
      <c r="E110" s="30">
        <f ca="1">VLOOKUP(A110,Rankings!B1:H651,6,FALSE)+(RAND()*0.00001)</f>
        <v>269.58933673996614</v>
      </c>
      <c r="F110" s="30">
        <f ca="1">E110-VLOOKUP(Settings!$K$8,D3:E162,2,FALSE)</f>
        <v>-65.92666451407058</v>
      </c>
      <c r="G110" s="141">
        <f ca="1">RANK(H110,H$2:H$161)</f>
        <v>113</v>
      </c>
      <c r="H110" s="30">
        <f ca="1">VLOOKUP(A110,Rankings!B1:H651,7,FALSE)+(RAND()*0.00001)</f>
        <v>-2.0194904161420912</v>
      </c>
      <c r="I110" s="30">
        <f ca="1">H110-VLOOKUP(Settings!$K$8,G3:H162,2,FALSE)</f>
        <v>-2.1554782940300172</v>
      </c>
    </row>
    <row r="111" spans="1:9" ht="18.600000000000001" customHeight="1">
      <c r="A111" s="25" t="s">
        <v>522</v>
      </c>
      <c r="B111" s="26" t="s">
        <v>142</v>
      </c>
      <c r="C111" s="130" t="s">
        <v>31</v>
      </c>
      <c r="D111" s="141">
        <f ca="1">RANK(E111,E$2:E$161)</f>
        <v>110</v>
      </c>
      <c r="E111" s="30">
        <f ca="1">VLOOKUP(A111,Rankings!B1:H651,6,FALSE)+(RAND()*0.00001)</f>
        <v>268.96900216378634</v>
      </c>
      <c r="F111" s="30">
        <f ca="1">E111-VLOOKUP(Settings!$K$8,D1:E150,2,FALSE)</f>
        <v>-66.546999090250381</v>
      </c>
      <c r="G111" s="141">
        <f ca="1">RANK(H111,H$2:H$161)</f>
        <v>122</v>
      </c>
      <c r="H111" s="30">
        <f ca="1">VLOOKUP(A111,Rankings!B1:H651,7,FALSE)+(RAND()*0.00001)</f>
        <v>-2.6014035331939116</v>
      </c>
      <c r="I111" s="30">
        <f ca="1">H111-VLOOKUP(Settings!$K$8,G1:H150,2,FALSE)</f>
        <v>-2.7373914110818376</v>
      </c>
    </row>
    <row r="112" spans="1:9" ht="18.600000000000001" customHeight="1">
      <c r="A112" s="25" t="s">
        <v>524</v>
      </c>
      <c r="B112" s="26" t="s">
        <v>77</v>
      </c>
      <c r="C112" s="130" t="s">
        <v>31</v>
      </c>
      <c r="D112" s="141">
        <f ca="1">RANK(E112,E$2:E$161)</f>
        <v>111</v>
      </c>
      <c r="E112" s="30">
        <f ca="1">VLOOKUP(A112,Rankings!B1:H651,6,FALSE)+(RAND()*0.00001)</f>
        <v>262.67066720975049</v>
      </c>
      <c r="F112" s="30">
        <f ca="1">E112-VLOOKUP(Settings!$K$8,D3:E148,2,FALSE)</f>
        <v>-72.845334044286233</v>
      </c>
      <c r="G112" s="141">
        <f ca="1">RANK(H112,H$2:H$161)</f>
        <v>123</v>
      </c>
      <c r="H112" s="30">
        <f ca="1">VLOOKUP(A112,Rankings!B1:H651,7,FALSE)+(RAND()*0.00001)</f>
        <v>-2.6149452265376318</v>
      </c>
      <c r="I112" s="30">
        <f ca="1">H112-VLOOKUP(Settings!$K$8,G3:H148,2,FALSE)</f>
        <v>-2.7509331044255578</v>
      </c>
    </row>
    <row r="113" spans="1:9" ht="18.600000000000001" customHeight="1">
      <c r="A113" s="25" t="s">
        <v>578</v>
      </c>
      <c r="B113" s="26" t="s">
        <v>101</v>
      </c>
      <c r="C113" s="130" t="s">
        <v>31</v>
      </c>
      <c r="D113" s="141">
        <f ca="1">RANK(E113,E$2:E$161)</f>
        <v>112</v>
      </c>
      <c r="E113" s="30">
        <f ca="1">VLOOKUP(A113,Rankings!B1:H651,6,FALSE)+(RAND()*0.00001)</f>
        <v>258.72600372461648</v>
      </c>
      <c r="F113" s="30">
        <f ca="1">E113-VLOOKUP(Settings!$K$8,D1:E159,2,FALSE)</f>
        <v>-76.789997529420248</v>
      </c>
      <c r="G113" s="141">
        <f ca="1">RANK(H113,H$2:H$161)</f>
        <v>139</v>
      </c>
      <c r="H113" s="30">
        <f ca="1">VLOOKUP(A113,Rankings!B1:H651,7,FALSE)+(RAND()*0.00001)</f>
        <v>-3.2647964250157018</v>
      </c>
      <c r="I113" s="30">
        <f ca="1">H113-VLOOKUP(Settings!$K$8,G1:H159,2,FALSE)</f>
        <v>-3.4007843029036278</v>
      </c>
    </row>
    <row r="114" spans="1:9" ht="20.100000000000001" customHeight="1">
      <c r="A114" s="25" t="s">
        <v>396</v>
      </c>
      <c r="B114" s="26" t="s">
        <v>101</v>
      </c>
      <c r="C114" s="130" t="s">
        <v>31</v>
      </c>
      <c r="D114" s="141">
        <f ca="1">RANK(E114,E$2:E$161)</f>
        <v>113</v>
      </c>
      <c r="E114" s="30">
        <f ca="1">VLOOKUP(A114,Rankings!B1:H651,6,FALSE)+(RAND()*0.00001)</f>
        <v>256.55000602316193</v>
      </c>
      <c r="F114" s="30">
        <f ca="1">E114-VLOOKUP(Settings!$K$8,D19:E179,2,FALSE)</f>
        <v>-78.965995230874796</v>
      </c>
      <c r="G114" s="141">
        <f ca="1">RANK(H114,H$2:H$161)</f>
        <v>90</v>
      </c>
      <c r="H114" s="30">
        <f ca="1">VLOOKUP(A114,Rankings!B1:H651,7,FALSE)+(RAND()*0.00001)</f>
        <v>-0.7504053141832272</v>
      </c>
      <c r="I114" s="30">
        <f ca="1">H114-VLOOKUP(Settings!$K$8,G19:H179,2,FALSE)</f>
        <v>-0.88639319207115319</v>
      </c>
    </row>
    <row r="115" spans="1:9" ht="18.600000000000001" customHeight="1">
      <c r="A115" s="25" t="s">
        <v>552</v>
      </c>
      <c r="B115" s="26" t="s">
        <v>119</v>
      </c>
      <c r="C115" s="130" t="s">
        <v>31</v>
      </c>
      <c r="D115" s="141">
        <f ca="1">RANK(E115,E$2:E$161)</f>
        <v>114</v>
      </c>
      <c r="E115" s="30">
        <f ca="1">VLOOKUP(A115,Rankings!B1:H651,6,FALSE)+(RAND()*0.00001)</f>
        <v>255.96400327653137</v>
      </c>
      <c r="F115" s="30">
        <f ca="1">E115-VLOOKUP(Settings!$K$8,D4:E138,2,FALSE)</f>
        <v>-79.551997977505351</v>
      </c>
      <c r="G115" s="141">
        <f ca="1">RANK(H115,H$2:H$161)</f>
        <v>132</v>
      </c>
      <c r="H115" s="30">
        <f ca="1">VLOOKUP(A115,Rankings!B1:H651,7,FALSE)+(RAND()*0.00001)</f>
        <v>-2.8794075047259704</v>
      </c>
      <c r="I115" s="30">
        <f ca="1">H115-VLOOKUP(Settings!$K$8,G4:H138,2,FALSE)</f>
        <v>-3.0153953826138964</v>
      </c>
    </row>
    <row r="116" spans="1:9" ht="18.600000000000001" customHeight="1">
      <c r="A116" s="25" t="s">
        <v>444</v>
      </c>
      <c r="B116" s="26" t="s">
        <v>260</v>
      </c>
      <c r="C116" s="130" t="s">
        <v>31</v>
      </c>
      <c r="D116" s="141">
        <f ca="1">RANK(E116,E$2:E$161)</f>
        <v>115</v>
      </c>
      <c r="E116" s="30">
        <f ca="1">VLOOKUP(A116,Rankings!B1:H651,6,FALSE)+(RAND()*0.00001)</f>
        <v>248.46200705383649</v>
      </c>
      <c r="F116" s="30">
        <f ca="1">E116-VLOOKUP(Settings!$K$8,D9:E169,2,FALSE)</f>
        <v>-87.053994200200236</v>
      </c>
      <c r="G116" s="141">
        <f ca="1">RANK(H116,H$2:H$161)</f>
        <v>103</v>
      </c>
      <c r="H116" s="30">
        <f ca="1">VLOOKUP(A116,Rankings!B1:H651,7,FALSE)+(RAND()*0.00001)</f>
        <v>-1.6818992074837025</v>
      </c>
      <c r="I116" s="30">
        <f ca="1">H116-VLOOKUP(Settings!$K$8,G9:H169,2,FALSE)</f>
        <v>-1.8178870853716285</v>
      </c>
    </row>
    <row r="117" spans="1:9" ht="18.600000000000001" customHeight="1">
      <c r="A117" s="25" t="s">
        <v>430</v>
      </c>
      <c r="B117" s="26" t="s">
        <v>219</v>
      </c>
      <c r="C117" s="130" t="s">
        <v>31</v>
      </c>
      <c r="D117" s="141">
        <f ca="1">RANK(E117,E$2:E$161)</f>
        <v>116</v>
      </c>
      <c r="E117" s="30">
        <f ca="1">VLOOKUP(A117,Rankings!B1:H651,6,FALSE)+(RAND()*0.00001)</f>
        <v>245.51667020949762</v>
      </c>
      <c r="F117" s="30">
        <f ca="1">E117-VLOOKUP(Settings!$K$8,D16:E176,2,FALSE)</f>
        <v>-89.999331044539105</v>
      </c>
      <c r="G117" s="141">
        <f ca="1">RANK(H117,H$2:H$161)</f>
        <v>96</v>
      </c>
      <c r="H117" s="30">
        <f ca="1">VLOOKUP(A117,Rankings!B1:H651,7,FALSE)+(RAND()*0.00001)</f>
        <v>-1.4474180579184117</v>
      </c>
      <c r="I117" s="30">
        <f ca="1">H117-VLOOKUP(Settings!$K$8,G16:H176,2,FALSE)</f>
        <v>-1.5834059358063377</v>
      </c>
    </row>
    <row r="118" spans="1:9" ht="18.600000000000001" customHeight="1">
      <c r="A118" s="25" t="s">
        <v>403</v>
      </c>
      <c r="B118" s="26" t="s">
        <v>158</v>
      </c>
      <c r="C118" s="130" t="s">
        <v>31</v>
      </c>
      <c r="D118" s="141">
        <f ca="1">RANK(E118,E$2:E$161)</f>
        <v>117</v>
      </c>
      <c r="E118" s="30">
        <f ca="1">VLOOKUP(A118,Rankings!B1:H651,6,FALSE)+(RAND()*0.00001)</f>
        <v>239.27867623318096</v>
      </c>
      <c r="F118" s="30">
        <f ca="1">E118-VLOOKUP(Settings!$K$8,D19:E179,2,FALSE)</f>
        <v>-96.237325020855764</v>
      </c>
      <c r="G118" s="141">
        <f ca="1">RANK(H118,H$2:H$161)</f>
        <v>91</v>
      </c>
      <c r="H118" s="30">
        <f ca="1">VLOOKUP(A118,Rankings!B1:H651,7,FALSE)+(RAND()*0.00001)</f>
        <v>-0.83017305694455112</v>
      </c>
      <c r="I118" s="30">
        <f ca="1">H118-VLOOKUP(Settings!$K$8,G19:H179,2,FALSE)</f>
        <v>-0.96616093483247711</v>
      </c>
    </row>
    <row r="119" spans="1:9" ht="18.600000000000001" customHeight="1">
      <c r="A119" s="25" t="s">
        <v>678</v>
      </c>
      <c r="B119" s="26" t="s">
        <v>122</v>
      </c>
      <c r="C119" s="130" t="s">
        <v>31</v>
      </c>
      <c r="D119" s="141">
        <f ca="1">RANK(E119,E$2:E$161)</f>
        <v>118</v>
      </c>
      <c r="E119" s="30">
        <f ca="1">VLOOKUP(A119,Rankings!B1:H651,6,FALSE)+(RAND()*0.00001)</f>
        <v>238.77200957481841</v>
      </c>
      <c r="F119" s="30">
        <f ca="1">E119-VLOOKUP(Settings!$K$8,D1:E137,2,FALSE)</f>
        <v>-96.743991679218311</v>
      </c>
      <c r="G119" s="141">
        <f ca="1">RANK(H119,H$2:H$161)</f>
        <v>158</v>
      </c>
      <c r="H119" s="30">
        <f ca="1">VLOOKUP(A119,Rankings!B1:H651,7,FALSE)+(RAND()*0.00001)</f>
        <v>-4.7223562678572888</v>
      </c>
      <c r="I119" s="30">
        <f ca="1">H119-VLOOKUP(Settings!$K$8,G1:H137,2,FALSE)</f>
        <v>-4.8583441457452148</v>
      </c>
    </row>
    <row r="120" spans="1:9" ht="18.600000000000001" customHeight="1">
      <c r="A120" s="25" t="s">
        <v>441</v>
      </c>
      <c r="B120" s="26" t="s">
        <v>116</v>
      </c>
      <c r="C120" s="130" t="s">
        <v>31</v>
      </c>
      <c r="D120" s="141">
        <f ca="1">RANK(E120,E$2:E$161)</f>
        <v>119</v>
      </c>
      <c r="E120" s="30">
        <f ca="1">VLOOKUP(A120,Rankings!B1:H651,6,FALSE)+(RAND()*0.00001)</f>
        <v>238.14533370230578</v>
      </c>
      <c r="F120" s="30">
        <f ca="1">E120-VLOOKUP(Settings!$K$8,D7:E167,2,FALSE)</f>
        <v>-97.370667551730946</v>
      </c>
      <c r="G120" s="141">
        <f ca="1">RANK(H120,H$2:H$161)</f>
        <v>102</v>
      </c>
      <c r="H120" s="30">
        <f ca="1">VLOOKUP(A120,Rankings!B1:H651,7,FALSE)+(RAND()*0.00001)</f>
        <v>-1.6132742365322923</v>
      </c>
      <c r="I120" s="30">
        <f ca="1">H120-VLOOKUP(Settings!$K$8,G7:H167,2,FALSE)</f>
        <v>-1.7492621144202183</v>
      </c>
    </row>
    <row r="121" spans="1:9" ht="18.600000000000001" customHeight="1">
      <c r="A121" s="25" t="s">
        <v>462</v>
      </c>
      <c r="B121" s="26" t="s">
        <v>125</v>
      </c>
      <c r="C121" s="130" t="s">
        <v>31</v>
      </c>
      <c r="D121" s="141">
        <f ca="1">RANK(E121,E$2:E$161)</f>
        <v>120</v>
      </c>
      <c r="E121" s="30">
        <f ca="1">VLOOKUP(A121,Rankings!B1:H651,6,FALSE)+(RAND()*0.00001)</f>
        <v>235.28466962776443</v>
      </c>
      <c r="F121" s="30">
        <f ca="1">E121-VLOOKUP(Settings!$K$8,D9:E169,2,FALSE)</f>
        <v>-100.23133162627229</v>
      </c>
      <c r="G121" s="141">
        <f ca="1">RANK(H121,H$2:H$161)</f>
        <v>108</v>
      </c>
      <c r="H121" s="30">
        <f ca="1">VLOOKUP(A121,Rankings!B1:H651,7,FALSE)+(RAND()*0.00001)</f>
        <v>-1.859184572936456</v>
      </c>
      <c r="I121" s="30">
        <f ca="1">H121-VLOOKUP(Settings!$K$8,G9:H169,2,FALSE)</f>
        <v>-1.995172450824382</v>
      </c>
    </row>
    <row r="122" spans="1:9" ht="20.100000000000001" customHeight="1">
      <c r="A122" s="25" t="s">
        <v>560</v>
      </c>
      <c r="B122" s="26" t="s">
        <v>85</v>
      </c>
      <c r="C122" s="130" t="s">
        <v>31</v>
      </c>
      <c r="D122" s="141">
        <f ca="1">RANK(E122,E$2:E$161)</f>
        <v>121</v>
      </c>
      <c r="E122" s="30">
        <f ca="1">VLOOKUP(A122,Rankings!B1:H651,6,FALSE)+(RAND()*0.00001)</f>
        <v>234.2440003920199</v>
      </c>
      <c r="F122" s="30">
        <f ca="1">E122-VLOOKUP(Settings!$K$8,D1:E156,2,FALSE)</f>
        <v>-101.27200086201682</v>
      </c>
      <c r="G122" s="141">
        <f ca="1">RANK(H122,H$2:H$161)</f>
        <v>137</v>
      </c>
      <c r="H122" s="30">
        <f ca="1">VLOOKUP(A122,Rankings!B1:H651,7,FALSE)+(RAND()*0.00001)</f>
        <v>-2.9414593068434964</v>
      </c>
      <c r="I122" s="30">
        <f ca="1">H122-VLOOKUP(Settings!$K$8,G1:H156,2,FALSE)</f>
        <v>-3.0774471847314224</v>
      </c>
    </row>
    <row r="123" spans="1:9" ht="20.100000000000001" customHeight="1">
      <c r="A123" s="25" t="s">
        <v>445</v>
      </c>
      <c r="B123" s="26" t="s">
        <v>69</v>
      </c>
      <c r="C123" s="130" t="s">
        <v>31</v>
      </c>
      <c r="D123" s="141">
        <f ca="1">RANK(E123,E$2:E$161)</f>
        <v>122</v>
      </c>
      <c r="E123" s="30">
        <f ca="1">VLOOKUP(A123,Rankings!B1:H651,6,FALSE)+(RAND()*0.00001)</f>
        <v>232.17667304766314</v>
      </c>
      <c r="F123" s="30">
        <f ca="1">E123-VLOOKUP(Settings!$K$8,D5:E165,2,FALSE)</f>
        <v>-103.33932820637358</v>
      </c>
      <c r="G123" s="141">
        <f ca="1">RANK(H123,H$2:H$161)</f>
        <v>104</v>
      </c>
      <c r="H123" s="30">
        <f ca="1">VLOOKUP(A123,Rankings!B1:H651,7,FALSE)+(RAND()*0.00001)</f>
        <v>-1.6851212798061384</v>
      </c>
      <c r="I123" s="30">
        <f ca="1">H123-VLOOKUP(Settings!$K$8,G5:H165,2,FALSE)</f>
        <v>-1.8211091576940643</v>
      </c>
    </row>
    <row r="124" spans="1:9" ht="20.100000000000001" customHeight="1">
      <c r="A124" s="25" t="s">
        <v>488</v>
      </c>
      <c r="B124" s="26" t="s">
        <v>105</v>
      </c>
      <c r="C124" s="130" t="s">
        <v>31</v>
      </c>
      <c r="D124" s="141">
        <f ca="1">RANK(E124,E$2:E$161)</f>
        <v>123</v>
      </c>
      <c r="E124" s="30">
        <f ca="1">VLOOKUP(A124,Rankings!B1:H651,6,FALSE)+(RAND()*0.00001)</f>
        <v>229.12867479199571</v>
      </c>
      <c r="F124" s="30">
        <f ca="1">E124-VLOOKUP(Settings!$K$8,D9:E169,2,FALSE)</f>
        <v>-106.38732646204102</v>
      </c>
      <c r="G124" s="141">
        <f ca="1">RANK(H124,H$2:H$161)</f>
        <v>116</v>
      </c>
      <c r="H124" s="30">
        <f ca="1">VLOOKUP(A124,Rankings!B1:H651,7,FALSE)+(RAND()*0.00001)</f>
        <v>-2.1719204267262362</v>
      </c>
      <c r="I124" s="30">
        <f ca="1">H124-VLOOKUP(Settings!$K$8,G9:H169,2,FALSE)</f>
        <v>-2.3079083046141622</v>
      </c>
    </row>
    <row r="125" spans="1:9" ht="18.600000000000001" customHeight="1">
      <c r="A125" s="25" t="s">
        <v>413</v>
      </c>
      <c r="B125" s="26" t="s">
        <v>97</v>
      </c>
      <c r="C125" s="130" t="s">
        <v>31</v>
      </c>
      <c r="D125" s="141">
        <f ca="1">RANK(E125,E$2:E$161)</f>
        <v>124</v>
      </c>
      <c r="E125" s="30">
        <f ca="1">VLOOKUP(A125,Rankings!B1:H651,6,FALSE)+(RAND()*0.00001)</f>
        <v>228.26666675390351</v>
      </c>
      <c r="F125" s="30">
        <f ca="1">E125-VLOOKUP(Settings!$K$8,D27:E187,2,FALSE)</f>
        <v>-107.24933450013322</v>
      </c>
      <c r="G125" s="141">
        <f ca="1">RANK(H125,H$2:H$161)</f>
        <v>94</v>
      </c>
      <c r="H125" s="30">
        <f ca="1">VLOOKUP(A125,Rankings!B1:H651,7,FALSE)+(RAND()*0.00001)</f>
        <v>-1.1334420935237994</v>
      </c>
      <c r="I125" s="30">
        <f ca="1">H125-VLOOKUP(Settings!$K$8,G27:H187,2,FALSE)</f>
        <v>-1.2694299714117254</v>
      </c>
    </row>
    <row r="126" spans="1:9" ht="18.600000000000001" customHeight="1">
      <c r="A126" s="25" t="s">
        <v>544</v>
      </c>
      <c r="B126" s="26" t="s">
        <v>119</v>
      </c>
      <c r="C126" s="130" t="s">
        <v>31</v>
      </c>
      <c r="D126" s="141">
        <f ca="1">RANK(E126,E$2:E$161)</f>
        <v>125</v>
      </c>
      <c r="E126" s="30">
        <f ca="1">VLOOKUP(A126,Rankings!B1:H651,6,FALSE)+(RAND()*0.00001)</f>
        <v>227.21333853344211</v>
      </c>
      <c r="F126" s="30">
        <f ca="1">E126-VLOOKUP(Settings!$K$8,D9:E156,2,FALSE)</f>
        <v>-108.30266272059461</v>
      </c>
      <c r="G126" s="141">
        <f ca="1">RANK(H126,H$2:H$161)</f>
        <v>129</v>
      </c>
      <c r="H126" s="30">
        <f ca="1">VLOOKUP(A126,Rankings!B1:H651,7,FALSE)+(RAND()*0.00001)</f>
        <v>-2.8009956063505967</v>
      </c>
      <c r="I126" s="30">
        <f ca="1">H126-VLOOKUP(Settings!$K$8,G9:H156,2,FALSE)</f>
        <v>-2.9369834842385227</v>
      </c>
    </row>
    <row r="127" spans="1:9" ht="20.100000000000001" customHeight="1">
      <c r="A127" s="25" t="s">
        <v>542</v>
      </c>
      <c r="B127" s="26" t="s">
        <v>116</v>
      </c>
      <c r="C127" s="130" t="s">
        <v>31</v>
      </c>
      <c r="D127" s="141">
        <f ca="1">RANK(E127,E$2:E$161)</f>
        <v>126</v>
      </c>
      <c r="E127" s="30">
        <f ca="1">VLOOKUP(A127,Rankings!B1:H651,6,FALSE)+(RAND()*0.00001)</f>
        <v>226.30400830570866</v>
      </c>
      <c r="F127" s="30">
        <f ca="1">E127-VLOOKUP(Settings!$K$8,D8:E168,2,FALSE)</f>
        <v>-109.21199294832806</v>
      </c>
      <c r="G127" s="141">
        <f ca="1">RANK(H127,H$2:H$161)</f>
        <v>128</v>
      </c>
      <c r="H127" s="30">
        <f ca="1">VLOOKUP(A127,Rankings!B1:H651,7,FALSE)+(RAND()*0.00001)</f>
        <v>-2.7818719899087743</v>
      </c>
      <c r="I127" s="30">
        <f ca="1">H127-VLOOKUP(Settings!$K$8,G8:H168,2,FALSE)</f>
        <v>-2.9178598677967003</v>
      </c>
    </row>
    <row r="128" spans="1:9" ht="18.600000000000001" customHeight="1">
      <c r="A128" s="25" t="s">
        <v>712</v>
      </c>
      <c r="B128" s="26" t="s">
        <v>309</v>
      </c>
      <c r="C128" s="130" t="s">
        <v>31</v>
      </c>
      <c r="D128" s="141">
        <f ca="1">RANK(E128,E$2:E$161)</f>
        <v>127</v>
      </c>
      <c r="E128" s="30">
        <f ca="1">VLOOKUP(A128,Rankings!B1:H651,6,FALSE)+(RAND()*0.00001)</f>
        <v>225.01267471818846</v>
      </c>
      <c r="F128" s="30">
        <f ca="1">E128-VLOOKUP(Settings!$K$8,D1:E139,2,FALSE)</f>
        <v>-110.50332653584826</v>
      </c>
      <c r="G128" s="141">
        <f ca="1">RANK(H128,H$2:H$161)</f>
        <v>160</v>
      </c>
      <c r="H128" s="30">
        <f ca="1">VLOOKUP(A128,Rankings!B1:H651,7,FALSE)+(RAND()*0.00001)</f>
        <v>-5.830757915348574</v>
      </c>
      <c r="I128" s="30">
        <f ca="1">H128-VLOOKUP(Settings!$K$8,G1:H139,2,FALSE)</f>
        <v>-5.9667457932365</v>
      </c>
    </row>
    <row r="129" spans="1:9" ht="20.100000000000001" customHeight="1">
      <c r="A129" s="25" t="s">
        <v>613</v>
      </c>
      <c r="B129" s="26" t="s">
        <v>160</v>
      </c>
      <c r="C129" s="130" t="s">
        <v>31</v>
      </c>
      <c r="D129" s="141">
        <f ca="1">RANK(E129,E$2:E$161)</f>
        <v>128</v>
      </c>
      <c r="E129" s="30">
        <f ca="1">VLOOKUP(A129,Rankings!B1:H651,6,FALSE)+(RAND()*0.00001)</f>
        <v>224.87333347567508</v>
      </c>
      <c r="F129" s="30">
        <f ca="1">E129-VLOOKUP(Settings!$K$8,D1:E142,2,FALSE)</f>
        <v>-110.64266777836164</v>
      </c>
      <c r="G129" s="141">
        <f ca="1">RANK(H129,H$2:H$161)</f>
        <v>144</v>
      </c>
      <c r="H129" s="30">
        <f ca="1">VLOOKUP(A129,Rankings!B1:H651,7,FALSE)+(RAND()*0.00001)</f>
        <v>-3.6214867513961337</v>
      </c>
      <c r="I129" s="30">
        <f ca="1">H129-VLOOKUP(Settings!$K$8,G1:H142,2,FALSE)</f>
        <v>-3.7574746292840597</v>
      </c>
    </row>
    <row r="130" spans="1:9" ht="18.600000000000001" customHeight="1">
      <c r="A130" s="25" t="s">
        <v>558</v>
      </c>
      <c r="B130" s="26" t="s">
        <v>139</v>
      </c>
      <c r="C130" s="130" t="s">
        <v>31</v>
      </c>
      <c r="D130" s="141">
        <f ca="1">RANK(E130,E$2:E$161)</f>
        <v>129</v>
      </c>
      <c r="E130" s="30">
        <f ca="1">VLOOKUP(A130,Rankings!B1:H651,6,FALSE)+(RAND()*0.00001)</f>
        <v>224.64733461210832</v>
      </c>
      <c r="F130" s="30">
        <f ca="1">E130-VLOOKUP(Settings!$K$8,D4:E159,2,FALSE)</f>
        <v>-110.8686666419284</v>
      </c>
      <c r="G130" s="141">
        <f ca="1">RANK(H130,H$2:H$161)</f>
        <v>135</v>
      </c>
      <c r="H130" s="30">
        <f ca="1">VLOOKUP(A130,Rankings!B1:H651,7,FALSE)+(RAND()*0.00001)</f>
        <v>-2.9274365223734518</v>
      </c>
      <c r="I130" s="30">
        <f ca="1">H130-VLOOKUP(Settings!$K$8,G4:H159,2,FALSE)</f>
        <v>-3.0634244002613777</v>
      </c>
    </row>
    <row r="131" spans="1:9" ht="18.600000000000001" customHeight="1">
      <c r="A131" s="25" t="s">
        <v>646</v>
      </c>
      <c r="B131" s="26" t="s">
        <v>142</v>
      </c>
      <c r="C131" s="130" t="s">
        <v>31</v>
      </c>
      <c r="D131" s="141">
        <f ca="1">RANK(E131,E$2:E$161)</f>
        <v>130</v>
      </c>
      <c r="E131" s="30">
        <f ca="1">VLOOKUP(A131,Rankings!B1:H651,6,FALSE)+(RAND()*0.00001)</f>
        <v>223.38200405319495</v>
      </c>
      <c r="F131" s="30">
        <f ca="1">E131-VLOOKUP(Settings!$K$8,D1:E151,2,FALSE)</f>
        <v>-112.13399720084178</v>
      </c>
      <c r="G131" s="141">
        <f ca="1">RANK(H131,H$2:H$161)</f>
        <v>152</v>
      </c>
      <c r="H131" s="30">
        <f ca="1">VLOOKUP(A131,Rankings!B1:H651,7,FALSE)+(RAND()*0.00001)</f>
        <v>-4.1332992926706984</v>
      </c>
      <c r="I131" s="30">
        <f ca="1">H131-VLOOKUP(Settings!$K$8,G1:H151,2,FALSE)</f>
        <v>-4.2692871705586244</v>
      </c>
    </row>
    <row r="132" spans="1:9" ht="18.600000000000001" customHeight="1">
      <c r="A132" s="25" t="s">
        <v>431</v>
      </c>
      <c r="B132" s="26" t="s">
        <v>158</v>
      </c>
      <c r="C132" s="130" t="s">
        <v>31</v>
      </c>
      <c r="D132" s="141">
        <f ca="1">RANK(E132,E$2:E$161)</f>
        <v>131</v>
      </c>
      <c r="E132" s="30">
        <f ca="1">VLOOKUP(A132,Rankings!B1:H651,6,FALSE)+(RAND()*0.00001)</f>
        <v>222.50800544256197</v>
      </c>
      <c r="F132" s="30">
        <f ca="1">E132-VLOOKUP(Settings!$K$8,D16:E176,2,FALSE)</f>
        <v>-113.00799581147476</v>
      </c>
      <c r="G132" s="141">
        <f ca="1">RANK(H132,H$2:H$161)</f>
        <v>97</v>
      </c>
      <c r="H132" s="30">
        <f ca="1">VLOOKUP(A132,Rankings!B1:H651,7,FALSE)+(RAND()*0.00001)</f>
        <v>-1.4926459192731945</v>
      </c>
      <c r="I132" s="30">
        <f ca="1">H132-VLOOKUP(Settings!$K$8,G16:H176,2,FALSE)</f>
        <v>-1.6286337971611204</v>
      </c>
    </row>
    <row r="133" spans="1:9" ht="18.600000000000001" customHeight="1">
      <c r="A133" s="25" t="s">
        <v>642</v>
      </c>
      <c r="B133" s="26" t="s">
        <v>142</v>
      </c>
      <c r="C133" s="130" t="s">
        <v>31</v>
      </c>
      <c r="D133" s="141">
        <f ca="1">RANK(E133,E$2:E$161)</f>
        <v>132</v>
      </c>
      <c r="E133" s="30">
        <f ca="1">VLOOKUP(A133,Rankings!B1:H651,6,FALSE)+(RAND()*0.00001)</f>
        <v>221.90000500877835</v>
      </c>
      <c r="F133" s="30">
        <f ca="1">E133-VLOOKUP(Settings!$K$8,D1:E147,2,FALSE)</f>
        <v>-113.61599624525837</v>
      </c>
      <c r="G133" s="141">
        <f ca="1">RANK(H133,H$2:H$161)</f>
        <v>150</v>
      </c>
      <c r="H133" s="30">
        <f ca="1">VLOOKUP(A133,Rankings!B1:H651,7,FALSE)+(RAND()*0.00001)</f>
        <v>-4.0663698392054091</v>
      </c>
      <c r="I133" s="30">
        <f ca="1">H133-VLOOKUP(Settings!$K$8,G1:H147,2,FALSE)</f>
        <v>-4.2023577170933351</v>
      </c>
    </row>
    <row r="134" spans="1:9" ht="20.100000000000001" customHeight="1">
      <c r="A134" s="25" t="s">
        <v>567</v>
      </c>
      <c r="B134" s="26" t="s">
        <v>95</v>
      </c>
      <c r="C134" s="130" t="s">
        <v>31</v>
      </c>
      <c r="D134" s="141">
        <f ca="1">RANK(E134,E$2:E$161)</f>
        <v>133</v>
      </c>
      <c r="E134" s="30">
        <f ca="1">VLOOKUP(A134,Rankings!B1:H651,6,FALSE)+(RAND()*0.00001)</f>
        <v>220.00000313845985</v>
      </c>
      <c r="F134" s="30">
        <f ca="1">E134-VLOOKUP(Settings!$K$8,D14:E174,2,FALSE)</f>
        <v>-115.51599811557688</v>
      </c>
      <c r="G134" s="141">
        <f ca="1">RANK(H134,H$2:H$161)</f>
        <v>138</v>
      </c>
      <c r="H134" s="30">
        <f ca="1">VLOOKUP(A134,Rankings!B1:H651,7,FALSE)+(RAND()*0.00001)</f>
        <v>-3.0793061031033337</v>
      </c>
      <c r="I134" s="30">
        <f ca="1">H134-VLOOKUP(Settings!$K$8,G14:H174,2,FALSE)</f>
        <v>-3.2152939809912597</v>
      </c>
    </row>
    <row r="135" spans="1:9" ht="20.100000000000001" customHeight="1">
      <c r="A135" s="25" t="s">
        <v>682</v>
      </c>
      <c r="B135" s="26" t="s">
        <v>122</v>
      </c>
      <c r="C135" s="130" t="s">
        <v>31</v>
      </c>
      <c r="D135" s="141">
        <f ca="1">RANK(E135,E$2:E$161)</f>
        <v>134</v>
      </c>
      <c r="E135" s="30">
        <f ca="1">VLOOKUP(A135,Rankings!B1:H651,6,FALSE)+(RAND()*0.00001)</f>
        <v>216.05400703185396</v>
      </c>
      <c r="F135" s="30">
        <f ca="1">E135-VLOOKUP(Settings!$K$8,D5:E142,2,FALSE)</f>
        <v>-119.46199422218277</v>
      </c>
      <c r="G135" s="141">
        <f ca="1">RANK(H135,H$2:H$161)</f>
        <v>159</v>
      </c>
      <c r="H135" s="30">
        <f ca="1">VLOOKUP(A135,Rankings!B1:H651,7,FALSE)+(RAND()*0.00001)</f>
        <v>-4.7475339515810147</v>
      </c>
      <c r="I135" s="30">
        <f ca="1">H135-VLOOKUP(Settings!$K$8,G5:H142,2,FALSE)</f>
        <v>-4.8835218294689406</v>
      </c>
    </row>
    <row r="136" spans="1:9" ht="18.600000000000001" customHeight="1">
      <c r="A136" s="25" t="s">
        <v>557</v>
      </c>
      <c r="B136" s="26" t="s">
        <v>105</v>
      </c>
      <c r="C136" s="130" t="s">
        <v>31</v>
      </c>
      <c r="D136" s="141">
        <f ca="1">RANK(E136,E$2:E$161)</f>
        <v>135</v>
      </c>
      <c r="E136" s="30">
        <f ca="1">VLOOKUP(A136,Rankings!B1:H651,6,FALSE)+(RAND()*0.00001)</f>
        <v>214.67500042324417</v>
      </c>
      <c r="F136" s="30">
        <f ca="1">E136-VLOOKUP(Settings!$K$8,D3:E163,2,FALSE)</f>
        <v>-120.84100083079255</v>
      </c>
      <c r="G136" s="141">
        <f ca="1">RANK(H136,H$2:H$161)</f>
        <v>134</v>
      </c>
      <c r="H136" s="30">
        <f ca="1">VLOOKUP(A136,Rankings!B1:H651,7,FALSE)+(RAND()*0.00001)</f>
        <v>-2.9147745607790121</v>
      </c>
      <c r="I136" s="30">
        <f ca="1">H136-VLOOKUP(Settings!$K$8,G3:H163,2,FALSE)</f>
        <v>-3.0507624386669381</v>
      </c>
    </row>
    <row r="137" spans="1:9" ht="18.600000000000001" customHeight="1">
      <c r="A137" s="25" t="s">
        <v>529</v>
      </c>
      <c r="B137" s="26" t="s">
        <v>160</v>
      </c>
      <c r="C137" s="130" t="s">
        <v>31</v>
      </c>
      <c r="D137" s="141">
        <f ca="1">RANK(E137,E$2:E$161)</f>
        <v>136</v>
      </c>
      <c r="E137" s="30">
        <f ca="1">VLOOKUP(A137,Rankings!B1:H651,6,FALSE)+(RAND()*0.00001)</f>
        <v>213.28600636732298</v>
      </c>
      <c r="F137" s="30">
        <f ca="1">E137-VLOOKUP(Settings!$K$8,D10:E170,2,FALSE)</f>
        <v>-122.22999488671374</v>
      </c>
      <c r="G137" s="141">
        <f ca="1">RANK(H137,H$2:H$161)</f>
        <v>125</v>
      </c>
      <c r="H137" s="30">
        <f ca="1">VLOOKUP(A137,Rankings!B1:H651,7,FALSE)+(RAND()*0.00001)</f>
        <v>-2.6392478001961357</v>
      </c>
      <c r="I137" s="30">
        <f ca="1">H137-VLOOKUP(Settings!$K$8,G10:H170,2,FALSE)</f>
        <v>-2.7752356780840617</v>
      </c>
    </row>
    <row r="138" spans="1:9" ht="20.100000000000001" customHeight="1">
      <c r="A138" s="25" t="s">
        <v>638</v>
      </c>
      <c r="B138" s="26" t="s">
        <v>260</v>
      </c>
      <c r="C138" s="130" t="s">
        <v>31</v>
      </c>
      <c r="D138" s="141">
        <f ca="1">RANK(E138,E$2:E$161)</f>
        <v>137</v>
      </c>
      <c r="E138" s="30">
        <f ca="1">VLOOKUP(A138,Rankings!B1:H651,6,FALSE)+(RAND()*0.00001)</f>
        <v>210.9886691816115</v>
      </c>
      <c r="F138" s="30">
        <f ca="1">E138-VLOOKUP(Settings!$K$8,D1:E146,2,FALSE)</f>
        <v>-124.52733207242522</v>
      </c>
      <c r="G138" s="141">
        <f ca="1">RANK(H138,H$2:H$161)</f>
        <v>149</v>
      </c>
      <c r="H138" s="30">
        <f ca="1">VLOOKUP(A138,Rankings!B1:H651,7,FALSE)+(RAND()*0.00001)</f>
        <v>-3.9901032949422763</v>
      </c>
      <c r="I138" s="30">
        <f ca="1">H138-VLOOKUP(Settings!$K$8,G1:H146,2,FALSE)</f>
        <v>-4.1260911728302023</v>
      </c>
    </row>
    <row r="139" spans="1:9" ht="18.600000000000001" customHeight="1">
      <c r="A139" s="25" t="s">
        <v>485</v>
      </c>
      <c r="B139" s="26" t="s">
        <v>101</v>
      </c>
      <c r="C139" s="130" t="s">
        <v>31</v>
      </c>
      <c r="D139" s="141">
        <f ca="1">RANK(E139,E$2:E$161)</f>
        <v>138</v>
      </c>
      <c r="E139" s="30">
        <f ca="1">VLOOKUP(A139,Rankings!B1:H651,6,FALSE)+(RAND()*0.00001)</f>
        <v>207.39667011145238</v>
      </c>
      <c r="F139" s="30">
        <f ca="1">E139-VLOOKUP(Settings!$K$8,D10:E170,2,FALSE)</f>
        <v>-128.11933114258434</v>
      </c>
      <c r="G139" s="141">
        <f ca="1">RANK(H139,H$2:H$161)</f>
        <v>115</v>
      </c>
      <c r="H139" s="30">
        <f ca="1">VLOOKUP(A139,Rankings!B1:H651,7,FALSE)+(RAND()*0.00001)</f>
        <v>-2.1450612415315522</v>
      </c>
      <c r="I139" s="30">
        <f ca="1">H139-VLOOKUP(Settings!$K$8,G10:H170,2,FALSE)</f>
        <v>-2.2810491194194782</v>
      </c>
    </row>
    <row r="140" spans="1:9" ht="20.100000000000001" customHeight="1">
      <c r="A140" s="25" t="s">
        <v>659</v>
      </c>
      <c r="B140" s="26" t="s">
        <v>309</v>
      </c>
      <c r="C140" s="130" t="s">
        <v>31</v>
      </c>
      <c r="D140" s="141">
        <f ca="1">RANK(E140,E$2:E$161)</f>
        <v>139</v>
      </c>
      <c r="E140" s="30">
        <f ca="1">VLOOKUP(A140,Rankings!B1:H651,6,FALSE)+(RAND()*0.00001)</f>
        <v>204.69067549190493</v>
      </c>
      <c r="F140" s="30">
        <f ca="1">E140-VLOOKUP(Settings!$K$8,D1:E156,2,FALSE)</f>
        <v>-130.8253257621318</v>
      </c>
      <c r="G140" s="141">
        <f ca="1">RANK(H140,H$2:H$161)</f>
        <v>155</v>
      </c>
      <c r="H140" s="30">
        <f ca="1">VLOOKUP(A140,Rankings!B1:H651,7,FALSE)+(RAND()*0.00001)</f>
        <v>-4.4459586639677759</v>
      </c>
      <c r="I140" s="30">
        <f ca="1">H140-VLOOKUP(Settings!$K$8,G1:H156,2,FALSE)</f>
        <v>-4.5819465418557019</v>
      </c>
    </row>
    <row r="141" spans="1:9" ht="18.600000000000001" customHeight="1">
      <c r="A141" s="25" t="s">
        <v>559</v>
      </c>
      <c r="B141" s="26" t="s">
        <v>136</v>
      </c>
      <c r="C141" s="130" t="s">
        <v>31</v>
      </c>
      <c r="D141" s="141">
        <f ca="1">RANK(E141,E$2:E$161)</f>
        <v>140</v>
      </c>
      <c r="E141" s="30">
        <f ca="1">VLOOKUP(A141,Rankings!B1:H651,6,FALSE)+(RAND()*0.00001)</f>
        <v>201.92700157075544</v>
      </c>
      <c r="F141" s="30">
        <f ca="1">E141-VLOOKUP(Settings!$K$8,D5:E165,2,FALSE)</f>
        <v>-133.58899968328129</v>
      </c>
      <c r="G141" s="141">
        <f ca="1">RANK(H141,H$2:H$161)</f>
        <v>136</v>
      </c>
      <c r="H141" s="30">
        <f ca="1">VLOOKUP(A141,Rankings!B1:H651,7,FALSE)+(RAND()*0.00001)</f>
        <v>-2.9294134097619189</v>
      </c>
      <c r="I141" s="30">
        <f ca="1">H141-VLOOKUP(Settings!$K$8,G5:H165,2,FALSE)</f>
        <v>-3.0654012876498449</v>
      </c>
    </row>
    <row r="142" spans="1:9" ht="18.600000000000001" customHeight="1">
      <c r="A142" s="25" t="s">
        <v>653</v>
      </c>
      <c r="B142" s="26" t="s">
        <v>309</v>
      </c>
      <c r="C142" s="130" t="s">
        <v>31</v>
      </c>
      <c r="D142" s="141">
        <f ca="1">RANK(E142,E$2:E$161)</f>
        <v>141</v>
      </c>
      <c r="E142" s="30">
        <f ca="1">VLOOKUP(A142,Rankings!B1:H651,6,FALSE)+(RAND()*0.00001)</f>
        <v>201.19400155870485</v>
      </c>
      <c r="F142" s="30">
        <f ca="1">E142-VLOOKUP(Settings!$K$8,D1:E159,2,FALSE)</f>
        <v>-134.32199969533187</v>
      </c>
      <c r="G142" s="141">
        <f ca="1">RANK(H142,H$2:H$161)</f>
        <v>153</v>
      </c>
      <c r="H142" s="30">
        <f ca="1">VLOOKUP(A142,Rankings!B1:H651,7,FALSE)+(RAND()*0.00001)</f>
        <v>-4.2627794024134618</v>
      </c>
      <c r="I142" s="30">
        <f ca="1">H142-VLOOKUP(Settings!$K$8,G1:H159,2,FALSE)</f>
        <v>-4.3987672803013877</v>
      </c>
    </row>
    <row r="143" spans="1:9" ht="20.100000000000001" customHeight="1">
      <c r="A143" s="25" t="s">
        <v>528</v>
      </c>
      <c r="B143" s="26" t="s">
        <v>64</v>
      </c>
      <c r="C143" s="130" t="s">
        <v>31</v>
      </c>
      <c r="D143" s="141">
        <f ca="1">RANK(E143,E$2:E$161)</f>
        <v>142</v>
      </c>
      <c r="E143" s="30">
        <f ca="1">VLOOKUP(A143,Rankings!B1:H651,6,FALSE)+(RAND()*0.00001)</f>
        <v>199.40000081686381</v>
      </c>
      <c r="F143" s="30">
        <f ca="1">E143-VLOOKUP(Settings!$K$8,D11:E171,2,FALSE)</f>
        <v>-136.11600043717291</v>
      </c>
      <c r="G143" s="141">
        <f ca="1">RANK(H143,H$2:H$161)</f>
        <v>124</v>
      </c>
      <c r="H143" s="30">
        <f ca="1">VLOOKUP(A143,Rankings!B1:H651,7,FALSE)+(RAND()*0.00001)</f>
        <v>-2.6359243548985982</v>
      </c>
      <c r="I143" s="30">
        <f ca="1">H143-VLOOKUP(Settings!$K$8,G11:H171,2,FALSE)</f>
        <v>-2.7719122327865242</v>
      </c>
    </row>
    <row r="144" spans="1:9" ht="20.100000000000001" customHeight="1">
      <c r="A144" s="25" t="s">
        <v>591</v>
      </c>
      <c r="B144" s="26" t="s">
        <v>72</v>
      </c>
      <c r="C144" s="130" t="s">
        <v>31</v>
      </c>
      <c r="D144" s="141">
        <f ca="1">RANK(E144,E$2:E$161)</f>
        <v>143</v>
      </c>
      <c r="E144" s="30">
        <f ca="1">VLOOKUP(A144,Rankings!B1:H651,6,FALSE)+(RAND()*0.00001)</f>
        <v>190.82467235539028</v>
      </c>
      <c r="F144" s="30">
        <f ca="1">E144-VLOOKUP(Settings!$K$8,D6:E150,2,FALSE)</f>
        <v>-144.69132889864645</v>
      </c>
      <c r="G144" s="141">
        <f ca="1">RANK(H144,H$2:H$161)</f>
        <v>142</v>
      </c>
      <c r="H144" s="30">
        <f ca="1">VLOOKUP(A144,Rankings!B1:H651,7,FALSE)+(RAND()*0.00001)</f>
        <v>-3.3748443460450144</v>
      </c>
      <c r="I144" s="30">
        <f ca="1">H144-VLOOKUP(Settings!$K$8,G6:H150,2,FALSE)</f>
        <v>-3.5108322239329404</v>
      </c>
    </row>
    <row r="145" spans="1:9" ht="20.100000000000001" customHeight="1">
      <c r="A145" s="25" t="s">
        <v>458</v>
      </c>
      <c r="B145" s="26" t="s">
        <v>260</v>
      </c>
      <c r="C145" s="130" t="s">
        <v>31</v>
      </c>
      <c r="D145" s="141">
        <f ca="1">RANK(E145,E$2:E$161)</f>
        <v>144</v>
      </c>
      <c r="E145" s="30">
        <f ca="1">VLOOKUP(A145,Rankings!B1:H651,6,FALSE)+(RAND()*0.00001)</f>
        <v>188.11667610642601</v>
      </c>
      <c r="F145" s="30">
        <f ca="1">E145-VLOOKUP(Settings!$K$8,D22:E182,2,FALSE)</f>
        <v>-147.39932514761071</v>
      </c>
      <c r="G145" s="141">
        <f ca="1">RANK(H145,H$2:H$161)</f>
        <v>107</v>
      </c>
      <c r="H145" s="30">
        <f ca="1">VLOOKUP(A145,Rankings!B1:H651,7,FALSE)+(RAND()*0.00001)</f>
        <v>-1.8256800721537414</v>
      </c>
      <c r="I145" s="30">
        <f ca="1">H145-VLOOKUP(Settings!$K$8,G22:H182,2,FALSE)</f>
        <v>-1.9616679500416674</v>
      </c>
    </row>
    <row r="146" spans="1:9" ht="18.600000000000001" customHeight="1">
      <c r="A146" s="25" t="s">
        <v>545</v>
      </c>
      <c r="B146" s="26" t="s">
        <v>92</v>
      </c>
      <c r="C146" s="130" t="s">
        <v>31</v>
      </c>
      <c r="D146" s="141">
        <f ca="1">RANK(E146,E$2:E$161)</f>
        <v>145</v>
      </c>
      <c r="E146" s="30">
        <f ca="1">VLOOKUP(A146,Rankings!B1:H651,6,FALSE)+(RAND()*0.00001)</f>
        <v>183.6233376813567</v>
      </c>
      <c r="F146" s="30">
        <f ca="1">E146-VLOOKUP(Settings!$K$8,D5:E165,2,FALSE)</f>
        <v>-151.89266357268002</v>
      </c>
      <c r="G146" s="141">
        <f ca="1">RANK(H146,H$2:H$161)</f>
        <v>130</v>
      </c>
      <c r="H146" s="30">
        <f ca="1">VLOOKUP(A146,Rankings!B1:H651,7,FALSE)+(RAND()*0.00001)</f>
        <v>-2.822592185931204</v>
      </c>
      <c r="I146" s="30">
        <f ca="1">H146-VLOOKUP(Settings!$K$8,G5:H165,2,FALSE)</f>
        <v>-2.95858006381913</v>
      </c>
    </row>
    <row r="147" spans="1:9" ht="18.600000000000001" customHeight="1">
      <c r="A147" s="25" t="s">
        <v>614</v>
      </c>
      <c r="B147" s="26" t="s">
        <v>260</v>
      </c>
      <c r="C147" s="130" t="s">
        <v>31</v>
      </c>
      <c r="D147" s="141">
        <f ca="1">RANK(E147,E$2:E$161)</f>
        <v>146</v>
      </c>
      <c r="E147" s="30">
        <f ca="1">VLOOKUP(A147,Rankings!B1:H651,6,FALSE)+(RAND()*0.00001)</f>
        <v>181.13000974278651</v>
      </c>
      <c r="F147" s="30">
        <f ca="1">E147-VLOOKUP(Settings!$K$8,D1:E152,2,FALSE)</f>
        <v>-154.38599151125021</v>
      </c>
      <c r="G147" s="141">
        <f ca="1">RANK(H147,H$2:H$161)</f>
        <v>145</v>
      </c>
      <c r="H147" s="30">
        <f ca="1">VLOOKUP(A147,Rankings!B1:H651,7,FALSE)+(RAND()*0.00001)</f>
        <v>-3.6254972544992627</v>
      </c>
      <c r="I147" s="30">
        <f ca="1">H147-VLOOKUP(Settings!$K$8,G1:H152,2,FALSE)</f>
        <v>-3.7614851323871887</v>
      </c>
    </row>
    <row r="148" spans="1:9" ht="20.100000000000001" customHeight="1">
      <c r="A148" s="25" t="s">
        <v>598</v>
      </c>
      <c r="B148" s="26" t="s">
        <v>92</v>
      </c>
      <c r="C148" s="130" t="s">
        <v>31</v>
      </c>
      <c r="D148" s="141">
        <f ca="1">RANK(E148,E$2:E$161)</f>
        <v>147</v>
      </c>
      <c r="E148" s="30">
        <f ca="1">VLOOKUP(A148,Rankings!B1:H651,6,FALSE)+(RAND()*0.00001)</f>
        <v>177.32300657902684</v>
      </c>
      <c r="F148" s="30">
        <f ca="1">E148-VLOOKUP(Settings!$K$8,D1:E157,2,FALSE)</f>
        <v>-158.19299467500988</v>
      </c>
      <c r="G148" s="141">
        <f ca="1">RANK(H148,H$2:H$161)</f>
        <v>143</v>
      </c>
      <c r="H148" s="30">
        <f ca="1">VLOOKUP(A148,Rankings!B1:H651,7,FALSE)+(RAND()*0.00001)</f>
        <v>-3.4044186330459705</v>
      </c>
      <c r="I148" s="30">
        <f ca="1">H148-VLOOKUP(Settings!$K$8,G1:H157,2,FALSE)</f>
        <v>-3.5404065109338965</v>
      </c>
    </row>
    <row r="149" spans="1:9" ht="18.600000000000001" customHeight="1">
      <c r="A149" s="25" t="s">
        <v>538</v>
      </c>
      <c r="B149" s="26" t="s">
        <v>142</v>
      </c>
      <c r="C149" s="130" t="s">
        <v>31</v>
      </c>
      <c r="D149" s="141">
        <f ca="1">RANK(E149,E$2:E$161)</f>
        <v>148</v>
      </c>
      <c r="E149" s="30">
        <f ca="1">VLOOKUP(A149,Rankings!B1:H651,6,FALSE)+(RAND()*0.00001)</f>
        <v>175.35800266534574</v>
      </c>
      <c r="F149" s="30">
        <f ca="1">E149-VLOOKUP(Settings!$K$8,D1:E161,2,FALSE)</f>
        <v>-160.15799858869099</v>
      </c>
      <c r="G149" s="141">
        <f ca="1">RANK(H149,H$2:H$161)</f>
        <v>126</v>
      </c>
      <c r="H149" s="30">
        <f ca="1">VLOOKUP(A149,Rankings!B1:H651,7,FALSE)+(RAND()*0.00001)</f>
        <v>-2.7309397788077794</v>
      </c>
      <c r="I149" s="30">
        <f ca="1">H149-VLOOKUP(Settings!$K$8,G1:H161,2,FALSE)</f>
        <v>-2.8669276566957054</v>
      </c>
    </row>
    <row r="150" spans="1:9" ht="18.600000000000001" customHeight="1">
      <c r="A150" s="25" t="s">
        <v>474</v>
      </c>
      <c r="B150" s="26" t="s">
        <v>64</v>
      </c>
      <c r="C150" s="130" t="s">
        <v>31</v>
      </c>
      <c r="D150" s="141">
        <f ca="1">RANK(E150,E$2:E$161)</f>
        <v>149</v>
      </c>
      <c r="E150" s="30">
        <f ca="1">VLOOKUP(A150,Rankings!B1:H651,6,FALSE)+(RAND()*0.00001)</f>
        <v>173.57700310150904</v>
      </c>
      <c r="F150" s="30">
        <f ca="1">E150-VLOOKUP(Settings!$K$8,D16:E176,2,FALSE)</f>
        <v>-161.93899815252769</v>
      </c>
      <c r="G150" s="141">
        <f ca="1">RANK(H150,H$2:H$161)</f>
        <v>112</v>
      </c>
      <c r="H150" s="30">
        <f ca="1">VLOOKUP(A150,Rankings!B1:H651,7,FALSE)+(RAND()*0.00001)</f>
        <v>-1.9981349137278339</v>
      </c>
      <c r="I150" s="30">
        <f ca="1">H150-VLOOKUP(Settings!$K$8,G16:H176,2,FALSE)</f>
        <v>-2.1341227916157597</v>
      </c>
    </row>
    <row r="151" spans="1:9" ht="20.100000000000001" customHeight="1">
      <c r="A151" s="25" t="s">
        <v>662</v>
      </c>
      <c r="B151" s="26" t="s">
        <v>87</v>
      </c>
      <c r="C151" s="130" t="s">
        <v>31</v>
      </c>
      <c r="D151" s="141">
        <f ca="1">RANK(E151,E$2:E$161)</f>
        <v>150</v>
      </c>
      <c r="E151" s="30">
        <f ca="1">VLOOKUP(A151,Rankings!B1:H651,6,FALSE)+(RAND()*0.00001)</f>
        <v>172.20934249140433</v>
      </c>
      <c r="F151" s="30">
        <f ca="1">E151-VLOOKUP(Settings!$K$8,D2:E154,2,FALSE)</f>
        <v>-163.3066587626324</v>
      </c>
      <c r="G151" s="141">
        <f ca="1">RANK(H151,H$2:H$161)</f>
        <v>156</v>
      </c>
      <c r="H151" s="30">
        <f ca="1">VLOOKUP(A151,Rankings!B1:H651,7,FALSE)+(RAND()*0.00001)</f>
        <v>-4.4706273786743784</v>
      </c>
      <c r="I151" s="30">
        <f ca="1">H151-VLOOKUP(Settings!$K$8,G2:H154,2,FALSE)</f>
        <v>-4.6066152565623044</v>
      </c>
    </row>
    <row r="152" spans="1:9" ht="20.100000000000001" customHeight="1">
      <c r="A152" s="25" t="s">
        <v>616</v>
      </c>
      <c r="B152" s="26" t="s">
        <v>142</v>
      </c>
      <c r="C152" s="130" t="s">
        <v>31</v>
      </c>
      <c r="D152" s="141">
        <f ca="1">RANK(E152,E$2:E$161)</f>
        <v>151</v>
      </c>
      <c r="E152" s="30">
        <f ca="1">VLOOKUP(A152,Rankings!B1:H651,6,FALSE)+(RAND()*0.00001)</f>
        <v>171.50900372653598</v>
      </c>
      <c r="F152" s="30">
        <f ca="1">E152-VLOOKUP(Settings!$K$8,D2:E162,2,FALSE)</f>
        <v>-164.00699752750074</v>
      </c>
      <c r="G152" s="141">
        <f ca="1">RANK(H152,H$2:H$161)</f>
        <v>146</v>
      </c>
      <c r="H152" s="30">
        <f ca="1">VLOOKUP(A152,Rankings!B1:H651,7,FALSE)+(RAND()*0.00001)</f>
        <v>-3.6466260822495946</v>
      </c>
      <c r="I152" s="30">
        <f ca="1">H152-VLOOKUP(Settings!$K$8,G2:H162,2,FALSE)</f>
        <v>-3.7826139601375206</v>
      </c>
    </row>
    <row r="153" spans="1:9" ht="20.100000000000001" customHeight="1">
      <c r="A153" s="25" t="s">
        <v>471</v>
      </c>
      <c r="B153" s="26" t="s">
        <v>99</v>
      </c>
      <c r="C153" s="130" t="s">
        <v>31</v>
      </c>
      <c r="D153" s="141">
        <f ca="1">RANK(E153,E$2:E$161)</f>
        <v>152</v>
      </c>
      <c r="E153" s="30">
        <f ca="1">VLOOKUP(A153,Rankings!B1:H651,6,FALSE)+(RAND()*0.00001)</f>
        <v>167.05834327294511</v>
      </c>
      <c r="F153" s="30">
        <f ca="1">E153-VLOOKUP(Settings!$K$8,D28:E188,2,FALSE)</f>
        <v>-168.45765798109161</v>
      </c>
      <c r="G153" s="141">
        <f ca="1">RANK(H153,H$2:H$161)</f>
        <v>111</v>
      </c>
      <c r="H153" s="30">
        <f ca="1">VLOOKUP(A153,Rankings!B1:H651,7,FALSE)+(RAND()*0.00001)</f>
        <v>-1.95258476750815</v>
      </c>
      <c r="I153" s="30">
        <f ca="1">H153-VLOOKUP(Settings!$K$8,G28:H188,2,FALSE)</f>
        <v>-2.0885726453960758</v>
      </c>
    </row>
    <row r="154" spans="1:9" ht="20.100000000000001" customHeight="1">
      <c r="A154" s="25" t="s">
        <v>546</v>
      </c>
      <c r="B154" s="26" t="s">
        <v>97</v>
      </c>
      <c r="C154" s="130" t="s">
        <v>31</v>
      </c>
      <c r="D154" s="141">
        <f ca="1">RANK(E154,E$2:E$161)</f>
        <v>153</v>
      </c>
      <c r="E154" s="30">
        <f ca="1">VLOOKUP(A154,Rankings!B1:H651,6,FALSE)+(RAND()*0.00001)</f>
        <v>163.58333900745262</v>
      </c>
      <c r="F154" s="30">
        <f ca="1">E154-VLOOKUP(Settings!$K$8,D15:E175,2,FALSE)</f>
        <v>-171.9326622465841</v>
      </c>
      <c r="G154" s="141">
        <f ca="1">RANK(H154,H$2:H$161)</f>
        <v>131</v>
      </c>
      <c r="H154" s="30">
        <f ca="1">VLOOKUP(A154,Rankings!B1:H651,7,FALSE)+(RAND()*0.00001)</f>
        <v>-2.8233112170634</v>
      </c>
      <c r="I154" s="30">
        <f ca="1">H154-VLOOKUP(Settings!$K$8,G15:H175,2,FALSE)</f>
        <v>-2.959299094951326</v>
      </c>
    </row>
    <row r="155" spans="1:9" ht="18.600000000000001" customHeight="1">
      <c r="A155" s="25" t="s">
        <v>623</v>
      </c>
      <c r="B155" s="26" t="s">
        <v>87</v>
      </c>
      <c r="C155" s="130" t="s">
        <v>31</v>
      </c>
      <c r="D155" s="141">
        <f ca="1">RANK(E155,E$2:E$161)</f>
        <v>154</v>
      </c>
      <c r="E155" s="30">
        <f ca="1">VLOOKUP(A155,Rankings!B1:H651,6,FALSE)+(RAND()*0.00001)</f>
        <v>163.25933852571424</v>
      </c>
      <c r="F155" s="30">
        <f ca="1">E155-VLOOKUP(Settings!$K$8,D3:E159,2,FALSE)</f>
        <v>-172.25666272832248</v>
      </c>
      <c r="G155" s="141">
        <f ca="1">RANK(H155,H$2:H$161)</f>
        <v>147</v>
      </c>
      <c r="H155" s="30">
        <f ca="1">VLOOKUP(A155,Rankings!B1:H651,7,FALSE)+(RAND()*0.00001)</f>
        <v>-3.7235023380609951</v>
      </c>
      <c r="I155" s="30">
        <f ca="1">H155-VLOOKUP(Settings!$K$8,G3:H159,2,FALSE)</f>
        <v>-3.8594902159489211</v>
      </c>
    </row>
    <row r="156" spans="1:9" ht="20.100000000000001" customHeight="1">
      <c r="A156" s="25" t="s">
        <v>494</v>
      </c>
      <c r="B156" s="26" t="s">
        <v>77</v>
      </c>
      <c r="C156" s="130" t="s">
        <v>31</v>
      </c>
      <c r="D156" s="141">
        <f ca="1">RANK(E156,E$2:E$161)</f>
        <v>155</v>
      </c>
      <c r="E156" s="30">
        <f ca="1">VLOOKUP(A156,Rankings!B1:H651,6,FALSE)+(RAND()*0.00001)</f>
        <v>158.6666699549977</v>
      </c>
      <c r="F156" s="30">
        <f ca="1">E156-VLOOKUP(Settings!$K$8,D18:E178,2,FALSE)</f>
        <v>-176.84933129903902</v>
      </c>
      <c r="G156" s="141">
        <f ca="1">RANK(H156,H$2:H$161)</f>
        <v>117</v>
      </c>
      <c r="H156" s="30">
        <f ca="1">VLOOKUP(A156,Rankings!B1:H651,7,FALSE)+(RAND()*0.00001)</f>
        <v>-2.2362256012573543</v>
      </c>
      <c r="I156" s="30">
        <f ca="1">H156-VLOOKUP(Settings!$K$8,G18:H178,2,FALSE)</f>
        <v>-2.3722134791452802</v>
      </c>
    </row>
    <row r="157" spans="1:9" ht="20.100000000000001" customHeight="1">
      <c r="A157" s="25" t="s">
        <v>631</v>
      </c>
      <c r="B157" s="26" t="s">
        <v>160</v>
      </c>
      <c r="C157" s="130" t="s">
        <v>31</v>
      </c>
      <c r="D157" s="141">
        <f ca="1">RANK(E157,E$2:E$161)</f>
        <v>156</v>
      </c>
      <c r="E157" s="30">
        <f ca="1">VLOOKUP(A157,Rankings!B1:H651,6,FALSE)+(RAND()*0.00001)</f>
        <v>155.44800519746784</v>
      </c>
      <c r="F157" s="30">
        <f ca="1">E157-VLOOKUP(Settings!$K$8,D2:E157,2,FALSE)</f>
        <v>-180.06799605656889</v>
      </c>
      <c r="G157" s="141">
        <f ca="1">RANK(H157,H$2:H$161)</f>
        <v>148</v>
      </c>
      <c r="H157" s="30">
        <f ca="1">VLOOKUP(A157,Rankings!B1:H651,7,FALSE)+(RAND()*0.00001)</f>
        <v>-3.8806064367769308</v>
      </c>
      <c r="I157" s="30">
        <f ca="1">H157-VLOOKUP(Settings!$K$8,G2:H157,2,FALSE)</f>
        <v>-4.0165943146648564</v>
      </c>
    </row>
    <row r="158" spans="1:9" ht="20.100000000000001" customHeight="1">
      <c r="A158" s="25" t="s">
        <v>541</v>
      </c>
      <c r="B158" s="26" t="s">
        <v>87</v>
      </c>
      <c r="C158" s="130" t="s">
        <v>31</v>
      </c>
      <c r="D158" s="141">
        <f ca="1">RANK(E158,E$2:E$161)</f>
        <v>157</v>
      </c>
      <c r="E158" s="30">
        <f ca="1">VLOOKUP(A158,Rankings!B1:H651,6,FALSE)+(RAND()*0.00001)</f>
        <v>138.12500953444612</v>
      </c>
      <c r="F158" s="30">
        <f ca="1">E158-VLOOKUP(Settings!$K$8,D13:E173,2,FALSE)</f>
        <v>-197.3909917195906</v>
      </c>
      <c r="G158" s="141">
        <f ca="1">RANK(H158,H$2:H$161)</f>
        <v>127</v>
      </c>
      <c r="H158" s="30">
        <f ca="1">VLOOKUP(A158,Rankings!B1:H651,7,FALSE)+(RAND()*0.00001)</f>
        <v>-2.7783098797083627</v>
      </c>
      <c r="I158" s="30">
        <f ca="1">H158-VLOOKUP(Settings!$K$8,G13:H173,2,FALSE)</f>
        <v>-2.9142977575962887</v>
      </c>
    </row>
    <row r="159" spans="1:9" ht="18.600000000000001" customHeight="1">
      <c r="A159" s="25" t="s">
        <v>590</v>
      </c>
      <c r="B159" s="26" t="s">
        <v>95</v>
      </c>
      <c r="C159" s="130" t="s">
        <v>31</v>
      </c>
      <c r="D159" s="141">
        <f ca="1">RANK(E159,E$2:E$161)</f>
        <v>158</v>
      </c>
      <c r="E159" s="30">
        <f ca="1">VLOOKUP(A159,Rankings!B1:H651,6,FALSE)+(RAND()*0.00001)</f>
        <v>132.95000381529294</v>
      </c>
      <c r="F159" s="30">
        <f ca="1">E159-VLOOKUP(Settings!$K$8,D1:E160,2,FALSE)</f>
        <v>-202.56599743874378</v>
      </c>
      <c r="G159" s="141">
        <f ca="1">RANK(H159,H$2:H$161)</f>
        <v>141</v>
      </c>
      <c r="H159" s="30">
        <f ca="1">VLOOKUP(A159,Rankings!B1:H651,7,FALSE)+(RAND()*0.00001)</f>
        <v>-3.3676951387677434</v>
      </c>
      <c r="I159" s="30">
        <f ca="1">H159-VLOOKUP(Settings!$K$8,G1:H160,2,FALSE)</f>
        <v>-3.5036830166556694</v>
      </c>
    </row>
    <row r="160" spans="1:9" ht="18.600000000000001" customHeight="1">
      <c r="A160" s="25" t="s">
        <v>756</v>
      </c>
      <c r="B160" s="26" t="s">
        <v>260</v>
      </c>
      <c r="C160" s="130" t="s">
        <v>31</v>
      </c>
      <c r="D160" s="141">
        <f ca="1">RANK(E160,E$2:E$161)</f>
        <v>159</v>
      </c>
      <c r="E160" s="30">
        <f ca="1">VLOOKUP(A160,Rankings!B1:H651,6,FALSE)+(RAND()*0.00001)</f>
        <v>126.16267206854081</v>
      </c>
      <c r="F160" s="30">
        <f ca="1">E160-VLOOKUP(Settings!$K$8,D51:E211,2,FALSE)</f>
        <v>-209.35332918549591</v>
      </c>
      <c r="G160" s="141">
        <f ca="1">RANK(H160,H$2:H$161)</f>
        <v>157</v>
      </c>
      <c r="H160" s="30">
        <f ca="1">VLOOKUP(A160,Rankings!B1:H651,7,FALSE)+(RAND()*0.00001)</f>
        <v>-4.63293369984404</v>
      </c>
      <c r="I160" s="30">
        <f ca="1">H160-VLOOKUP(Settings!$K$8,G51:H211,2,FALSE)</f>
        <v>-4.768921577731966</v>
      </c>
    </row>
    <row r="161" spans="1:9" ht="18.600000000000001" customHeight="1">
      <c r="A161" s="25" t="s">
        <v>501</v>
      </c>
      <c r="B161" s="26" t="s">
        <v>77</v>
      </c>
      <c r="C161" s="130" t="s">
        <v>31</v>
      </c>
      <c r="D161" s="141">
        <f ca="1">RANK(E161,E$2:E$161)</f>
        <v>160</v>
      </c>
      <c r="E161" s="30">
        <f ca="1">VLOOKUP(A161,Rankings!B1:H651,6,FALSE)+(RAND()*0.00001)</f>
        <v>98.166670225806044</v>
      </c>
      <c r="F161" s="30">
        <f ca="1">E161-VLOOKUP(Settings!$K$8,D3:E163,2,FALSE)</f>
        <v>-237.34933102823067</v>
      </c>
      <c r="G161" s="141">
        <f ca="1">RANK(H161,H$2:H$161)</f>
        <v>119</v>
      </c>
      <c r="H161" s="30">
        <f ca="1">VLOOKUP(A161,Rankings!B1:H651,7,FALSE)+(RAND()*0.00001)</f>
        <v>-2.327901626741133</v>
      </c>
      <c r="I161" s="30">
        <f ca="1">H161-VLOOKUP(Settings!$K$8,G3:H163,2,FALSE)</f>
        <v>-2.463889504629059</v>
      </c>
    </row>
  </sheetData>
  <autoFilter ref="A1:I161" xr:uid="{00000000-0001-0000-0E00-000000000000}">
    <sortState xmlns:xlrd2="http://schemas.microsoft.com/office/spreadsheetml/2017/richdata2" ref="A2:I161">
      <sortCondition descending="1" ref="E1:E161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91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9" width="7.140625" style="1" customWidth="1"/>
    <col min="10" max="10" width="16.28515625" style="1" customWidth="1"/>
    <col min="11" max="16384" width="16.28515625" style="1"/>
  </cols>
  <sheetData>
    <row r="1" spans="1:9" ht="35.1" customHeight="1">
      <c r="A1" s="138" t="s">
        <v>59</v>
      </c>
      <c r="B1" s="139" t="s">
        <v>60</v>
      </c>
      <c r="C1" s="139" t="s">
        <v>752</v>
      </c>
      <c r="D1" s="140" t="s">
        <v>753</v>
      </c>
      <c r="E1" s="139" t="s">
        <v>63</v>
      </c>
      <c r="F1" s="139" t="s">
        <v>65</v>
      </c>
      <c r="G1" s="140" t="s">
        <v>754</v>
      </c>
      <c r="H1" s="139" t="s">
        <v>64</v>
      </c>
      <c r="I1" s="139" t="s">
        <v>65</v>
      </c>
    </row>
    <row r="2" spans="1:9" ht="18.600000000000001" customHeight="1">
      <c r="A2" s="25" t="s">
        <v>96</v>
      </c>
      <c r="B2" s="26" t="s">
        <v>97</v>
      </c>
      <c r="C2" s="131" t="s">
        <v>34</v>
      </c>
      <c r="D2" s="141">
        <f t="shared" ref="D2:D33" ca="1" si="0">RANK(E2,E$2:E$91)</f>
        <v>1</v>
      </c>
      <c r="E2" s="30">
        <f ca="1">VLOOKUP(A2,Rankings!B1:H651,6,FALSE)+(RAND()*0.00001)</f>
        <v>424.28333913706132</v>
      </c>
      <c r="F2" s="30">
        <f ca="1">E2-VLOOKUP(Settings!$K$9,D$2:E$91,2,FALSE)</f>
        <v>173.18333457007421</v>
      </c>
      <c r="G2" s="141">
        <f t="shared" ref="G2:G33" ca="1" si="1">RANK(H2,H$2:H$91)</f>
        <v>1</v>
      </c>
      <c r="H2" s="30">
        <f ca="1">VLOOKUP(A2,Rankings!B1:H651,7,FALSE)+(RAND()*0.00001)</f>
        <v>8.3080391483998355</v>
      </c>
      <c r="I2" s="30">
        <f ca="1">H2-VLOOKUP(Settings!$K$9,G$2:H$91,2,FALSE)</f>
        <v>6.7369680985947475</v>
      </c>
    </row>
    <row r="3" spans="1:9" ht="18.600000000000001" customHeight="1">
      <c r="A3" s="25" t="s">
        <v>111</v>
      </c>
      <c r="B3" s="26" t="s">
        <v>77</v>
      </c>
      <c r="C3" s="131" t="s">
        <v>34</v>
      </c>
      <c r="D3" s="141">
        <f t="shared" ca="1" si="0"/>
        <v>2</v>
      </c>
      <c r="E3" s="30">
        <f ca="1">VLOOKUP(A3,Rankings!B1:H651,6,FALSE)+(RAND()*0.00001)</f>
        <v>408.28333863048169</v>
      </c>
      <c r="F3" s="30">
        <f ca="1">E3-VLOOKUP(Settings!$K$9,D$2:E$91,2,FALSE)</f>
        <v>157.18333406349458</v>
      </c>
      <c r="G3" s="141">
        <f t="shared" ca="1" si="1"/>
        <v>2</v>
      </c>
      <c r="H3" s="30">
        <f ca="1">VLOOKUP(A3,Rankings!B1:H651,7,FALSE)+(RAND()*0.00001)</f>
        <v>7.7520636878869951</v>
      </c>
      <c r="I3" s="30">
        <f ca="1">H3-VLOOKUP(Settings!$K$9,G$2:H$91,2,FALSE)</f>
        <v>6.1809926380819071</v>
      </c>
    </row>
    <row r="4" spans="1:9" ht="18.600000000000001" customHeight="1">
      <c r="A4" s="25" t="s">
        <v>174</v>
      </c>
      <c r="B4" s="26" t="s">
        <v>64</v>
      </c>
      <c r="C4" s="131" t="s">
        <v>34</v>
      </c>
      <c r="D4" s="141">
        <f t="shared" ca="1" si="0"/>
        <v>3</v>
      </c>
      <c r="E4" s="30">
        <f ca="1">VLOOKUP(A4,Rankings!B1:H651,6,FALSE)+(RAND()*0.00001)</f>
        <v>380.75000767576</v>
      </c>
      <c r="F4" s="30">
        <f ca="1">E4-VLOOKUP(Settings!$K$9,D$2:E$91,2,FALSE)</f>
        <v>129.65000310877289</v>
      </c>
      <c r="G4" s="141">
        <f t="shared" ca="1" si="1"/>
        <v>4</v>
      </c>
      <c r="H4" s="30">
        <f ca="1">VLOOKUP(A4,Rankings!B1:H651,7,FALSE)+(RAND()*0.00001)</f>
        <v>5.1136998401033216</v>
      </c>
      <c r="I4" s="30">
        <f ca="1">H4-VLOOKUP(Settings!$K$9,G$2:H$91,2,FALSE)</f>
        <v>3.5426287902982336</v>
      </c>
    </row>
    <row r="5" spans="1:9" ht="18.600000000000001" customHeight="1">
      <c r="A5" s="25" t="s">
        <v>163</v>
      </c>
      <c r="B5" s="26" t="s">
        <v>95</v>
      </c>
      <c r="C5" s="131" t="s">
        <v>34</v>
      </c>
      <c r="D5" s="141">
        <f t="shared" ca="1" si="0"/>
        <v>4</v>
      </c>
      <c r="E5" s="30">
        <f ca="1">VLOOKUP(A5,Rankings!B1:H651,6,FALSE)+(RAND()*0.00001)</f>
        <v>379.45000042594893</v>
      </c>
      <c r="F5" s="30">
        <f ca="1">E5-VLOOKUP(Settings!$K$9,D$2:E$91,2,FALSE)</f>
        <v>128.34999585896182</v>
      </c>
      <c r="G5" s="141">
        <f t="shared" ca="1" si="1"/>
        <v>3</v>
      </c>
      <c r="H5" s="30">
        <f ca="1">VLOOKUP(A5,Rankings!B1:H651,7,FALSE)+(RAND()*0.00001)</f>
        <v>5.3330191544701826</v>
      </c>
      <c r="I5" s="30">
        <f ca="1">H5-VLOOKUP(Settings!$K$9,G$2:H$91,2,FALSE)</f>
        <v>3.7619481046650947</v>
      </c>
    </row>
    <row r="6" spans="1:9" ht="18.600000000000001" customHeight="1">
      <c r="A6" s="25" t="s">
        <v>183</v>
      </c>
      <c r="B6" s="26" t="s">
        <v>79</v>
      </c>
      <c r="C6" s="131" t="s">
        <v>34</v>
      </c>
      <c r="D6" s="141">
        <f t="shared" ca="1" si="0"/>
        <v>5</v>
      </c>
      <c r="E6" s="30">
        <f ca="1">VLOOKUP(A6,Rankings!B1:H651,6,FALSE)+(RAND()*0.00001)</f>
        <v>361.28334249223735</v>
      </c>
      <c r="F6" s="30">
        <f ca="1">E6-VLOOKUP(Settings!$K$9,D$2:E$91,2,FALSE)</f>
        <v>110.18333792525024</v>
      </c>
      <c r="G6" s="141">
        <f t="shared" ca="1" si="1"/>
        <v>6</v>
      </c>
      <c r="H6" s="30">
        <f ca="1">VLOOKUP(A6,Rankings!B1:H651,7,FALSE)+(RAND()*0.00001)</f>
        <v>4.8897647943054414</v>
      </c>
      <c r="I6" s="30">
        <f ca="1">H6-VLOOKUP(Settings!$K$9,G$2:H$91,2,FALSE)</f>
        <v>3.3186937445003535</v>
      </c>
    </row>
    <row r="7" spans="1:9" ht="18.600000000000001" customHeight="1">
      <c r="A7" s="25" t="s">
        <v>176</v>
      </c>
      <c r="B7" s="26" t="s">
        <v>99</v>
      </c>
      <c r="C7" s="131" t="s">
        <v>34</v>
      </c>
      <c r="D7" s="141">
        <f t="shared" ca="1" si="0"/>
        <v>6</v>
      </c>
      <c r="E7" s="30">
        <f ca="1">VLOOKUP(A7,Rankings!B1:H651,6,FALSE)+(RAND()*0.00001)</f>
        <v>357.33333752014346</v>
      </c>
      <c r="F7" s="30">
        <f ca="1">E7-VLOOKUP(Settings!$K$9,D$2:E$91,2,FALSE)</f>
        <v>106.23333295315635</v>
      </c>
      <c r="G7" s="141">
        <f t="shared" ca="1" si="1"/>
        <v>5</v>
      </c>
      <c r="H7" s="30">
        <f ca="1">VLOOKUP(A7,Rankings!B1:H651,7,FALSE)+(RAND()*0.00001)</f>
        <v>5.0597041203989539</v>
      </c>
      <c r="I7" s="30">
        <f ca="1">H7-VLOOKUP(Settings!$K$9,G$2:H$91,2,FALSE)</f>
        <v>3.488633070593866</v>
      </c>
    </row>
    <row r="8" spans="1:9" ht="18.600000000000001" customHeight="1">
      <c r="A8" s="25" t="s">
        <v>258</v>
      </c>
      <c r="B8" s="26" t="s">
        <v>105</v>
      </c>
      <c r="C8" s="131" t="s">
        <v>34</v>
      </c>
      <c r="D8" s="141">
        <f t="shared" ca="1" si="0"/>
        <v>7</v>
      </c>
      <c r="E8" s="30">
        <f ca="1">VLOOKUP(A8,Rankings!B1:H651,6,FALSE)+(RAND()*0.00001)</f>
        <v>355.93333376276672</v>
      </c>
      <c r="F8" s="30">
        <f ca="1">E8-VLOOKUP(Settings!$K$9,D$2:E$91,2,FALSE)</f>
        <v>104.83332919577961</v>
      </c>
      <c r="G8" s="141">
        <f t="shared" ca="1" si="1"/>
        <v>14</v>
      </c>
      <c r="H8" s="30">
        <f ca="1">VLOOKUP(A8,Rankings!B1:H651,7,FALSE)+(RAND()*0.00001)</f>
        <v>2.800221198266355</v>
      </c>
      <c r="I8" s="30">
        <f ca="1">H8-VLOOKUP(Settings!$K$9,G$2:H$91,2,FALSE)</f>
        <v>1.2291501484612672</v>
      </c>
    </row>
    <row r="9" spans="1:9" ht="18.600000000000001" customHeight="1">
      <c r="A9" s="25" t="s">
        <v>190</v>
      </c>
      <c r="B9" s="26" t="s">
        <v>74</v>
      </c>
      <c r="C9" s="131" t="s">
        <v>34</v>
      </c>
      <c r="D9" s="141">
        <f t="shared" ca="1" si="0"/>
        <v>8</v>
      </c>
      <c r="E9" s="30">
        <f ca="1">VLOOKUP(A9,Rankings!B1:H651,6,FALSE)+(RAND()*0.00001)</f>
        <v>343.01667008974937</v>
      </c>
      <c r="F9" s="30">
        <f ca="1">E9-VLOOKUP(Settings!$K$9,D$2:E$91,2,FALSE)</f>
        <v>91.916665522762258</v>
      </c>
      <c r="G9" s="141">
        <f t="shared" ca="1" si="1"/>
        <v>8</v>
      </c>
      <c r="H9" s="30">
        <f ca="1">VLOOKUP(A9,Rankings!B1:H651,7,FALSE)+(RAND()*0.00001)</f>
        <v>4.6794857666641096</v>
      </c>
      <c r="I9" s="30">
        <f ca="1">H9-VLOOKUP(Settings!$K$9,G$2:H$91,2,FALSE)</f>
        <v>3.1084147168590217</v>
      </c>
    </row>
    <row r="10" spans="1:9" ht="18.600000000000001" customHeight="1">
      <c r="A10" s="25" t="s">
        <v>184</v>
      </c>
      <c r="B10" s="26" t="s">
        <v>125</v>
      </c>
      <c r="C10" s="131" t="s">
        <v>34</v>
      </c>
      <c r="D10" s="141">
        <f t="shared" ca="1" si="0"/>
        <v>9</v>
      </c>
      <c r="E10" s="30">
        <f ca="1">VLOOKUP(A10,Rankings!B1:H651,6,FALSE)+(RAND()*0.00001)</f>
        <v>340.68333369555984</v>
      </c>
      <c r="F10" s="30">
        <f ca="1">E10-VLOOKUP(Settings!$K$9,D$2:E$91,2,FALSE)</f>
        <v>89.583329128572728</v>
      </c>
      <c r="G10" s="141">
        <f t="shared" ca="1" si="1"/>
        <v>7</v>
      </c>
      <c r="H10" s="30">
        <f ca="1">VLOOKUP(A10,Rankings!B1:H651,7,FALSE)+(RAND()*0.00001)</f>
        <v>4.8779947061284741</v>
      </c>
      <c r="I10" s="30">
        <f ca="1">H10-VLOOKUP(Settings!$K$9,G$2:H$91,2,FALSE)</f>
        <v>3.3069236563233861</v>
      </c>
    </row>
    <row r="11" spans="1:9" ht="18.600000000000001" customHeight="1">
      <c r="A11" s="25" t="s">
        <v>199</v>
      </c>
      <c r="B11" s="26" t="s">
        <v>101</v>
      </c>
      <c r="C11" s="131" t="s">
        <v>34</v>
      </c>
      <c r="D11" s="141">
        <f t="shared" ca="1" si="0"/>
        <v>10</v>
      </c>
      <c r="E11" s="30">
        <f ca="1">VLOOKUP(A11,Rankings!B1:H651,6,FALSE)+(RAND()*0.00001)</f>
        <v>326.21667313993913</v>
      </c>
      <c r="F11" s="30">
        <f ca="1">E11-VLOOKUP(Settings!$K$9,D$2:E$91,2,FALSE)</f>
        <v>75.116668572952022</v>
      </c>
      <c r="G11" s="141">
        <f t="shared" ca="1" si="1"/>
        <v>9</v>
      </c>
      <c r="H11" s="30">
        <f ca="1">VLOOKUP(A11,Rankings!B1:H651,7,FALSE)+(RAND()*0.00001)</f>
        <v>4.41811007868702</v>
      </c>
      <c r="I11" s="30">
        <f ca="1">H11-VLOOKUP(Settings!$K$9,G$2:H$91,2,FALSE)</f>
        <v>2.8470390288819321</v>
      </c>
    </row>
    <row r="12" spans="1:9" ht="18.600000000000001" customHeight="1">
      <c r="A12" s="25" t="s">
        <v>385</v>
      </c>
      <c r="B12" s="26" t="s">
        <v>178</v>
      </c>
      <c r="C12" s="131" t="s">
        <v>34</v>
      </c>
      <c r="D12" s="141">
        <f t="shared" ca="1" si="0"/>
        <v>11</v>
      </c>
      <c r="E12" s="30">
        <f ca="1">VLOOKUP(A12,Rankings!B1:H651,6,FALSE)+(RAND()*0.00001)</f>
        <v>317.40000611877093</v>
      </c>
      <c r="F12" s="30">
        <f ca="1">E12-VLOOKUP(Settings!$K$9,D$2:E$91,2,FALSE)</f>
        <v>66.300001551783822</v>
      </c>
      <c r="G12" s="141">
        <f t="shared" ca="1" si="1"/>
        <v>25</v>
      </c>
      <c r="H12" s="30">
        <f ca="1">VLOOKUP(A12,Rankings!B1:H651,7,FALSE)+(RAND()*0.00001)</f>
        <v>0.8164076352718177</v>
      </c>
      <c r="I12" s="30">
        <f ca="1">H12-VLOOKUP(Settings!$K$9,G$2:H$91,2,FALSE)</f>
        <v>-0.75466341453327002</v>
      </c>
    </row>
    <row r="13" spans="1:9" ht="18.600000000000001" customHeight="1">
      <c r="A13" s="25" t="s">
        <v>289</v>
      </c>
      <c r="B13" s="26" t="s">
        <v>219</v>
      </c>
      <c r="C13" s="131" t="s">
        <v>34</v>
      </c>
      <c r="D13" s="141">
        <f t="shared" ca="1" si="0"/>
        <v>12</v>
      </c>
      <c r="E13" s="30">
        <f ca="1">VLOOKUP(A13,Rankings!B1:H651,6,FALSE)+(RAND()*0.00001)</f>
        <v>317.31667195002046</v>
      </c>
      <c r="F13" s="30">
        <f ca="1">E13-VLOOKUP(Settings!$K$9,D$2:E$91,2,FALSE)</f>
        <v>66.216667383033354</v>
      </c>
      <c r="G13" s="141">
        <f t="shared" ca="1" si="1"/>
        <v>16</v>
      </c>
      <c r="H13" s="30">
        <f ca="1">VLOOKUP(A13,Rankings!B1:H651,7,FALSE)+(RAND()*0.00001)</f>
        <v>2.2049388402065144</v>
      </c>
      <c r="I13" s="30">
        <f ca="1">H13-VLOOKUP(Settings!$K$9,G$2:H$91,2,FALSE)</f>
        <v>0.63386779040142671</v>
      </c>
    </row>
    <row r="14" spans="1:9" ht="18.600000000000001" customHeight="1">
      <c r="A14" s="25" t="s">
        <v>291</v>
      </c>
      <c r="B14" s="26" t="s">
        <v>69</v>
      </c>
      <c r="C14" s="131" t="s">
        <v>34</v>
      </c>
      <c r="D14" s="141">
        <f t="shared" ca="1" si="0"/>
        <v>13</v>
      </c>
      <c r="E14" s="30">
        <f ca="1">VLOOKUP(A14,Rankings!B1:H651,6,FALSE)+(RAND()*0.00001)</f>
        <v>296.43334158792885</v>
      </c>
      <c r="F14" s="30">
        <f ca="1">E14-VLOOKUP(Settings!$K$9,D$2:E$91,2,FALSE)</f>
        <v>45.333337020941741</v>
      </c>
      <c r="G14" s="141">
        <f t="shared" ca="1" si="1"/>
        <v>17</v>
      </c>
      <c r="H14" s="30">
        <f ca="1">VLOOKUP(A14,Rankings!B1:H651,7,FALSE)+(RAND()*0.00001)</f>
        <v>2.1701177565772229</v>
      </c>
      <c r="I14" s="30">
        <f ca="1">H14-VLOOKUP(Settings!$K$9,G$2:H$91,2,FALSE)</f>
        <v>0.59904670677213523</v>
      </c>
    </row>
    <row r="15" spans="1:9" ht="18.600000000000001" customHeight="1">
      <c r="A15" s="25" t="s">
        <v>304</v>
      </c>
      <c r="B15" s="26" t="s">
        <v>119</v>
      </c>
      <c r="C15" s="131" t="s">
        <v>34</v>
      </c>
      <c r="D15" s="141">
        <f t="shared" ca="1" si="0"/>
        <v>14</v>
      </c>
      <c r="E15" s="30">
        <f ca="1">VLOOKUP(A15,Rankings!B1:H651,6,FALSE)+(RAND()*0.00001)</f>
        <v>286.80000539318536</v>
      </c>
      <c r="F15" s="30">
        <f ca="1">E15-VLOOKUP(Settings!$K$9,D$2:E$91,2,FALSE)</f>
        <v>35.700000826198249</v>
      </c>
      <c r="G15" s="141">
        <f t="shared" ca="1" si="1"/>
        <v>19</v>
      </c>
      <c r="H15" s="30">
        <f ca="1">VLOOKUP(A15,Rankings!B1:H651,7,FALSE)+(RAND()*0.00001)</f>
        <v>1.9574613421548295</v>
      </c>
      <c r="I15" s="30">
        <f ca="1">H15-VLOOKUP(Settings!$K$9,G$2:H$91,2,FALSE)</f>
        <v>0.38639029234974176</v>
      </c>
    </row>
    <row r="16" spans="1:9" ht="18.600000000000001" customHeight="1">
      <c r="A16" s="25" t="s">
        <v>292</v>
      </c>
      <c r="B16" s="26" t="s">
        <v>139</v>
      </c>
      <c r="C16" s="131" t="s">
        <v>34</v>
      </c>
      <c r="D16" s="141">
        <f t="shared" ca="1" si="0"/>
        <v>15</v>
      </c>
      <c r="E16" s="30">
        <f ca="1">VLOOKUP(A16,Rankings!B1:H651,6,FALSE)+(RAND()*0.00001)</f>
        <v>283.83334016190543</v>
      </c>
      <c r="F16" s="30">
        <f ca="1">E16-VLOOKUP(Settings!$K$9,D$2:E$91,2,FALSE)</f>
        <v>32.733335594918316</v>
      </c>
      <c r="G16" s="141">
        <f t="shared" ca="1" si="1"/>
        <v>18</v>
      </c>
      <c r="H16" s="30">
        <f ca="1">VLOOKUP(A16,Rankings!B1:H651,7,FALSE)+(RAND()*0.00001)</f>
        <v>2.1530799901125302</v>
      </c>
      <c r="I16" s="30">
        <f ca="1">H16-VLOOKUP(Settings!$K$9,G$2:H$91,2,FALSE)</f>
        <v>0.58200894030744244</v>
      </c>
    </row>
    <row r="17" spans="1:9" ht="18.600000000000001" customHeight="1">
      <c r="A17" s="25" t="s">
        <v>257</v>
      </c>
      <c r="B17" s="26" t="s">
        <v>72</v>
      </c>
      <c r="C17" s="131" t="s">
        <v>34</v>
      </c>
      <c r="D17" s="141">
        <f t="shared" ca="1" si="0"/>
        <v>16</v>
      </c>
      <c r="E17" s="30">
        <f ca="1">VLOOKUP(A17,Rankings!B1:H651,6,FALSE)+(RAND()*0.00001)</f>
        <v>271.05000006007219</v>
      </c>
      <c r="F17" s="30">
        <f ca="1">E17-VLOOKUP(Settings!$K$9,D$2:E$91,2,FALSE)</f>
        <v>19.949995493085083</v>
      </c>
      <c r="G17" s="141">
        <f t="shared" ca="1" si="1"/>
        <v>13</v>
      </c>
      <c r="H17" s="30">
        <f ca="1">VLOOKUP(A17,Rankings!B1:H651,7,FALSE)+(RAND()*0.00001)</f>
        <v>2.8054662001139063</v>
      </c>
      <c r="I17" s="30">
        <f ca="1">H17-VLOOKUP(Settings!$K$9,G$2:H$91,2,FALSE)</f>
        <v>1.2343951503088186</v>
      </c>
    </row>
    <row r="18" spans="1:9" ht="18.600000000000001" customHeight="1">
      <c r="A18" s="25" t="s">
        <v>350</v>
      </c>
      <c r="B18" s="26" t="s">
        <v>225</v>
      </c>
      <c r="C18" s="131" t="s">
        <v>34</v>
      </c>
      <c r="D18" s="141">
        <f t="shared" ca="1" si="0"/>
        <v>18</v>
      </c>
      <c r="E18" s="30">
        <f ca="1">VLOOKUP(A18,Rankings!B1:H651,6,FALSE)+(RAND()*0.00001)</f>
        <v>265.66667444217552</v>
      </c>
      <c r="F18" s="30">
        <f ca="1">E18-VLOOKUP(Settings!$K$9,D$2:E$91,2,FALSE)</f>
        <v>14.56666987518841</v>
      </c>
      <c r="G18" s="141">
        <f t="shared" ca="1" si="1"/>
        <v>21</v>
      </c>
      <c r="H18" s="30">
        <f ca="1">VLOOKUP(A18,Rankings!B1:H651,7,FALSE)+(RAND()*0.00001)</f>
        <v>1.3927971386653213</v>
      </c>
      <c r="I18" s="30">
        <f ca="1">H18-VLOOKUP(Settings!$K$9,G$2:H$91,2,FALSE)</f>
        <v>-0.17827391113976643</v>
      </c>
    </row>
    <row r="19" spans="1:9" ht="18.600000000000001" customHeight="1">
      <c r="A19" s="25" t="s">
        <v>466</v>
      </c>
      <c r="B19" s="26" t="s">
        <v>158</v>
      </c>
      <c r="C19" s="131" t="s">
        <v>34</v>
      </c>
      <c r="D19" s="141">
        <f t="shared" ca="1" si="0"/>
        <v>19</v>
      </c>
      <c r="E19" s="30">
        <f ca="1">VLOOKUP(A19,Rankings!B1:H651,6,FALSE)+(RAND()*0.00001)</f>
        <v>262.53334331765461</v>
      </c>
      <c r="F19" s="30">
        <f ca="1">E19-VLOOKUP(Settings!$K$9,D$2:E$91,2,FALSE)</f>
        <v>11.433338750667502</v>
      </c>
      <c r="G19" s="141">
        <f t="shared" ca="1" si="1"/>
        <v>34</v>
      </c>
      <c r="H19" s="30">
        <f ca="1">VLOOKUP(A19,Rankings!B1:H651,7,FALSE)+(RAND()*0.00001)</f>
        <v>-0.47764059367420358</v>
      </c>
      <c r="I19" s="30">
        <f ca="1">H19-VLOOKUP(Settings!$K$9,G$2:H$91,2,FALSE)</f>
        <v>-2.0487116434792911</v>
      </c>
    </row>
    <row r="20" spans="1:9" ht="18.600000000000001" customHeight="1">
      <c r="A20" s="25" t="s">
        <v>272</v>
      </c>
      <c r="B20" s="26" t="s">
        <v>103</v>
      </c>
      <c r="C20" s="131" t="s">
        <v>34</v>
      </c>
      <c r="D20" s="141">
        <f t="shared" ca="1" si="0"/>
        <v>20</v>
      </c>
      <c r="E20" s="30">
        <f ca="1">VLOOKUP(A20,Rankings!B1:H651,6,FALSE)+(RAND()*0.00001)</f>
        <v>251.10000456698711</v>
      </c>
      <c r="F20" s="30">
        <f ca="1">E20-VLOOKUP(Settings!$K$9,D$2:E$91,2,FALSE)</f>
        <v>0</v>
      </c>
      <c r="G20" s="141">
        <f t="shared" ca="1" si="1"/>
        <v>15</v>
      </c>
      <c r="H20" s="30">
        <f ca="1">VLOOKUP(A20,Rankings!B1:H651,7,FALSE)+(RAND()*0.00001)</f>
        <v>2.533954970500115</v>
      </c>
      <c r="I20" s="30">
        <f ca="1">H20-VLOOKUP(Settings!$K$9,G$2:H$91,2,FALSE)</f>
        <v>0.96288392069502726</v>
      </c>
    </row>
    <row r="21" spans="1:9" ht="20.100000000000001" customHeight="1">
      <c r="A21" s="25" t="s">
        <v>222</v>
      </c>
      <c r="B21" s="26" t="s">
        <v>158</v>
      </c>
      <c r="C21" s="131" t="s">
        <v>34</v>
      </c>
      <c r="D21" s="141">
        <f t="shared" ca="1" si="0"/>
        <v>21</v>
      </c>
      <c r="E21" s="30">
        <f ca="1">VLOOKUP(A21,Rankings!B1:H651,6,FALSE)+(RAND()*0.00001)</f>
        <v>247.8666696903137</v>
      </c>
      <c r="F21" s="30">
        <f ca="1">E21-VLOOKUP(Settings!$K$9,D$2:E$91,2,FALSE)</f>
        <v>-3.2333348766734105</v>
      </c>
      <c r="G21" s="141">
        <f t="shared" ca="1" si="1"/>
        <v>10</v>
      </c>
      <c r="H21" s="30">
        <f ca="1">VLOOKUP(A21,Rankings!B1:H651,7,FALSE)+(RAND()*0.00001)</f>
        <v>3.7573693342780699</v>
      </c>
      <c r="I21" s="30">
        <f ca="1">H21-VLOOKUP(Settings!$K$9,G$2:H$91,2,FALSE)</f>
        <v>2.1862982844729819</v>
      </c>
    </row>
    <row r="22" spans="1:9" ht="18.600000000000001" customHeight="1">
      <c r="A22" s="25" t="s">
        <v>414</v>
      </c>
      <c r="B22" s="26" t="s">
        <v>105</v>
      </c>
      <c r="C22" s="131" t="s">
        <v>34</v>
      </c>
      <c r="D22" s="141">
        <f t="shared" ca="1" si="0"/>
        <v>17</v>
      </c>
      <c r="E22" s="30">
        <f ca="1">VLOOKUP(A22,Rankings!B1:H651,6,FALSE)+(RAND()*0.00001)</f>
        <v>268.05800846587135</v>
      </c>
      <c r="F22" s="30">
        <f ca="1">E22-VLOOKUP(Settings!$K$9,D$2:E$91,2,FALSE)</f>
        <v>16.958003898884243</v>
      </c>
      <c r="G22" s="141">
        <f t="shared" ca="1" si="1"/>
        <v>27</v>
      </c>
      <c r="H22" s="30">
        <f ca="1">VLOOKUP(A22,Rankings!B1:H651,7,FALSE)+(RAND()*0.00001)</f>
        <v>0.28064710195695475</v>
      </c>
      <c r="I22" s="30">
        <f ca="1">H22-VLOOKUP(Settings!$K$9,G$2:H$91,2,FALSE)</f>
        <v>-1.290423947848133</v>
      </c>
    </row>
    <row r="23" spans="1:9" ht="18.600000000000001" customHeight="1">
      <c r="A23" s="25" t="s">
        <v>447</v>
      </c>
      <c r="B23" s="26" t="s">
        <v>92</v>
      </c>
      <c r="C23" s="131" t="s">
        <v>34</v>
      </c>
      <c r="D23" s="141">
        <f t="shared" ca="1" si="0"/>
        <v>22</v>
      </c>
      <c r="E23" s="30">
        <f ca="1">VLOOKUP(A23,Rankings!B1:H651,6,FALSE)+(RAND()*0.00001)</f>
        <v>232.95000140572392</v>
      </c>
      <c r="F23" s="30">
        <f ca="1">E23-VLOOKUP(Settings!$K$9,D$2:E$91,2,FALSE)</f>
        <v>-18.150003161263186</v>
      </c>
      <c r="G23" s="141">
        <f t="shared" ca="1" si="1"/>
        <v>31</v>
      </c>
      <c r="H23" s="30">
        <f ca="1">VLOOKUP(A23,Rankings!B1:H651,7,FALSE)+(RAND()*0.00001)</f>
        <v>-0.29355522833466069</v>
      </c>
      <c r="I23" s="30">
        <f ca="1">H23-VLOOKUP(Settings!$K$9,G$2:H$91,2,FALSE)</f>
        <v>-1.8646262781397485</v>
      </c>
    </row>
    <row r="24" spans="1:9" ht="18.600000000000001" customHeight="1">
      <c r="A24" s="25" t="s">
        <v>504</v>
      </c>
      <c r="B24" s="26" t="s">
        <v>87</v>
      </c>
      <c r="C24" s="131" t="s">
        <v>34</v>
      </c>
      <c r="D24" s="141">
        <f t="shared" ca="1" si="0"/>
        <v>23</v>
      </c>
      <c r="E24" s="30">
        <f ca="1">VLOOKUP(A24,Rankings!B1:H651,6,FALSE)+(RAND()*0.00001)</f>
        <v>231.76667424905526</v>
      </c>
      <c r="F24" s="30">
        <f ca="1">E24-VLOOKUP(Settings!$K$9,D$2:E$91,2,FALSE)</f>
        <v>-19.333330317931853</v>
      </c>
      <c r="G24" s="141">
        <f t="shared" ca="1" si="1"/>
        <v>42</v>
      </c>
      <c r="H24" s="30">
        <f ca="1">VLOOKUP(A24,Rankings!B1:H651,7,FALSE)+(RAND()*0.00001)</f>
        <v>-0.95375318419492128</v>
      </c>
      <c r="I24" s="30">
        <f ca="1">H24-VLOOKUP(Settings!$K$9,G$2:H$91,2,FALSE)</f>
        <v>-2.5248242340000089</v>
      </c>
    </row>
    <row r="25" spans="1:9" ht="18.600000000000001" customHeight="1">
      <c r="A25" s="25" t="s">
        <v>562</v>
      </c>
      <c r="B25" s="26" t="s">
        <v>260</v>
      </c>
      <c r="C25" s="131" t="s">
        <v>34</v>
      </c>
      <c r="D25" s="141">
        <f t="shared" ca="1" si="0"/>
        <v>24</v>
      </c>
      <c r="E25" s="30">
        <f ca="1">VLOOKUP(A25,Rankings!B1:H651,6,FALSE)+(RAND()*0.00001)</f>
        <v>229.65000805751916</v>
      </c>
      <c r="F25" s="30">
        <f ca="1">E25-VLOOKUP(Settings!$K$9,D$2:E$91,2,FALSE)</f>
        <v>-21.449996509467951</v>
      </c>
      <c r="G25" s="141">
        <f t="shared" ca="1" si="1"/>
        <v>63</v>
      </c>
      <c r="H25" s="30">
        <f ca="1">VLOOKUP(A25,Rankings!B1:H651,7,FALSE)+(RAND()*0.00001)</f>
        <v>-1.5575811812259295</v>
      </c>
      <c r="I25" s="30">
        <f ca="1">H25-VLOOKUP(Settings!$K$9,G$2:H$91,2,FALSE)</f>
        <v>-3.1286522310310172</v>
      </c>
    </row>
    <row r="26" spans="1:9" ht="18.600000000000001" customHeight="1">
      <c r="A26" s="25" t="s">
        <v>516</v>
      </c>
      <c r="B26" s="26" t="s">
        <v>116</v>
      </c>
      <c r="C26" s="131" t="s">
        <v>34</v>
      </c>
      <c r="D26" s="141">
        <f t="shared" ca="1" si="0"/>
        <v>25</v>
      </c>
      <c r="E26" s="30">
        <f ca="1">VLOOKUP(A26,Rankings!B1:H651,6,FALSE)+(RAND()*0.00001)</f>
        <v>218.01667332518861</v>
      </c>
      <c r="F26" s="30">
        <f ca="1">E26-VLOOKUP(Settings!$K$9,D$2:E$91,2,FALSE)</f>
        <v>-33.083331241798504</v>
      </c>
      <c r="G26" s="141">
        <f t="shared" ca="1" si="1"/>
        <v>47</v>
      </c>
      <c r="H26" s="30">
        <f ca="1">VLOOKUP(A26,Rankings!B1:H651,7,FALSE)+(RAND()*0.00001)</f>
        <v>-1.1350011116041878</v>
      </c>
      <c r="I26" s="30">
        <f ca="1">H26-VLOOKUP(Settings!$K$9,G$2:H$91,2,FALSE)</f>
        <v>-2.7060721614092755</v>
      </c>
    </row>
    <row r="27" spans="1:9" ht="18.600000000000001" customHeight="1">
      <c r="A27" s="25" t="s">
        <v>449</v>
      </c>
      <c r="B27" s="26" t="s">
        <v>219</v>
      </c>
      <c r="C27" s="131" t="s">
        <v>34</v>
      </c>
      <c r="D27" s="141">
        <f t="shared" ca="1" si="0"/>
        <v>26</v>
      </c>
      <c r="E27" s="30">
        <f ca="1">VLOOKUP(A27,Rankings!B1:H651,6,FALSE)+(RAND()*0.00001)</f>
        <v>217.5666721698025</v>
      </c>
      <c r="F27" s="30">
        <f ca="1">E27-VLOOKUP(Settings!$K$9,D$2:E$91,2,FALSE)</f>
        <v>-33.533332397184608</v>
      </c>
      <c r="G27" s="141">
        <f t="shared" ca="1" si="1"/>
        <v>32</v>
      </c>
      <c r="H27" s="30">
        <f ca="1">VLOOKUP(A27,Rankings!B1:H651,7,FALSE)+(RAND()*0.00001)</f>
        <v>-0.32546304382417013</v>
      </c>
      <c r="I27" s="30">
        <f ca="1">H27-VLOOKUP(Settings!$K$9,G$2:H$91,2,FALSE)</f>
        <v>-1.8965340936292578</v>
      </c>
    </row>
    <row r="28" spans="1:9" ht="18.600000000000001" customHeight="1">
      <c r="A28" s="25" t="s">
        <v>334</v>
      </c>
      <c r="B28" s="26" t="s">
        <v>125</v>
      </c>
      <c r="C28" s="131" t="s">
        <v>34</v>
      </c>
      <c r="D28" s="141">
        <f t="shared" ca="1" si="0"/>
        <v>27</v>
      </c>
      <c r="E28" s="30">
        <f ca="1">VLOOKUP(A28,Rankings!B1:H651,6,FALSE)+(RAND()*0.00001)</f>
        <v>213.95000158890701</v>
      </c>
      <c r="F28" s="30">
        <f ca="1">E28-VLOOKUP(Settings!$K$9,D$2:E$91,2,FALSE)</f>
        <v>-37.150002978080096</v>
      </c>
      <c r="G28" s="141">
        <f t="shared" ca="1" si="1"/>
        <v>20</v>
      </c>
      <c r="H28" s="30">
        <f ca="1">VLOOKUP(A28,Rankings!B1:H651,7,FALSE)+(RAND()*0.00001)</f>
        <v>1.5710710498050877</v>
      </c>
      <c r="I28" s="30">
        <f ca="1">H28-VLOOKUP(Settings!$K$9,G$2:H$91,2,FALSE)</f>
        <v>0</v>
      </c>
    </row>
    <row r="29" spans="1:9" ht="18.600000000000001" customHeight="1">
      <c r="A29" s="25" t="s">
        <v>454</v>
      </c>
      <c r="B29" s="26" t="s">
        <v>160</v>
      </c>
      <c r="C29" s="131" t="s">
        <v>34</v>
      </c>
      <c r="D29" s="141">
        <f t="shared" ca="1" si="0"/>
        <v>28</v>
      </c>
      <c r="E29" s="30">
        <f ca="1">VLOOKUP(A29,Rankings!B1:H651,6,FALSE)+(RAND()*0.00001)</f>
        <v>213.43334213539498</v>
      </c>
      <c r="F29" s="30">
        <f ca="1">E29-VLOOKUP(Settings!$K$9,D$2:E$91,2,FALSE)</f>
        <v>-37.66666243159213</v>
      </c>
      <c r="G29" s="141">
        <f t="shared" ca="1" si="1"/>
        <v>33</v>
      </c>
      <c r="H29" s="30">
        <f ca="1">VLOOKUP(A29,Rankings!B1:H651,7,FALSE)+(RAND()*0.00001)</f>
        <v>-0.38316625811263205</v>
      </c>
      <c r="I29" s="30">
        <f ca="1">H29-VLOOKUP(Settings!$K$9,G$2:H$91,2,FALSE)</f>
        <v>-1.9542373079177198</v>
      </c>
    </row>
    <row r="30" spans="1:9" ht="20.100000000000001" customHeight="1">
      <c r="A30" s="25" t="s">
        <v>561</v>
      </c>
      <c r="B30" s="26" t="s">
        <v>309</v>
      </c>
      <c r="C30" s="131" t="s">
        <v>34</v>
      </c>
      <c r="D30" s="141">
        <f t="shared" ca="1" si="0"/>
        <v>29</v>
      </c>
      <c r="E30" s="30">
        <f ca="1">VLOOKUP(A30,Rankings!B1:H651,6,FALSE)+(RAND()*0.00001)</f>
        <v>211.03333605159176</v>
      </c>
      <c r="F30" s="30">
        <f ca="1">E30-VLOOKUP(Settings!$K$9,D$2:E$91,2,FALSE)</f>
        <v>-40.066668515395349</v>
      </c>
      <c r="G30" s="141">
        <f t="shared" ca="1" si="1"/>
        <v>62</v>
      </c>
      <c r="H30" s="30">
        <f ca="1">VLOOKUP(A30,Rankings!B1:H651,7,FALSE)+(RAND()*0.00001)</f>
        <v>-1.5254682243995026</v>
      </c>
      <c r="I30" s="30">
        <f ca="1">H30-VLOOKUP(Settings!$K$9,G$2:H$91,2,FALSE)</f>
        <v>-3.0965392742045905</v>
      </c>
    </row>
    <row r="31" spans="1:9" ht="18.600000000000001" customHeight="1">
      <c r="A31" s="25" t="s">
        <v>543</v>
      </c>
      <c r="B31" s="26" t="s">
        <v>136</v>
      </c>
      <c r="C31" s="131" t="s">
        <v>34</v>
      </c>
      <c r="D31" s="141">
        <f t="shared" ca="1" si="0"/>
        <v>30</v>
      </c>
      <c r="E31" s="30">
        <f ca="1">VLOOKUP(A31,Rankings!B1:H651,6,FALSE)+(RAND()*0.00001)</f>
        <v>205.22533482507279</v>
      </c>
      <c r="F31" s="30">
        <f ca="1">E31-VLOOKUP(Settings!$K$9,D$2:E$91,2,FALSE)</f>
        <v>-45.874669741914317</v>
      </c>
      <c r="G31" s="141">
        <f t="shared" ca="1" si="1"/>
        <v>59</v>
      </c>
      <c r="H31" s="30">
        <f ca="1">VLOOKUP(A31,Rankings!B1:H651,7,FALSE)+(RAND()*0.00001)</f>
        <v>-1.3761624777775141</v>
      </c>
      <c r="I31" s="30">
        <f ca="1">H31-VLOOKUP(Settings!$K$9,G$2:H$91,2,FALSE)</f>
        <v>-2.9472335275826018</v>
      </c>
    </row>
    <row r="32" spans="1:9" ht="18.600000000000001" customHeight="1">
      <c r="A32" s="25" t="s">
        <v>239</v>
      </c>
      <c r="B32" s="26" t="s">
        <v>72</v>
      </c>
      <c r="C32" s="131" t="s">
        <v>34</v>
      </c>
      <c r="D32" s="141">
        <f t="shared" ca="1" si="0"/>
        <v>31</v>
      </c>
      <c r="E32" s="30">
        <f ca="1">VLOOKUP(A32,Rankings!B1:H651,6,FALSE)+(RAND()*0.00001)</f>
        <v>201.03333624464361</v>
      </c>
      <c r="F32" s="30">
        <f ca="1">E32-VLOOKUP(Settings!$K$9,D$2:E$91,2,FALSE)</f>
        <v>-50.066668322343503</v>
      </c>
      <c r="G32" s="141">
        <f t="shared" ca="1" si="1"/>
        <v>11</v>
      </c>
      <c r="H32" s="30">
        <f ca="1">VLOOKUP(A32,Rankings!B1:H651,7,FALSE)+(RAND()*0.00001)</f>
        <v>3.2464944406097787</v>
      </c>
      <c r="I32" s="30">
        <f ca="1">H32-VLOOKUP(Settings!$K$9,G$2:H$91,2,FALSE)</f>
        <v>1.6754233908046909</v>
      </c>
    </row>
    <row r="33" spans="1:9" ht="18.600000000000001" customHeight="1">
      <c r="A33" s="25" t="s">
        <v>618</v>
      </c>
      <c r="B33" s="26" t="s">
        <v>92</v>
      </c>
      <c r="C33" s="131" t="s">
        <v>34</v>
      </c>
      <c r="D33" s="141">
        <f t="shared" ca="1" si="0"/>
        <v>32</v>
      </c>
      <c r="E33" s="30">
        <f ca="1">VLOOKUP(A33,Rankings!B1:H651,6,FALSE)+(RAND()*0.00001)</f>
        <v>188.76666740975392</v>
      </c>
      <c r="F33" s="30">
        <f ca="1">E33-VLOOKUP(Settings!$K$9,D$2:E$91,2,FALSE)</f>
        <v>-62.333337157233188</v>
      </c>
      <c r="G33" s="141">
        <f t="shared" ca="1" si="1"/>
        <v>84</v>
      </c>
      <c r="H33" s="30">
        <f ca="1">VLOOKUP(A33,Rankings!B1:H651,7,FALSE)+(RAND()*0.00001)</f>
        <v>-2.2330938136678453</v>
      </c>
      <c r="I33" s="30">
        <f ca="1">H33-VLOOKUP(Settings!$K$9,G$2:H$91,2,FALSE)</f>
        <v>-3.8041648634729333</v>
      </c>
    </row>
    <row r="34" spans="1:9" ht="18.600000000000001" customHeight="1">
      <c r="A34" s="25" t="s">
        <v>420</v>
      </c>
      <c r="B34" s="26" t="s">
        <v>82</v>
      </c>
      <c r="C34" s="131" t="s">
        <v>34</v>
      </c>
      <c r="D34" s="141">
        <f t="shared" ref="D34:D65" ca="1" si="2">RANK(E34,E$2:E$91)</f>
        <v>33</v>
      </c>
      <c r="E34" s="30">
        <f ca="1">VLOOKUP(A34,Rankings!B1:H651,6,FALSE)+(RAND()*0.00001)</f>
        <v>186.4500099615322</v>
      </c>
      <c r="F34" s="30">
        <f ca="1">E34-VLOOKUP(Settings!$K$9,D$2:E$91,2,FALSE)</f>
        <v>-64.649994605454907</v>
      </c>
      <c r="G34" s="141">
        <f t="shared" ref="G34:G65" ca="1" si="3">RANK(H34,H$2:H$91)</f>
        <v>28</v>
      </c>
      <c r="H34" s="30">
        <f ca="1">VLOOKUP(A34,Rankings!B1:H651,7,FALSE)+(RAND()*0.00001)</f>
        <v>7.9601188482135141E-2</v>
      </c>
      <c r="I34" s="30">
        <f ca="1">H34-VLOOKUP(Settings!$K$9,G$2:H$91,2,FALSE)</f>
        <v>-1.4914698613229527</v>
      </c>
    </row>
    <row r="35" spans="1:9" ht="18.600000000000001" customHeight="1">
      <c r="A35" s="25" t="s">
        <v>530</v>
      </c>
      <c r="B35" s="26" t="s">
        <v>79</v>
      </c>
      <c r="C35" s="131" t="s">
        <v>34</v>
      </c>
      <c r="D35" s="141">
        <f t="shared" ca="1" si="2"/>
        <v>34</v>
      </c>
      <c r="E35" s="30">
        <f ca="1">VLOOKUP(A35,Rankings!B1:H651,6,FALSE)+(RAND()*0.00001)</f>
        <v>185.60000297689885</v>
      </c>
      <c r="F35" s="30">
        <f ca="1">E35-VLOOKUP(Settings!$K$9,D$2:E$91,2,FALSE)</f>
        <v>-65.50000159008826</v>
      </c>
      <c r="G35" s="141">
        <f t="shared" ca="1" si="3"/>
        <v>52</v>
      </c>
      <c r="H35" s="30">
        <f ca="1">VLOOKUP(A35,Rankings!B1:H651,7,FALSE)+(RAND()*0.00001)</f>
        <v>-1.2404046528548869</v>
      </c>
      <c r="I35" s="30">
        <f ca="1">H35-VLOOKUP(Settings!$K$9,G$2:H$91,2,FALSE)</f>
        <v>-2.8114757026599744</v>
      </c>
    </row>
    <row r="36" spans="1:9" ht="18.600000000000001" customHeight="1">
      <c r="A36" s="25" t="s">
        <v>531</v>
      </c>
      <c r="B36" s="26" t="s">
        <v>92</v>
      </c>
      <c r="C36" s="131" t="s">
        <v>34</v>
      </c>
      <c r="D36" s="141">
        <f t="shared" ca="1" si="2"/>
        <v>35</v>
      </c>
      <c r="E36" s="30">
        <f ca="1">VLOOKUP(A36,Rankings!B1:H651,6,FALSE)+(RAND()*0.00001)</f>
        <v>184.23333907961012</v>
      </c>
      <c r="F36" s="30">
        <f ca="1">E36-VLOOKUP(Settings!$K$9,D$2:E$91,2,FALSE)</f>
        <v>-66.866665487376991</v>
      </c>
      <c r="G36" s="141">
        <f t="shared" ca="1" si="3"/>
        <v>53</v>
      </c>
      <c r="H36" s="30">
        <f ca="1">VLOOKUP(A36,Rankings!B1:H651,7,FALSE)+(RAND()*0.00001)</f>
        <v>-1.2438301262540552</v>
      </c>
      <c r="I36" s="30">
        <f ca="1">H36-VLOOKUP(Settings!$K$9,G$2:H$91,2,FALSE)</f>
        <v>-2.8149011760591431</v>
      </c>
    </row>
    <row r="37" spans="1:9" ht="18.600000000000001" customHeight="1">
      <c r="A37" s="25" t="s">
        <v>361</v>
      </c>
      <c r="B37" s="26" t="s">
        <v>82</v>
      </c>
      <c r="C37" s="131" t="s">
        <v>34</v>
      </c>
      <c r="D37" s="141">
        <f t="shared" ca="1" si="2"/>
        <v>36</v>
      </c>
      <c r="E37" s="30">
        <f ca="1">VLOOKUP(A37,Rankings!B1:H651,6,FALSE)+(RAND()*0.00001)</f>
        <v>180.33333915552009</v>
      </c>
      <c r="F37" s="30">
        <f ca="1">E37-VLOOKUP(Settings!$K$9,D$2:E$91,2,FALSE)</f>
        <v>-70.766665411467017</v>
      </c>
      <c r="G37" s="141">
        <f t="shared" ca="1" si="3"/>
        <v>23</v>
      </c>
      <c r="H37" s="30">
        <f ca="1">VLOOKUP(A37,Rankings!B1:H651,7,FALSE)+(RAND()*0.00001)</f>
        <v>1.2396979104242853</v>
      </c>
      <c r="I37" s="30">
        <f ca="1">H37-VLOOKUP(Settings!$K$9,G$2:H$91,2,FALSE)</f>
        <v>-0.33137313938080237</v>
      </c>
    </row>
    <row r="38" spans="1:9" ht="18.600000000000001" customHeight="1">
      <c r="A38" s="25" t="s">
        <v>658</v>
      </c>
      <c r="B38" s="26" t="s">
        <v>136</v>
      </c>
      <c r="C38" s="131" t="s">
        <v>34</v>
      </c>
      <c r="D38" s="141">
        <f t="shared" ca="1" si="2"/>
        <v>37</v>
      </c>
      <c r="E38" s="30">
        <f ca="1">VLOOKUP(A38,Rankings!B1:H651,6,FALSE)+(RAND()*0.00001)</f>
        <v>180.03333607970742</v>
      </c>
      <c r="F38" s="30">
        <f ca="1">E38-VLOOKUP(Settings!$K$9,D$2:E$91,2,FALSE)</f>
        <v>-71.066668487279685</v>
      </c>
      <c r="G38" s="141">
        <f t="shared" ca="1" si="3"/>
        <v>88</v>
      </c>
      <c r="H38" s="30">
        <f ca="1">VLOOKUP(A38,Rankings!B1:H651,7,FALSE)+(RAND()*0.00001)</f>
        <v>-3.0220821588634417</v>
      </c>
      <c r="I38" s="30">
        <f ca="1">H38-VLOOKUP(Settings!$K$9,G$2:H$91,2,FALSE)</f>
        <v>-4.5931532086685296</v>
      </c>
    </row>
    <row r="39" spans="1:9" ht="18.600000000000001" customHeight="1">
      <c r="A39" s="25" t="s">
        <v>355</v>
      </c>
      <c r="B39" s="26" t="s">
        <v>103</v>
      </c>
      <c r="C39" s="131" t="s">
        <v>34</v>
      </c>
      <c r="D39" s="141">
        <f t="shared" ca="1" si="2"/>
        <v>38</v>
      </c>
      <c r="E39" s="30">
        <f ca="1">VLOOKUP(A39,Rankings!B1:H651,6,FALSE)+(RAND()*0.00001)</f>
        <v>178.45000258862817</v>
      </c>
      <c r="F39" s="30">
        <f ca="1">E39-VLOOKUP(Settings!$K$9,D$2:E$91,2,FALSE)</f>
        <v>-72.650001978358944</v>
      </c>
      <c r="G39" s="141">
        <f t="shared" ca="1" si="3"/>
        <v>22</v>
      </c>
      <c r="H39" s="30">
        <f ca="1">VLOOKUP(A39,Rankings!B1:H651,7,FALSE)+(RAND()*0.00001)</f>
        <v>1.352744375618717</v>
      </c>
      <c r="I39" s="30">
        <f ca="1">H39-VLOOKUP(Settings!$K$9,G$2:H$91,2,FALSE)</f>
        <v>-0.21832667418637075</v>
      </c>
    </row>
    <row r="40" spans="1:9" ht="18.600000000000001" customHeight="1">
      <c r="A40" s="25" t="s">
        <v>484</v>
      </c>
      <c r="B40" s="26" t="s">
        <v>72</v>
      </c>
      <c r="C40" s="131" t="s">
        <v>34</v>
      </c>
      <c r="D40" s="141">
        <f t="shared" ca="1" si="2"/>
        <v>39</v>
      </c>
      <c r="E40" s="30">
        <f ca="1">VLOOKUP(A40,Rankings!B1:H651,6,FALSE)+(RAND()*0.00001)</f>
        <v>174.40000065519212</v>
      </c>
      <c r="F40" s="30">
        <f ca="1">E40-VLOOKUP(Settings!$K$9,D$2:E$91,2,FALSE)</f>
        <v>-76.700003911794994</v>
      </c>
      <c r="G40" s="141">
        <f t="shared" ca="1" si="3"/>
        <v>38</v>
      </c>
      <c r="H40" s="30">
        <f ca="1">VLOOKUP(A40,Rankings!B1:H651,7,FALSE)+(RAND()*0.00001)</f>
        <v>-0.70736820764392705</v>
      </c>
      <c r="I40" s="30">
        <f ca="1">H40-VLOOKUP(Settings!$K$9,G$2:H$91,2,FALSE)</f>
        <v>-2.2784392574490147</v>
      </c>
    </row>
    <row r="41" spans="1:9" ht="18.600000000000001" customHeight="1">
      <c r="A41" s="25" t="s">
        <v>685</v>
      </c>
      <c r="B41" s="26" t="s">
        <v>85</v>
      </c>
      <c r="C41" s="131" t="s">
        <v>34</v>
      </c>
      <c r="D41" s="141">
        <f t="shared" ca="1" si="2"/>
        <v>40</v>
      </c>
      <c r="E41" s="30">
        <f ca="1">VLOOKUP(A41,Rankings!B1:H651,6,FALSE)+(RAND()*0.00001)</f>
        <v>173.0166685537387</v>
      </c>
      <c r="F41" s="30">
        <f ca="1">E41-VLOOKUP(Settings!$K$9,D$2:E$91,2,FALSE)</f>
        <v>-78.083336013248413</v>
      </c>
      <c r="G41" s="141">
        <f t="shared" ca="1" si="3"/>
        <v>90</v>
      </c>
      <c r="H41" s="30">
        <f ca="1">VLOOKUP(A41,Rankings!B1:H651,7,FALSE)+(RAND()*0.00001)</f>
        <v>-3.4678618958388094</v>
      </c>
      <c r="I41" s="30">
        <f ca="1">H41-VLOOKUP(Settings!$K$9,G$2:H$91,2,FALSE)</f>
        <v>-5.0389329456438974</v>
      </c>
    </row>
    <row r="42" spans="1:9" ht="20.100000000000001" customHeight="1">
      <c r="A42" s="25" t="s">
        <v>436</v>
      </c>
      <c r="B42" s="26" t="s">
        <v>74</v>
      </c>
      <c r="C42" s="131" t="s">
        <v>34</v>
      </c>
      <c r="D42" s="141">
        <f t="shared" ca="1" si="2"/>
        <v>41</v>
      </c>
      <c r="E42" s="30">
        <f ca="1">VLOOKUP(A42,Rankings!B1:H651,6,FALSE)+(RAND()*0.00001)</f>
        <v>172.70000692611961</v>
      </c>
      <c r="F42" s="30">
        <f ca="1">E42-VLOOKUP(Settings!$K$9,D$2:E$91,2,FALSE)</f>
        <v>-78.399997640867497</v>
      </c>
      <c r="G42" s="141">
        <f t="shared" ca="1" si="3"/>
        <v>29</v>
      </c>
      <c r="H42" s="30">
        <f ca="1">VLOOKUP(A42,Rankings!B1:H651,7,FALSE)+(RAND()*0.00001)</f>
        <v>-0.16235529745469041</v>
      </c>
      <c r="I42" s="30">
        <f ca="1">H42-VLOOKUP(Settings!$K$9,G$2:H$91,2,FALSE)</f>
        <v>-1.7334263472597782</v>
      </c>
    </row>
    <row r="43" spans="1:9" ht="18.600000000000001" customHeight="1">
      <c r="A43" s="25" t="s">
        <v>540</v>
      </c>
      <c r="B43" s="26" t="s">
        <v>142</v>
      </c>
      <c r="C43" s="131" t="s">
        <v>34</v>
      </c>
      <c r="D43" s="141">
        <f t="shared" ca="1" si="2"/>
        <v>42</v>
      </c>
      <c r="E43" s="30">
        <f ca="1">VLOOKUP(A43,Rankings!B1:H651,6,FALSE)+(RAND()*0.00001)</f>
        <v>171.80000428606681</v>
      </c>
      <c r="F43" s="30">
        <f ca="1">E43-VLOOKUP(Settings!$K$9,D$2:E$91,2,FALSE)</f>
        <v>-79.300000280920301</v>
      </c>
      <c r="G43" s="141">
        <f t="shared" ca="1" si="3"/>
        <v>58</v>
      </c>
      <c r="H43" s="30">
        <f ca="1">VLOOKUP(A43,Rankings!B1:H651,7,FALSE)+(RAND()*0.00001)</f>
        <v>-1.3609917961699571</v>
      </c>
      <c r="I43" s="30">
        <f ca="1">H43-VLOOKUP(Settings!$K$9,G$2:H$91,2,FALSE)</f>
        <v>-2.9320628459750449</v>
      </c>
    </row>
    <row r="44" spans="1:9" ht="20.100000000000001" customHeight="1">
      <c r="A44" s="25" t="s">
        <v>601</v>
      </c>
      <c r="B44" s="26" t="s">
        <v>119</v>
      </c>
      <c r="C44" s="131" t="s">
        <v>34</v>
      </c>
      <c r="D44" s="141">
        <f t="shared" ca="1" si="2"/>
        <v>43</v>
      </c>
      <c r="E44" s="30">
        <f ca="1">VLOOKUP(A44,Rankings!B1:H651,6,FALSE)+(RAND()*0.00001)</f>
        <v>170.43333609894489</v>
      </c>
      <c r="F44" s="30">
        <f ca="1">E44-VLOOKUP(Settings!$K$9,D$2:E$91,2,FALSE)</f>
        <v>-80.666668468042218</v>
      </c>
      <c r="G44" s="141">
        <f t="shared" ca="1" si="3"/>
        <v>76</v>
      </c>
      <c r="H44" s="30">
        <f ca="1">VLOOKUP(A44,Rankings!B1:H651,7,FALSE)+(RAND()*0.00001)</f>
        <v>-2.0187975226796935</v>
      </c>
      <c r="I44" s="30">
        <f ca="1">H44-VLOOKUP(Settings!$K$9,G$2:H$91,2,FALSE)</f>
        <v>-3.5898685724847814</v>
      </c>
    </row>
    <row r="45" spans="1:9" ht="18.600000000000001" customHeight="1">
      <c r="A45" s="25" t="s">
        <v>243</v>
      </c>
      <c r="B45" s="26" t="s">
        <v>116</v>
      </c>
      <c r="C45" s="131" t="s">
        <v>34</v>
      </c>
      <c r="D45" s="141">
        <f t="shared" ca="1" si="2"/>
        <v>44</v>
      </c>
      <c r="E45" s="30">
        <f ca="1">VLOOKUP(A45,Rankings!B1:H651,6,FALSE)+(RAND()*0.00001)</f>
        <v>170.31667199539882</v>
      </c>
      <c r="F45" s="30">
        <f ca="1">E45-VLOOKUP(Settings!$K$9,D$2:E$91,2,FALSE)</f>
        <v>-80.783332571588289</v>
      </c>
      <c r="G45" s="141">
        <f t="shared" ca="1" si="3"/>
        <v>12</v>
      </c>
      <c r="H45" s="30">
        <f ca="1">VLOOKUP(A45,Rankings!B1:H651,7,FALSE)+(RAND()*0.00001)</f>
        <v>3.1802675692010292</v>
      </c>
      <c r="I45" s="30">
        <f ca="1">H45-VLOOKUP(Settings!$K$9,G$2:H$91,2,FALSE)</f>
        <v>1.6091965193959414</v>
      </c>
    </row>
    <row r="46" spans="1:9" ht="18.600000000000001" customHeight="1">
      <c r="A46" s="25" t="s">
        <v>517</v>
      </c>
      <c r="B46" s="26" t="s">
        <v>79</v>
      </c>
      <c r="C46" s="131" t="s">
        <v>34</v>
      </c>
      <c r="D46" s="141">
        <f t="shared" ca="1" si="2"/>
        <v>45</v>
      </c>
      <c r="E46" s="30">
        <f ca="1">VLOOKUP(A46,Rankings!B1:H651,6,FALSE)+(RAND()*0.00001)</f>
        <v>169.81666861604845</v>
      </c>
      <c r="F46" s="30">
        <f ca="1">E46-VLOOKUP(Settings!$K$9,D$2:E$91,2,FALSE)</f>
        <v>-81.283335950938664</v>
      </c>
      <c r="G46" s="141">
        <f t="shared" ca="1" si="3"/>
        <v>48</v>
      </c>
      <c r="H46" s="30">
        <f ca="1">VLOOKUP(A46,Rankings!B1:H651,7,FALSE)+(RAND()*0.00001)</f>
        <v>-1.1452877167165183</v>
      </c>
      <c r="I46" s="30">
        <f ca="1">H46-VLOOKUP(Settings!$K$9,G$2:H$91,2,FALSE)</f>
        <v>-2.7163587665216058</v>
      </c>
    </row>
    <row r="47" spans="1:9" ht="18.600000000000001" customHeight="1">
      <c r="A47" s="25" t="s">
        <v>469</v>
      </c>
      <c r="B47" s="26" t="s">
        <v>72</v>
      </c>
      <c r="C47" s="131" t="s">
        <v>34</v>
      </c>
      <c r="D47" s="141">
        <f t="shared" ca="1" si="2"/>
        <v>46</v>
      </c>
      <c r="E47" s="30">
        <f ca="1">VLOOKUP(A47,Rankings!B1:H651,6,FALSE)+(RAND()*0.00001)</f>
        <v>169.46667156265028</v>
      </c>
      <c r="F47" s="30">
        <f ca="1">E47-VLOOKUP(Settings!$K$9,D$2:E$91,2,FALSE)</f>
        <v>-81.633333004336833</v>
      </c>
      <c r="G47" s="141">
        <f t="shared" ca="1" si="3"/>
        <v>35</v>
      </c>
      <c r="H47" s="30">
        <f ca="1">VLOOKUP(A47,Rankings!B1:H651,7,FALSE)+(RAND()*0.00001)</f>
        <v>-0.51218998456407783</v>
      </c>
      <c r="I47" s="30">
        <f ca="1">H47-VLOOKUP(Settings!$K$9,G$2:H$91,2,FALSE)</f>
        <v>-2.0832610343691655</v>
      </c>
    </row>
    <row r="48" spans="1:9" ht="18.600000000000001" customHeight="1">
      <c r="A48" s="25" t="s">
        <v>410</v>
      </c>
      <c r="B48" s="26" t="s">
        <v>64</v>
      </c>
      <c r="C48" s="131" t="s">
        <v>34</v>
      </c>
      <c r="D48" s="141">
        <f t="shared" ca="1" si="2"/>
        <v>47</v>
      </c>
      <c r="E48" s="30">
        <f ca="1">VLOOKUP(A48,Rankings!B1:H651,6,FALSE)+(RAND()*0.00001)</f>
        <v>169.35000457033064</v>
      </c>
      <c r="F48" s="30">
        <f ca="1">E48-VLOOKUP(Settings!$K$9,D$2:E$91,2,FALSE)</f>
        <v>-81.74999999665647</v>
      </c>
      <c r="G48" s="141">
        <f t="shared" ca="1" si="3"/>
        <v>26</v>
      </c>
      <c r="H48" s="30">
        <f ca="1">VLOOKUP(A48,Rankings!B1:H651,7,FALSE)+(RAND()*0.00001)</f>
        <v>0.49529651859030049</v>
      </c>
      <c r="I48" s="30">
        <f ca="1">H48-VLOOKUP(Settings!$K$9,G$2:H$91,2,FALSE)</f>
        <v>-1.0757745312147873</v>
      </c>
    </row>
    <row r="49" spans="1:9" ht="18.600000000000001" customHeight="1">
      <c r="A49" s="25" t="s">
        <v>577</v>
      </c>
      <c r="B49" s="26" t="s">
        <v>85</v>
      </c>
      <c r="C49" s="131" t="s">
        <v>34</v>
      </c>
      <c r="D49" s="141">
        <f t="shared" ca="1" si="2"/>
        <v>48</v>
      </c>
      <c r="E49" s="30">
        <f ca="1">VLOOKUP(A49,Rankings!B1:H651,6,FALSE)+(RAND()*0.00001)</f>
        <v>166.14600799429496</v>
      </c>
      <c r="F49" s="30">
        <f ca="1">E49-VLOOKUP(Settings!$K$9,D$2:E$91,2,FALSE)</f>
        <v>-84.953996572692148</v>
      </c>
      <c r="G49" s="141">
        <f t="shared" ca="1" si="3"/>
        <v>68</v>
      </c>
      <c r="H49" s="30">
        <f ca="1">VLOOKUP(A49,Rankings!B1:H651,7,FALSE)+(RAND()*0.00001)</f>
        <v>-1.8424873252489518</v>
      </c>
      <c r="I49" s="30">
        <f ca="1">H49-VLOOKUP(Settings!$K$9,G$2:H$91,2,FALSE)</f>
        <v>-3.4135583750540395</v>
      </c>
    </row>
    <row r="50" spans="1:9" ht="18.600000000000001" customHeight="1">
      <c r="A50" s="25" t="s">
        <v>533</v>
      </c>
      <c r="B50" s="26" t="s">
        <v>97</v>
      </c>
      <c r="C50" s="131" t="s">
        <v>34</v>
      </c>
      <c r="D50" s="141">
        <f t="shared" ca="1" si="2"/>
        <v>50</v>
      </c>
      <c r="E50" s="30">
        <f ca="1">VLOOKUP(A50,Rankings!B1:H651,6,FALSE)+(RAND()*0.00001)</f>
        <v>164.11667653619315</v>
      </c>
      <c r="F50" s="30">
        <f ca="1">E50-VLOOKUP(Settings!$K$9,D$2:E$91,2,FALSE)</f>
        <v>-86.983328030793956</v>
      </c>
      <c r="G50" s="141">
        <f t="shared" ca="1" si="3"/>
        <v>54</v>
      </c>
      <c r="H50" s="30">
        <f ca="1">VLOOKUP(A50,Rankings!B1:H651,7,FALSE)+(RAND()*0.00001)</f>
        <v>-1.281142599101734</v>
      </c>
      <c r="I50" s="30">
        <f ca="1">H50-VLOOKUP(Settings!$K$9,G$2:H$91,2,FALSE)</f>
        <v>-2.8522136489068215</v>
      </c>
    </row>
    <row r="51" spans="1:9" ht="18.600000000000001" customHeight="1">
      <c r="A51" s="25" t="s">
        <v>579</v>
      </c>
      <c r="B51" s="26" t="s">
        <v>103</v>
      </c>
      <c r="C51" s="131" t="s">
        <v>34</v>
      </c>
      <c r="D51" s="141">
        <f t="shared" ca="1" si="2"/>
        <v>51</v>
      </c>
      <c r="E51" s="30">
        <f ca="1">VLOOKUP(A51,Rankings!B1:H651,6,FALSE)+(RAND()*0.00001)</f>
        <v>163.63334269210134</v>
      </c>
      <c r="F51" s="30">
        <f ca="1">E51-VLOOKUP(Settings!$K$9,D$2:E$91,2,FALSE)</f>
        <v>-87.466661874885773</v>
      </c>
      <c r="G51" s="141">
        <f t="shared" ca="1" si="3"/>
        <v>69</v>
      </c>
      <c r="H51" s="30">
        <f ca="1">VLOOKUP(A51,Rankings!B1:H651,7,FALSE)+(RAND()*0.00001)</f>
        <v>-1.8631796986246381</v>
      </c>
      <c r="I51" s="30">
        <f ca="1">H51-VLOOKUP(Settings!$K$9,G$2:H$91,2,FALSE)</f>
        <v>-3.4342507484297258</v>
      </c>
    </row>
    <row r="52" spans="1:9" ht="18.600000000000001" customHeight="1">
      <c r="A52" s="25" t="s">
        <v>580</v>
      </c>
      <c r="B52" s="26" t="s">
        <v>77</v>
      </c>
      <c r="C52" s="131" t="s">
        <v>34</v>
      </c>
      <c r="D52" s="141">
        <f t="shared" ca="1" si="2"/>
        <v>52</v>
      </c>
      <c r="E52" s="30">
        <f ca="1">VLOOKUP(A52,Rankings!B1:H651,6,FALSE)+(RAND()*0.00001)</f>
        <v>163.50000885249563</v>
      </c>
      <c r="F52" s="30">
        <f ca="1">E52-VLOOKUP(Settings!$K$9,D$2:E$91,2,FALSE)</f>
        <v>-87.599995714491484</v>
      </c>
      <c r="G52" s="141">
        <f t="shared" ca="1" si="3"/>
        <v>70</v>
      </c>
      <c r="H52" s="30">
        <f ca="1">VLOOKUP(A52,Rankings!B1:H651,7,FALSE)+(RAND()*0.00001)</f>
        <v>-1.8685206036261732</v>
      </c>
      <c r="I52" s="30">
        <f ca="1">H52-VLOOKUP(Settings!$K$9,G$2:H$91,2,FALSE)</f>
        <v>-3.4395916534312612</v>
      </c>
    </row>
    <row r="53" spans="1:9" ht="18.600000000000001" customHeight="1">
      <c r="A53" s="25" t="s">
        <v>367</v>
      </c>
      <c r="B53" s="26" t="s">
        <v>74</v>
      </c>
      <c r="C53" s="131" t="s">
        <v>34</v>
      </c>
      <c r="D53" s="141">
        <f t="shared" ca="1" si="2"/>
        <v>53</v>
      </c>
      <c r="E53" s="30">
        <f ca="1">VLOOKUP(A53,Rankings!B1:H651,6,FALSE)+(RAND()*0.00001)</f>
        <v>163.08334048900375</v>
      </c>
      <c r="F53" s="30">
        <f ca="1">E53-VLOOKUP(Settings!$K$9,D$2:E$91,2,FALSE)</f>
        <v>-88.016664077983364</v>
      </c>
      <c r="G53" s="141">
        <f t="shared" ca="1" si="3"/>
        <v>24</v>
      </c>
      <c r="H53" s="30">
        <f ca="1">VLOOKUP(A53,Rankings!B1:H651,7,FALSE)+(RAND()*0.00001)</f>
        <v>1.0164800348341241</v>
      </c>
      <c r="I53" s="30">
        <f ca="1">H53-VLOOKUP(Settings!$K$9,G$2:H$91,2,FALSE)</f>
        <v>-0.55459101497096364</v>
      </c>
    </row>
    <row r="54" spans="1:9" ht="18.600000000000001" customHeight="1">
      <c r="A54" s="25" t="s">
        <v>510</v>
      </c>
      <c r="B54" s="26" t="s">
        <v>97</v>
      </c>
      <c r="C54" s="131" t="s">
        <v>34</v>
      </c>
      <c r="D54" s="141">
        <f t="shared" ca="1" si="2"/>
        <v>54</v>
      </c>
      <c r="E54" s="30">
        <f ca="1">VLOOKUP(A54,Rankings!B1:H651,6,FALSE)+(RAND()*0.00001)</f>
        <v>161.30000454778448</v>
      </c>
      <c r="F54" s="30">
        <f ca="1">E54-VLOOKUP(Settings!$K$9,D$2:E$91,2,FALSE)</f>
        <v>-89.800000019202628</v>
      </c>
      <c r="G54" s="141">
        <f t="shared" ca="1" si="3"/>
        <v>45</v>
      </c>
      <c r="H54" s="30">
        <f ca="1">VLOOKUP(A54,Rankings!B1:H651,7,FALSE)+(RAND()*0.00001)</f>
        <v>-1.0547315536458228</v>
      </c>
      <c r="I54" s="30">
        <f ca="1">H54-VLOOKUP(Settings!$K$9,G$2:H$91,2,FALSE)</f>
        <v>-2.6258026034509108</v>
      </c>
    </row>
    <row r="55" spans="1:9" ht="18.600000000000001" customHeight="1">
      <c r="A55" s="25" t="s">
        <v>492</v>
      </c>
      <c r="B55" s="26" t="s">
        <v>77</v>
      </c>
      <c r="C55" s="131" t="s">
        <v>34</v>
      </c>
      <c r="D55" s="141">
        <f t="shared" ca="1" si="2"/>
        <v>55</v>
      </c>
      <c r="E55" s="30">
        <f ca="1">VLOOKUP(A55,Rankings!B1:H651,6,FALSE)+(RAND()*0.00001)</f>
        <v>161.28333373540991</v>
      </c>
      <c r="F55" s="30">
        <f ca="1">E55-VLOOKUP(Settings!$K$9,D$2:E$91,2,FALSE)</f>
        <v>-89.816670831577198</v>
      </c>
      <c r="G55" s="141">
        <f t="shared" ca="1" si="3"/>
        <v>39</v>
      </c>
      <c r="H55" s="30">
        <f ca="1">VLOOKUP(A55,Rankings!B1:H651,7,FALSE)+(RAND()*0.00001)</f>
        <v>-0.79855905195716481</v>
      </c>
      <c r="I55" s="30">
        <f ca="1">H55-VLOOKUP(Settings!$K$9,G$2:H$91,2,FALSE)</f>
        <v>-2.3696301017622527</v>
      </c>
    </row>
    <row r="56" spans="1:9" ht="18.600000000000001" customHeight="1">
      <c r="A56" s="25" t="s">
        <v>588</v>
      </c>
      <c r="B56" s="26" t="s">
        <v>309</v>
      </c>
      <c r="C56" s="131" t="s">
        <v>34</v>
      </c>
      <c r="D56" s="141">
        <f t="shared" ca="1" si="2"/>
        <v>56</v>
      </c>
      <c r="E56" s="30">
        <f ca="1">VLOOKUP(A56,Rankings!B1:H651,6,FALSE)+(RAND()*0.00001)</f>
        <v>159.7000098693151</v>
      </c>
      <c r="F56" s="30">
        <f ca="1">E56-VLOOKUP(Settings!$K$9,D$2:E$91,2,FALSE)</f>
        <v>-91.399994697672014</v>
      </c>
      <c r="G56" s="141">
        <f t="shared" ca="1" si="3"/>
        <v>73</v>
      </c>
      <c r="H56" s="30">
        <f ca="1">VLOOKUP(A56,Rankings!B1:H651,7,FALSE)+(RAND()*0.00001)</f>
        <v>-1.9428952955040735</v>
      </c>
      <c r="I56" s="30">
        <f ca="1">H56-VLOOKUP(Settings!$K$9,G$2:H$91,2,FALSE)</f>
        <v>-3.5139663453091612</v>
      </c>
    </row>
    <row r="57" spans="1:9" ht="20.100000000000001" customHeight="1">
      <c r="A57" s="25" t="s">
        <v>526</v>
      </c>
      <c r="B57" s="26" t="s">
        <v>105</v>
      </c>
      <c r="C57" s="131" t="s">
        <v>34</v>
      </c>
      <c r="D57" s="141">
        <f t="shared" ca="1" si="2"/>
        <v>49</v>
      </c>
      <c r="E57" s="30">
        <f ca="1">VLOOKUP(A57,Rankings!B1:H651,6,FALSE)+(RAND()*0.00001)</f>
        <v>165.08334103914063</v>
      </c>
      <c r="F57" s="30">
        <f ca="1">E57-VLOOKUP(Settings!$K$9,D$2:E$91,2,FALSE)</f>
        <v>-86.016663527846475</v>
      </c>
      <c r="G57" s="141">
        <f t="shared" ca="1" si="3"/>
        <v>51</v>
      </c>
      <c r="H57" s="30">
        <f ca="1">VLOOKUP(A57,Rankings!B1:H651,7,FALSE)+(RAND()*0.00001)</f>
        <v>-1.2028381591767803</v>
      </c>
      <c r="I57" s="30">
        <f ca="1">H57-VLOOKUP(Settings!$K$9,G$2:H$91,2,FALSE)</f>
        <v>-2.773909208981868</v>
      </c>
    </row>
    <row r="58" spans="1:9" ht="18.600000000000001" customHeight="1">
      <c r="A58" s="25" t="s">
        <v>506</v>
      </c>
      <c r="B58" s="26" t="s">
        <v>82</v>
      </c>
      <c r="C58" s="131" t="s">
        <v>34</v>
      </c>
      <c r="D58" s="141">
        <f t="shared" ca="1" si="2"/>
        <v>57</v>
      </c>
      <c r="E58" s="30">
        <f ca="1">VLOOKUP(A58,Rankings!B1:H651,6,FALSE)+(RAND()*0.00001)</f>
        <v>158.63800326085899</v>
      </c>
      <c r="F58" s="30">
        <f ca="1">E58-VLOOKUP(Settings!$K$9,D$2:E$91,2,FALSE)</f>
        <v>-92.462001306128116</v>
      </c>
      <c r="G58" s="141">
        <f t="shared" ca="1" si="3"/>
        <v>43</v>
      </c>
      <c r="H58" s="30">
        <f ca="1">VLOOKUP(A58,Rankings!B1:H651,7,FALSE)+(RAND()*0.00001)</f>
        <v>-0.98404272770924095</v>
      </c>
      <c r="I58" s="30">
        <f ca="1">H58-VLOOKUP(Settings!$K$9,G$2:H$91,2,FALSE)</f>
        <v>-2.5551137775143289</v>
      </c>
    </row>
    <row r="59" spans="1:9" ht="18.600000000000001" customHeight="1">
      <c r="A59" s="25" t="s">
        <v>633</v>
      </c>
      <c r="B59" s="26" t="s">
        <v>85</v>
      </c>
      <c r="C59" s="131" t="s">
        <v>34</v>
      </c>
      <c r="D59" s="141">
        <f t="shared" ca="1" si="2"/>
        <v>58</v>
      </c>
      <c r="E59" s="30">
        <f ca="1">VLOOKUP(A59,Rankings!B1:H651,6,FALSE)+(RAND()*0.00001)</f>
        <v>155.35867313751802</v>
      </c>
      <c r="F59" s="30">
        <f ca="1">E59-VLOOKUP(Settings!$K$9,D$2:E$91,2,FALSE)</f>
        <v>-95.741331429469085</v>
      </c>
      <c r="G59" s="141">
        <f t="shared" ca="1" si="3"/>
        <v>86</v>
      </c>
      <c r="H59" s="30">
        <f ca="1">VLOOKUP(A59,Rankings!B1:H651,7,FALSE)+(RAND()*0.00001)</f>
        <v>-2.5030669954862348</v>
      </c>
      <c r="I59" s="30">
        <f ca="1">H59-VLOOKUP(Settings!$K$9,G$2:H$91,2,FALSE)</f>
        <v>-4.0741380452913223</v>
      </c>
    </row>
    <row r="60" spans="1:9" ht="18.600000000000001" customHeight="1">
      <c r="A60" s="25" t="s">
        <v>606</v>
      </c>
      <c r="B60" s="26" t="s">
        <v>103</v>
      </c>
      <c r="C60" s="131" t="s">
        <v>34</v>
      </c>
      <c r="D60" s="141">
        <f t="shared" ca="1" si="2"/>
        <v>59</v>
      </c>
      <c r="E60" s="30">
        <f ca="1">VLOOKUP(A60,Rankings!B1:H651,6,FALSE)+(RAND()*0.00001)</f>
        <v>153.53333612745243</v>
      </c>
      <c r="F60" s="30">
        <f ca="1">E60-VLOOKUP(Settings!$K$9,D$2:E$91,2,FALSE)</f>
        <v>-97.566668439534681</v>
      </c>
      <c r="G60" s="141">
        <f t="shared" ca="1" si="3"/>
        <v>80</v>
      </c>
      <c r="H60" s="30">
        <f ca="1">VLOOKUP(A60,Rankings!B1:H651,7,FALSE)+(RAND()*0.00001)</f>
        <v>-2.1174120892362329</v>
      </c>
      <c r="I60" s="30">
        <f ca="1">H60-VLOOKUP(Settings!$K$9,G$2:H$91,2,FALSE)</f>
        <v>-3.6884831390413204</v>
      </c>
    </row>
    <row r="61" spans="1:9" ht="20.100000000000001" customHeight="1">
      <c r="A61" s="25" t="s">
        <v>535</v>
      </c>
      <c r="B61" s="26" t="s">
        <v>87</v>
      </c>
      <c r="C61" s="131" t="s">
        <v>34</v>
      </c>
      <c r="D61" s="141">
        <f t="shared" ca="1" si="2"/>
        <v>60</v>
      </c>
      <c r="E61" s="30">
        <f ca="1">VLOOKUP(A61,Rankings!B1:H651,6,FALSE)+(RAND()*0.00001)</f>
        <v>149.08333559155813</v>
      </c>
      <c r="F61" s="30">
        <f ca="1">E61-VLOOKUP(Settings!$K$9,D$2:E$91,2,FALSE)</f>
        <v>-102.01666897542898</v>
      </c>
      <c r="G61" s="141">
        <f t="shared" ca="1" si="3"/>
        <v>56</v>
      </c>
      <c r="H61" s="30">
        <f ca="1">VLOOKUP(A61,Rankings!B1:H651,7,FALSE)+(RAND()*0.00001)</f>
        <v>-1.3046308562620577</v>
      </c>
      <c r="I61" s="30">
        <f ca="1">H61-VLOOKUP(Settings!$K$9,G$2:H$91,2,FALSE)</f>
        <v>-2.8757019060671452</v>
      </c>
    </row>
    <row r="62" spans="1:9" ht="20.100000000000001" customHeight="1">
      <c r="A62" s="25" t="s">
        <v>576</v>
      </c>
      <c r="B62" s="26" t="s">
        <v>92</v>
      </c>
      <c r="C62" s="131" t="s">
        <v>34</v>
      </c>
      <c r="D62" s="141">
        <f t="shared" ca="1" si="2"/>
        <v>61</v>
      </c>
      <c r="E62" s="30">
        <f ca="1">VLOOKUP(A62,Rankings!B1:H651,6,FALSE)+(RAND()*0.00001)</f>
        <v>148.20000791004233</v>
      </c>
      <c r="F62" s="30">
        <f ca="1">E62-VLOOKUP(Settings!$K$9,D$2:E$91,2,FALSE)</f>
        <v>-102.89999665694478</v>
      </c>
      <c r="G62" s="141">
        <f t="shared" ca="1" si="3"/>
        <v>67</v>
      </c>
      <c r="H62" s="30">
        <f ca="1">VLOOKUP(A62,Rankings!B1:H651,7,FALSE)+(RAND()*0.00001)</f>
        <v>-1.8317675510632914</v>
      </c>
      <c r="I62" s="30">
        <f ca="1">H62-VLOOKUP(Settings!$K$9,G$2:H$91,2,FALSE)</f>
        <v>-3.4028386008683791</v>
      </c>
    </row>
    <row r="63" spans="1:9" ht="20.100000000000001" customHeight="1">
      <c r="A63" s="25" t="s">
        <v>663</v>
      </c>
      <c r="B63" s="26" t="s">
        <v>158</v>
      </c>
      <c r="C63" s="131" t="s">
        <v>34</v>
      </c>
      <c r="D63" s="141">
        <f t="shared" ca="1" si="2"/>
        <v>62</v>
      </c>
      <c r="E63" s="30">
        <f ca="1">VLOOKUP(A63,Rankings!B1:H651,6,FALSE)+(RAND()*0.00001)</f>
        <v>147.83334277826518</v>
      </c>
      <c r="F63" s="30">
        <f ca="1">E63-VLOOKUP(Settings!$K$9,D$2:E$91,2,FALSE)</f>
        <v>-103.26666178872193</v>
      </c>
      <c r="G63" s="141">
        <f t="shared" ca="1" si="3"/>
        <v>89</v>
      </c>
      <c r="H63" s="30">
        <f ca="1">VLOOKUP(A63,Rankings!B1:H651,7,FALSE)+(RAND()*0.00001)</f>
        <v>-3.0716617890365892</v>
      </c>
      <c r="I63" s="30">
        <f ca="1">H63-VLOOKUP(Settings!$K$9,G$2:H$91,2,FALSE)</f>
        <v>-4.6427328388416766</v>
      </c>
    </row>
    <row r="64" spans="1:9" ht="18.600000000000001" customHeight="1">
      <c r="A64" s="25" t="s">
        <v>573</v>
      </c>
      <c r="B64" s="26" t="s">
        <v>142</v>
      </c>
      <c r="C64" s="131" t="s">
        <v>34</v>
      </c>
      <c r="D64" s="141">
        <f t="shared" ca="1" si="2"/>
        <v>63</v>
      </c>
      <c r="E64" s="30">
        <f ca="1">VLOOKUP(A64,Rankings!B1:H651,6,FALSE)+(RAND()*0.00001)</f>
        <v>147.55000811394501</v>
      </c>
      <c r="F64" s="30">
        <f ca="1">E64-VLOOKUP(Settings!$K$9,D$2:E$91,2,FALSE)</f>
        <v>-103.5499964530421</v>
      </c>
      <c r="G64" s="141">
        <f t="shared" ca="1" si="3"/>
        <v>66</v>
      </c>
      <c r="H64" s="30">
        <f ca="1">VLOOKUP(A64,Rankings!B1:H651,7,FALSE)+(RAND()*0.00001)</f>
        <v>-1.7764703831773854</v>
      </c>
      <c r="I64" s="30">
        <f ca="1">H64-VLOOKUP(Settings!$K$9,G$2:H$91,2,FALSE)</f>
        <v>-3.3475414329824731</v>
      </c>
    </row>
    <row r="65" spans="1:9" ht="20.100000000000001" customHeight="1">
      <c r="A65" s="25" t="s">
        <v>564</v>
      </c>
      <c r="B65" s="26" t="s">
        <v>95</v>
      </c>
      <c r="C65" s="131" t="s">
        <v>34</v>
      </c>
      <c r="D65" s="141">
        <f t="shared" ca="1" si="2"/>
        <v>64</v>
      </c>
      <c r="E65" s="30">
        <f ca="1">VLOOKUP(A65,Rankings!B1:H651,6,FALSE)+(RAND()*0.00001)</f>
        <v>146.62334221438078</v>
      </c>
      <c r="F65" s="30">
        <f ca="1">E65-VLOOKUP(Settings!$K$9,D$2:E$91,2,FALSE)</f>
        <v>-104.47666235260633</v>
      </c>
      <c r="G65" s="141">
        <f t="shared" ca="1" si="3"/>
        <v>64</v>
      </c>
      <c r="H65" s="30">
        <f ca="1">VLOOKUP(A65,Rankings!B1:H651,7,FALSE)+(RAND()*0.00001)</f>
        <v>-1.5931275544693144</v>
      </c>
      <c r="I65" s="30">
        <f ca="1">H65-VLOOKUP(Settings!$K$9,G$2:H$91,2,FALSE)</f>
        <v>-3.1641986042744019</v>
      </c>
    </row>
    <row r="66" spans="1:9" ht="20.100000000000001" customHeight="1">
      <c r="A66" s="25" t="s">
        <v>509</v>
      </c>
      <c r="B66" s="26" t="s">
        <v>116</v>
      </c>
      <c r="C66" s="131" t="s">
        <v>34</v>
      </c>
      <c r="D66" s="141">
        <f t="shared" ref="D66:D91" ca="1" si="4">RANK(E66,E$2:E$91)</f>
        <v>65</v>
      </c>
      <c r="E66" s="30">
        <f ca="1">VLOOKUP(A66,Rankings!B1:H651,6,FALSE)+(RAND()*0.00001)</f>
        <v>146.45000639167492</v>
      </c>
      <c r="F66" s="30">
        <f ca="1">E66-VLOOKUP(Settings!$K$9,D$2:E$91,2,FALSE)</f>
        <v>-104.64999817531219</v>
      </c>
      <c r="G66" s="141">
        <f t="shared" ref="G66:G91" ca="1" si="5">RANK(H66,H$2:H$91)</f>
        <v>44</v>
      </c>
      <c r="H66" s="30">
        <f ca="1">VLOOKUP(A66,Rankings!B1:H651,7,FALSE)+(RAND()*0.00001)</f>
        <v>-1.0500388984744535</v>
      </c>
      <c r="I66" s="30">
        <f ca="1">H66-VLOOKUP(Settings!$K$9,G$2:H$91,2,FALSE)</f>
        <v>-2.6211099482795412</v>
      </c>
    </row>
    <row r="67" spans="1:9" ht="20.100000000000001" customHeight="1">
      <c r="A67" s="25" t="s">
        <v>600</v>
      </c>
      <c r="B67" s="26" t="s">
        <v>69</v>
      </c>
      <c r="C67" s="131" t="s">
        <v>34</v>
      </c>
      <c r="D67" s="141">
        <f t="shared" ca="1" si="4"/>
        <v>66</v>
      </c>
      <c r="E67" s="30">
        <f ca="1">VLOOKUP(A67,Rankings!B1:H651,6,FALSE)+(RAND()*0.00001)</f>
        <v>146.06267637363632</v>
      </c>
      <c r="F67" s="30">
        <f ca="1">E67-VLOOKUP(Settings!$K$9,D$2:E$91,2,FALSE)</f>
        <v>-105.03732819335079</v>
      </c>
      <c r="G67" s="141">
        <f t="shared" ca="1" si="5"/>
        <v>75</v>
      </c>
      <c r="H67" s="30">
        <f ca="1">VLOOKUP(A67,Rankings!B1:H651,7,FALSE)+(RAND()*0.00001)</f>
        <v>-2.0020612494668946</v>
      </c>
      <c r="I67" s="30">
        <f ca="1">H67-VLOOKUP(Settings!$K$9,G$2:H$91,2,FALSE)</f>
        <v>-3.5731322992719825</v>
      </c>
    </row>
    <row r="68" spans="1:9" ht="18.600000000000001" customHeight="1">
      <c r="A68" s="25" t="s">
        <v>499</v>
      </c>
      <c r="B68" s="26" t="s">
        <v>82</v>
      </c>
      <c r="C68" s="131" t="s">
        <v>34</v>
      </c>
      <c r="D68" s="141">
        <f t="shared" ca="1" si="4"/>
        <v>67</v>
      </c>
      <c r="E68" s="30">
        <f ca="1">VLOOKUP(A68,Rankings!B1:H651,6,FALSE)+(RAND()*0.00001)</f>
        <v>145.81667232746744</v>
      </c>
      <c r="F68" s="30">
        <f ca="1">E68-VLOOKUP(Settings!$K$9,D$2:E$91,2,FALSE)</f>
        <v>-105.28333223951967</v>
      </c>
      <c r="G68" s="141">
        <f t="shared" ca="1" si="5"/>
        <v>41</v>
      </c>
      <c r="H68" s="30">
        <f ca="1">VLOOKUP(A68,Rankings!B1:H651,7,FALSE)+(RAND()*0.00001)</f>
        <v>-0.87960544294500398</v>
      </c>
      <c r="I68" s="30">
        <f ca="1">H68-VLOOKUP(Settings!$K$9,G$2:H$91,2,FALSE)</f>
        <v>-2.4506764927500919</v>
      </c>
    </row>
    <row r="69" spans="1:9" ht="18.600000000000001" customHeight="1">
      <c r="A69" s="25" t="s">
        <v>551</v>
      </c>
      <c r="B69" s="26" t="s">
        <v>79</v>
      </c>
      <c r="C69" s="131" t="s">
        <v>34</v>
      </c>
      <c r="D69" s="141">
        <f t="shared" ca="1" si="4"/>
        <v>68</v>
      </c>
      <c r="E69" s="30">
        <f ca="1">VLOOKUP(A69,Rankings!B1:H651,6,FALSE)+(RAND()*0.00001)</f>
        <v>145.73333489017466</v>
      </c>
      <c r="F69" s="30">
        <f ca="1">E69-VLOOKUP(Settings!$K$9,D$2:E$91,2,FALSE)</f>
        <v>-105.36666967681245</v>
      </c>
      <c r="G69" s="141">
        <f t="shared" ca="1" si="5"/>
        <v>60</v>
      </c>
      <c r="H69" s="30">
        <f ca="1">VLOOKUP(A69,Rankings!B1:H651,7,FALSE)+(RAND()*0.00001)</f>
        <v>-1.4452956567770627</v>
      </c>
      <c r="I69" s="30">
        <f ca="1">H69-VLOOKUP(Settings!$K$9,G$2:H$91,2,FALSE)</f>
        <v>-3.0163667065821507</v>
      </c>
    </row>
    <row r="70" spans="1:9" ht="18.600000000000001" customHeight="1">
      <c r="A70" s="25" t="s">
        <v>612</v>
      </c>
      <c r="B70" s="26" t="s">
        <v>72</v>
      </c>
      <c r="C70" s="131" t="s">
        <v>34</v>
      </c>
      <c r="D70" s="141">
        <f t="shared" ca="1" si="4"/>
        <v>69</v>
      </c>
      <c r="E70" s="30">
        <f ca="1">VLOOKUP(A70,Rankings!B1:H651,6,FALSE)+(RAND()*0.00001)</f>
        <v>144.85000486126944</v>
      </c>
      <c r="F70" s="30">
        <f ca="1">E70-VLOOKUP(Settings!$K$9,D$2:E$91,2,FALSE)</f>
        <v>-106.24999970571767</v>
      </c>
      <c r="G70" s="141">
        <f t="shared" ca="1" si="5"/>
        <v>83</v>
      </c>
      <c r="H70" s="30">
        <f ca="1">VLOOKUP(A70,Rankings!B1:H651,7,FALSE)+(RAND()*0.00001)</f>
        <v>-2.1987692648154082</v>
      </c>
      <c r="I70" s="30">
        <f ca="1">H70-VLOOKUP(Settings!$K$9,G$2:H$91,2,FALSE)</f>
        <v>-3.7698403146204962</v>
      </c>
    </row>
    <row r="71" spans="1:9" ht="18.600000000000001" customHeight="1">
      <c r="A71" s="25" t="s">
        <v>555</v>
      </c>
      <c r="B71" s="26" t="s">
        <v>105</v>
      </c>
      <c r="C71" s="131" t="s">
        <v>34</v>
      </c>
      <c r="D71" s="141">
        <f t="shared" ca="1" si="4"/>
        <v>70</v>
      </c>
      <c r="E71" s="30">
        <f ca="1">VLOOKUP(A71,Rankings!B1:H651,6,FALSE)+(RAND()*0.00001)</f>
        <v>143.95000968764901</v>
      </c>
      <c r="F71" s="30">
        <f ca="1">E71-VLOOKUP(Settings!$K$9,D$2:E$91,2,FALSE)</f>
        <v>-107.1499948793381</v>
      </c>
      <c r="G71" s="141">
        <f t="shared" ca="1" si="5"/>
        <v>61</v>
      </c>
      <c r="H71" s="30">
        <f ca="1">VLOOKUP(A71,Rankings!B1:H651,7,FALSE)+(RAND()*0.00001)</f>
        <v>-1.4793862930727477</v>
      </c>
      <c r="I71" s="30">
        <f ca="1">H71-VLOOKUP(Settings!$K$9,G$2:H$91,2,FALSE)</f>
        <v>-3.0504573428778352</v>
      </c>
    </row>
    <row r="72" spans="1:9" ht="20.100000000000001" customHeight="1">
      <c r="A72" s="25" t="s">
        <v>497</v>
      </c>
      <c r="B72" s="26" t="s">
        <v>158</v>
      </c>
      <c r="C72" s="131" t="s">
        <v>34</v>
      </c>
      <c r="D72" s="141">
        <f t="shared" ca="1" si="4"/>
        <v>71</v>
      </c>
      <c r="E72" s="30">
        <f ca="1">VLOOKUP(A72,Rankings!B1:H651,6,FALSE)+(RAND()*0.00001)</f>
        <v>143.18334155045179</v>
      </c>
      <c r="F72" s="30">
        <f ca="1">E72-VLOOKUP(Settings!$K$9,D$2:E$91,2,FALSE)</f>
        <v>-107.91666301653532</v>
      </c>
      <c r="G72" s="141">
        <f t="shared" ca="1" si="5"/>
        <v>40</v>
      </c>
      <c r="H72" s="30">
        <f ca="1">VLOOKUP(A72,Rankings!B1:H651,7,FALSE)+(RAND()*0.00001)</f>
        <v>-0.85537984473273554</v>
      </c>
      <c r="I72" s="30">
        <f ca="1">H72-VLOOKUP(Settings!$K$9,G$2:H$91,2,FALSE)</f>
        <v>-2.4264508945378234</v>
      </c>
    </row>
    <row r="73" spans="1:9" ht="18.600000000000001" customHeight="1">
      <c r="A73" s="25" t="s">
        <v>537</v>
      </c>
      <c r="B73" s="26" t="s">
        <v>95</v>
      </c>
      <c r="C73" s="131" t="s">
        <v>34</v>
      </c>
      <c r="D73" s="141">
        <f t="shared" ca="1" si="4"/>
        <v>72</v>
      </c>
      <c r="E73" s="30">
        <f ca="1">VLOOKUP(A73,Rankings!B1:H651,6,FALSE)+(RAND()*0.00001)</f>
        <v>139.83267604541896</v>
      </c>
      <c r="F73" s="30">
        <f ca="1">E73-VLOOKUP(Settings!$K$9,D$2:E$91,2,FALSE)</f>
        <v>-111.26732852156815</v>
      </c>
      <c r="G73" s="141">
        <f t="shared" ca="1" si="5"/>
        <v>57</v>
      </c>
      <c r="H73" s="30">
        <f ca="1">VLOOKUP(A73,Rankings!B1:H651,7,FALSE)+(RAND()*0.00001)</f>
        <v>-1.3127650020084951</v>
      </c>
      <c r="I73" s="30">
        <f ca="1">H73-VLOOKUP(Settings!$K$9,G$2:H$91,2,FALSE)</f>
        <v>-2.8838360518135828</v>
      </c>
    </row>
    <row r="74" spans="1:9" ht="18.600000000000001" customHeight="1">
      <c r="A74" s="25" t="s">
        <v>521</v>
      </c>
      <c r="B74" s="26" t="s">
        <v>69</v>
      </c>
      <c r="C74" s="131" t="s">
        <v>34</v>
      </c>
      <c r="D74" s="141">
        <f t="shared" ca="1" si="4"/>
        <v>73</v>
      </c>
      <c r="E74" s="30">
        <f ca="1">VLOOKUP(A74,Rankings!B1:H651,6,FALSE)+(RAND()*0.00001)</f>
        <v>138.68333402259751</v>
      </c>
      <c r="F74" s="30">
        <f ca="1">E74-VLOOKUP(Settings!$K$9,D$2:E$91,2,FALSE)</f>
        <v>-112.4166705443896</v>
      </c>
      <c r="G74" s="141">
        <f t="shared" ca="1" si="5"/>
        <v>50</v>
      </c>
      <c r="H74" s="30">
        <f ca="1">VLOOKUP(A74,Rankings!B1:H651,7,FALSE)+(RAND()*0.00001)</f>
        <v>-1.1786280354026684</v>
      </c>
      <c r="I74" s="30">
        <f ca="1">H74-VLOOKUP(Settings!$K$9,G$2:H$91,2,FALSE)</f>
        <v>-2.7496990852077561</v>
      </c>
    </row>
    <row r="75" spans="1:9" ht="20.100000000000001" customHeight="1">
      <c r="A75" s="25" t="s">
        <v>581</v>
      </c>
      <c r="B75" s="26" t="s">
        <v>160</v>
      </c>
      <c r="C75" s="131" t="s">
        <v>34</v>
      </c>
      <c r="D75" s="141">
        <f t="shared" ca="1" si="4"/>
        <v>74</v>
      </c>
      <c r="E75" s="30">
        <f ca="1">VLOOKUP(A75,Rankings!B1:H651,6,FALSE)+(RAND()*0.00001)</f>
        <v>138.65000823143561</v>
      </c>
      <c r="F75" s="30">
        <f ca="1">E75-VLOOKUP(Settings!$K$9,D$2:E$91,2,FALSE)</f>
        <v>-112.4499963355515</v>
      </c>
      <c r="G75" s="141">
        <f t="shared" ca="1" si="5"/>
        <v>71</v>
      </c>
      <c r="H75" s="30">
        <f ca="1">VLOOKUP(A75,Rankings!B1:H651,7,FALSE)+(RAND()*0.00001)</f>
        <v>-1.8717148858631225</v>
      </c>
      <c r="I75" s="30">
        <f ca="1">H75-VLOOKUP(Settings!$K$9,G$2:H$91,2,FALSE)</f>
        <v>-3.4427859356682102</v>
      </c>
    </row>
    <row r="76" spans="1:9" ht="20.100000000000001" customHeight="1">
      <c r="A76" s="25" t="s">
        <v>443</v>
      </c>
      <c r="B76" s="26" t="s">
        <v>95</v>
      </c>
      <c r="C76" s="131" t="s">
        <v>34</v>
      </c>
      <c r="D76" s="141">
        <f t="shared" ca="1" si="4"/>
        <v>75</v>
      </c>
      <c r="E76" s="30">
        <f ca="1">VLOOKUP(A76,Rankings!B1:H651,6,FALSE)+(RAND()*0.00001)</f>
        <v>138.46667256062705</v>
      </c>
      <c r="F76" s="30">
        <f ca="1">E76-VLOOKUP(Settings!$K$9,D$2:E$91,2,FALSE)</f>
        <v>-112.63333200636006</v>
      </c>
      <c r="G76" s="141">
        <f t="shared" ca="1" si="5"/>
        <v>30</v>
      </c>
      <c r="H76" s="30">
        <f ca="1">VLOOKUP(A76,Rankings!B1:H651,7,FALSE)+(RAND()*0.00001)</f>
        <v>-0.25366077235328377</v>
      </c>
      <c r="I76" s="30">
        <f ca="1">H76-VLOOKUP(Settings!$K$9,G$2:H$91,2,FALSE)</f>
        <v>-1.8247318221583715</v>
      </c>
    </row>
    <row r="77" spans="1:9" ht="18.600000000000001" customHeight="1">
      <c r="A77" s="25" t="s">
        <v>482</v>
      </c>
      <c r="B77" s="26" t="s">
        <v>105</v>
      </c>
      <c r="C77" s="131" t="s">
        <v>34</v>
      </c>
      <c r="D77" s="141">
        <f t="shared" ca="1" si="4"/>
        <v>76</v>
      </c>
      <c r="E77" s="30">
        <f ca="1">VLOOKUP(A77,Rankings!B1:H651,6,FALSE)+(RAND()*0.00001)</f>
        <v>137.01667294068449</v>
      </c>
      <c r="F77" s="30">
        <f ca="1">E77-VLOOKUP(Settings!$K$9,D$2:E$91,2,FALSE)</f>
        <v>-114.08333162630262</v>
      </c>
      <c r="G77" s="141">
        <f t="shared" ca="1" si="5"/>
        <v>36</v>
      </c>
      <c r="H77" s="30">
        <f ca="1">VLOOKUP(A77,Rankings!B1:H651,7,FALSE)+(RAND()*0.00001)</f>
        <v>-0.66612757739788298</v>
      </c>
      <c r="I77" s="30">
        <f ca="1">H77-VLOOKUP(Settings!$K$9,G$2:H$91,2,FALSE)</f>
        <v>-2.2371986272029707</v>
      </c>
    </row>
    <row r="78" spans="1:9" ht="20.100000000000001" customHeight="1">
      <c r="A78" s="25" t="s">
        <v>571</v>
      </c>
      <c r="B78" s="26" t="s">
        <v>64</v>
      </c>
      <c r="C78" s="131" t="s">
        <v>34</v>
      </c>
      <c r="D78" s="141">
        <f t="shared" ca="1" si="4"/>
        <v>77</v>
      </c>
      <c r="E78" s="30">
        <f ca="1">VLOOKUP(A78,Rankings!B1:H651,6,FALSE)+(RAND()*0.00001)</f>
        <v>136.41667312465174</v>
      </c>
      <c r="F78" s="30">
        <f ca="1">E78-VLOOKUP(Settings!$K$9,D$2:E$91,2,FALSE)</f>
        <v>-114.68333144233537</v>
      </c>
      <c r="G78" s="141">
        <f t="shared" ca="1" si="5"/>
        <v>65</v>
      </c>
      <c r="H78" s="30">
        <f ca="1">VLOOKUP(A78,Rankings!B1:H651,7,FALSE)+(RAND()*0.00001)</f>
        <v>-1.727810602803511</v>
      </c>
      <c r="I78" s="30">
        <f ca="1">H78-VLOOKUP(Settings!$K$9,G$2:H$91,2,FALSE)</f>
        <v>-3.2988816526085989</v>
      </c>
    </row>
    <row r="79" spans="1:9" ht="18.600000000000001" customHeight="1">
      <c r="A79" s="25" t="s">
        <v>534</v>
      </c>
      <c r="B79" s="26" t="s">
        <v>122</v>
      </c>
      <c r="C79" s="131" t="s">
        <v>34</v>
      </c>
      <c r="D79" s="141">
        <f t="shared" ca="1" si="4"/>
        <v>78</v>
      </c>
      <c r="E79" s="30">
        <f ca="1">VLOOKUP(A79,Rankings!B1:H651,6,FALSE)+(RAND()*0.00001)</f>
        <v>134.21667299075838</v>
      </c>
      <c r="F79" s="30">
        <f ca="1">E79-VLOOKUP(Settings!$K$9,D$2:E$91,2,FALSE)</f>
        <v>-116.88333157622873</v>
      </c>
      <c r="G79" s="141">
        <f t="shared" ca="1" si="5"/>
        <v>55</v>
      </c>
      <c r="H79" s="30">
        <f ca="1">VLOOKUP(A79,Rankings!B1:H651,7,FALSE)+(RAND()*0.00001)</f>
        <v>-1.282743913700666</v>
      </c>
      <c r="I79" s="30">
        <f ca="1">H79-VLOOKUP(Settings!$K$9,G$2:H$91,2,FALSE)</f>
        <v>-2.8538149635057537</v>
      </c>
    </row>
    <row r="80" spans="1:9" ht="18.600000000000001" customHeight="1">
      <c r="A80" s="25" t="s">
        <v>584</v>
      </c>
      <c r="B80" s="26" t="s">
        <v>158</v>
      </c>
      <c r="C80" s="131" t="s">
        <v>34</v>
      </c>
      <c r="D80" s="141">
        <f t="shared" ca="1" si="4"/>
        <v>79</v>
      </c>
      <c r="E80" s="30">
        <f ca="1">VLOOKUP(A80,Rankings!B1:H651,6,FALSE)+(RAND()*0.00001)</f>
        <v>130.72500683636571</v>
      </c>
      <c r="F80" s="30">
        <f ca="1">E80-VLOOKUP(Settings!$K$9,D$2:E$91,2,FALSE)</f>
        <v>-120.3749977306214</v>
      </c>
      <c r="G80" s="141">
        <f t="shared" ca="1" si="5"/>
        <v>72</v>
      </c>
      <c r="H80" s="30">
        <f ca="1">VLOOKUP(A80,Rankings!B1:H651,7,FALSE)+(RAND()*0.00001)</f>
        <v>-1.9335066940483239</v>
      </c>
      <c r="I80" s="30">
        <f ca="1">H80-VLOOKUP(Settings!$K$9,G$2:H$91,2,FALSE)</f>
        <v>-3.5045777438534116</v>
      </c>
    </row>
    <row r="81" spans="1:9" ht="18.600000000000001" customHeight="1">
      <c r="A81" s="25" t="s">
        <v>636</v>
      </c>
      <c r="B81" s="26" t="s">
        <v>77</v>
      </c>
      <c r="C81" s="131" t="s">
        <v>34</v>
      </c>
      <c r="D81" s="141">
        <f t="shared" ca="1" si="4"/>
        <v>80</v>
      </c>
      <c r="E81" s="30">
        <f ca="1">VLOOKUP(A81,Rankings!B1:H651,6,FALSE)+(RAND()*0.00001)</f>
        <v>130.15000233933443</v>
      </c>
      <c r="F81" s="30">
        <f ca="1">E81-VLOOKUP(Settings!$K$9,D$2:E$91,2,FALSE)</f>
        <v>-120.95000222765267</v>
      </c>
      <c r="G81" s="141">
        <f t="shared" ca="1" si="5"/>
        <v>87</v>
      </c>
      <c r="H81" s="30">
        <f ca="1">VLOOKUP(A81,Rankings!B1:H651,7,FALSE)+(RAND()*0.00001)</f>
        <v>-2.5520933901078475</v>
      </c>
      <c r="I81" s="30">
        <f ca="1">H81-VLOOKUP(Settings!$K$9,G$2:H$91,2,FALSE)</f>
        <v>-4.1231644399129355</v>
      </c>
    </row>
    <row r="82" spans="1:9" ht="20.100000000000001" customHeight="1">
      <c r="A82" s="25" t="s">
        <v>519</v>
      </c>
      <c r="B82" s="26" t="s">
        <v>69</v>
      </c>
      <c r="C82" s="131" t="s">
        <v>34</v>
      </c>
      <c r="D82" s="141">
        <f t="shared" ca="1" si="4"/>
        <v>81</v>
      </c>
      <c r="E82" s="30">
        <f ca="1">VLOOKUP(A82,Rankings!B1:H651,6,FALSE)+(RAND()*0.00001)</f>
        <v>129.56666882908578</v>
      </c>
      <c r="F82" s="30">
        <f ca="1">E82-VLOOKUP(Settings!$K$9,D$2:E$91,2,FALSE)</f>
        <v>-121.53333573790133</v>
      </c>
      <c r="G82" s="141">
        <f t="shared" ca="1" si="5"/>
        <v>49</v>
      </c>
      <c r="H82" s="30">
        <f ca="1">VLOOKUP(A82,Rankings!B1:H651,7,FALSE)+(RAND()*0.00001)</f>
        <v>-1.1597038689041057</v>
      </c>
      <c r="I82" s="30">
        <f ca="1">H82-VLOOKUP(Settings!$K$9,G$2:H$91,2,FALSE)</f>
        <v>-2.7307749187091934</v>
      </c>
    </row>
    <row r="83" spans="1:9" ht="20.100000000000001" customHeight="1">
      <c r="A83" s="25" t="s">
        <v>603</v>
      </c>
      <c r="B83" s="26" t="s">
        <v>97</v>
      </c>
      <c r="C83" s="131" t="s">
        <v>34</v>
      </c>
      <c r="D83" s="141">
        <f t="shared" ca="1" si="4"/>
        <v>82</v>
      </c>
      <c r="E83" s="30">
        <f ca="1">VLOOKUP(A83,Rankings!B1:H651,6,FALSE)+(RAND()*0.00001)</f>
        <v>129.55000427431966</v>
      </c>
      <c r="F83" s="30">
        <f ca="1">E83-VLOOKUP(Settings!$K$9,D$2:E$91,2,FALSE)</f>
        <v>-121.55000029266745</v>
      </c>
      <c r="G83" s="141">
        <f t="shared" ca="1" si="5"/>
        <v>78</v>
      </c>
      <c r="H83" s="30">
        <f ca="1">VLOOKUP(A83,Rankings!B1:H651,7,FALSE)+(RAND()*0.00001)</f>
        <v>-2.0508725975252609</v>
      </c>
      <c r="I83" s="30">
        <f ca="1">H83-VLOOKUP(Settings!$K$9,G$2:H$91,2,FALSE)</f>
        <v>-3.6219436473303483</v>
      </c>
    </row>
    <row r="84" spans="1:9" ht="20.100000000000001" customHeight="1">
      <c r="A84" s="25" t="s">
        <v>621</v>
      </c>
      <c r="B84" s="26" t="s">
        <v>119</v>
      </c>
      <c r="C84" s="131" t="s">
        <v>34</v>
      </c>
      <c r="D84" s="141">
        <f t="shared" ca="1" si="4"/>
        <v>83</v>
      </c>
      <c r="E84" s="30">
        <f ca="1">VLOOKUP(A84,Rankings!B1:H651,6,FALSE)+(RAND()*0.00001)</f>
        <v>129.31667381921693</v>
      </c>
      <c r="F84" s="30">
        <f ca="1">E84-VLOOKUP(Settings!$K$9,D$2:E$91,2,FALSE)</f>
        <v>-121.78333074777018</v>
      </c>
      <c r="G84" s="141">
        <f t="shared" ca="1" si="5"/>
        <v>85</v>
      </c>
      <c r="H84" s="30">
        <f ca="1">VLOOKUP(A84,Rankings!B1:H651,7,FALSE)+(RAND()*0.00001)</f>
        <v>-2.2612470731078065</v>
      </c>
      <c r="I84" s="30">
        <f ca="1">H84-VLOOKUP(Settings!$K$9,G$2:H$91,2,FALSE)</f>
        <v>-3.832318122912894</v>
      </c>
    </row>
    <row r="85" spans="1:9" ht="20.100000000000001" customHeight="1">
      <c r="A85" s="25" t="s">
        <v>607</v>
      </c>
      <c r="B85" s="26" t="s">
        <v>99</v>
      </c>
      <c r="C85" s="131" t="s">
        <v>34</v>
      </c>
      <c r="D85" s="141">
        <f t="shared" ca="1" si="4"/>
        <v>84</v>
      </c>
      <c r="E85" s="30">
        <f ca="1">VLOOKUP(A85,Rankings!B1:H651,6,FALSE)+(RAND()*0.00001)</f>
        <v>123.88333694731693</v>
      </c>
      <c r="F85" s="30">
        <f ca="1">E85-VLOOKUP(Settings!$K$9,D$2:E$91,2,FALSE)</f>
        <v>-127.21666761967018</v>
      </c>
      <c r="G85" s="141">
        <f t="shared" ca="1" si="5"/>
        <v>81</v>
      </c>
      <c r="H85" s="30">
        <f ca="1">VLOOKUP(A85,Rankings!B1:H651,7,FALSE)+(RAND()*0.00001)</f>
        <v>-2.1426804544455962</v>
      </c>
      <c r="I85" s="30">
        <f ca="1">H85-VLOOKUP(Settings!$K$9,G$2:H$91,2,FALSE)</f>
        <v>-3.7137515042506841</v>
      </c>
    </row>
    <row r="86" spans="1:9" ht="18.600000000000001" customHeight="1">
      <c r="A86" s="25" t="s">
        <v>602</v>
      </c>
      <c r="B86" s="26" t="s">
        <v>74</v>
      </c>
      <c r="C86" s="131" t="s">
        <v>34</v>
      </c>
      <c r="D86" s="141">
        <f t="shared" ca="1" si="4"/>
        <v>85</v>
      </c>
      <c r="E86" s="30">
        <f ca="1">VLOOKUP(A86,Rankings!B1:H651,6,FALSE)+(RAND()*0.00001)</f>
        <v>122.7500016598874</v>
      </c>
      <c r="F86" s="30">
        <f ca="1">E86-VLOOKUP(Settings!$K$9,D$2:E$91,2,FALSE)</f>
        <v>-128.35000290709971</v>
      </c>
      <c r="G86" s="141">
        <f t="shared" ca="1" si="5"/>
        <v>77</v>
      </c>
      <c r="H86" s="30">
        <f ca="1">VLOOKUP(A86,Rankings!B1:H651,7,FALSE)+(RAND()*0.00001)</f>
        <v>-2.0445277293603765</v>
      </c>
      <c r="I86" s="30">
        <f ca="1">H86-VLOOKUP(Settings!$K$9,G$2:H$91,2,FALSE)</f>
        <v>-3.615598779165464</v>
      </c>
    </row>
    <row r="87" spans="1:9" ht="20.100000000000001" customHeight="1">
      <c r="A87" s="25" t="s">
        <v>608</v>
      </c>
      <c r="B87" s="26" t="s">
        <v>103</v>
      </c>
      <c r="C87" s="131" t="s">
        <v>34</v>
      </c>
      <c r="D87" s="141">
        <f t="shared" ca="1" si="4"/>
        <v>87</v>
      </c>
      <c r="E87" s="30">
        <f ca="1">VLOOKUP(A87,Rankings!B1:H651,6,FALSE)+(RAND()*0.00001)</f>
        <v>118.40000547435224</v>
      </c>
      <c r="F87" s="30">
        <f ca="1">E87-VLOOKUP(Settings!$K$9,D$2:E$91,2,FALSE)</f>
        <v>-132.69999909263487</v>
      </c>
      <c r="G87" s="141">
        <f t="shared" ca="1" si="5"/>
        <v>82</v>
      </c>
      <c r="H87" s="30">
        <f ca="1">VLOOKUP(A87,Rankings!B1:H651,7,FALSE)+(RAND()*0.00001)</f>
        <v>-2.1595392755895664</v>
      </c>
      <c r="I87" s="30">
        <f ca="1">H87-VLOOKUP(Settings!$K$9,G$2:H$91,2,FALSE)</f>
        <v>-3.7306103253946539</v>
      </c>
    </row>
    <row r="88" spans="1:9" ht="20.100000000000001" customHeight="1">
      <c r="A88" s="25" t="s">
        <v>589</v>
      </c>
      <c r="B88" s="26" t="s">
        <v>136</v>
      </c>
      <c r="C88" s="131" t="s">
        <v>34</v>
      </c>
      <c r="D88" s="141">
        <f t="shared" ca="1" si="4"/>
        <v>88</v>
      </c>
      <c r="E88" s="30">
        <f ca="1">VLOOKUP(A88,Rankings!B1:H651,6,FALSE)+(RAND()*0.00001)</f>
        <v>118.21667249949077</v>
      </c>
      <c r="F88" s="30">
        <f ca="1">E88-VLOOKUP(Settings!$K$9,D$2:E$91,2,FALSE)</f>
        <v>-132.88333206749633</v>
      </c>
      <c r="G88" s="141">
        <f t="shared" ca="1" si="5"/>
        <v>74</v>
      </c>
      <c r="H88" s="30">
        <f ca="1">VLOOKUP(A88,Rankings!B1:H651,7,FALSE)+(RAND()*0.00001)</f>
        <v>-1.9485614107518014</v>
      </c>
      <c r="I88" s="30">
        <f ca="1">H88-VLOOKUP(Settings!$K$9,G$2:H$91,2,FALSE)</f>
        <v>-3.5196324605568892</v>
      </c>
    </row>
    <row r="89" spans="1:9" ht="18.600000000000001" customHeight="1">
      <c r="A89" s="25" t="s">
        <v>604</v>
      </c>
      <c r="B89" s="26" t="s">
        <v>101</v>
      </c>
      <c r="C89" s="131" t="s">
        <v>34</v>
      </c>
      <c r="D89" s="141">
        <f t="shared" ca="1" si="4"/>
        <v>86</v>
      </c>
      <c r="E89" s="30">
        <f ca="1">VLOOKUP(A89,Rankings!B1:H651,6,FALSE)+(RAND()*0.00001)</f>
        <v>122.52500049846282</v>
      </c>
      <c r="F89" s="30">
        <f ca="1">E89-VLOOKUP(Settings!$K$9,D$2:E$91,2,FALSE)</f>
        <v>-128.57500406852429</v>
      </c>
      <c r="G89" s="141">
        <f t="shared" ca="1" si="5"/>
        <v>79</v>
      </c>
      <c r="H89" s="30">
        <f ca="1">VLOOKUP(A89,Rankings!B1:H651,7,FALSE)+(RAND()*0.00001)</f>
        <v>-2.0638282728185158</v>
      </c>
      <c r="I89" s="30">
        <f ca="1">H89-VLOOKUP(Settings!$K$9,G$2:H$91,2,FALSE)</f>
        <v>-3.6348993226236033</v>
      </c>
    </row>
    <row r="90" spans="1:9" ht="20.100000000000001" customHeight="1">
      <c r="A90" s="25" t="s">
        <v>511</v>
      </c>
      <c r="B90" s="26" t="s">
        <v>74</v>
      </c>
      <c r="C90" s="131" t="s">
        <v>34</v>
      </c>
      <c r="D90" s="141">
        <f t="shared" ca="1" si="4"/>
        <v>89</v>
      </c>
      <c r="E90" s="30">
        <f ca="1">VLOOKUP(A90,Rankings!B1:H651,6,FALSE)+(RAND()*0.00001)</f>
        <v>110.93333571053469</v>
      </c>
      <c r="F90" s="30">
        <f ca="1">E90-VLOOKUP(Settings!$K$9,D$2:E$91,2,FALSE)</f>
        <v>-140.16666885645242</v>
      </c>
      <c r="G90" s="141">
        <f t="shared" ca="1" si="5"/>
        <v>46</v>
      </c>
      <c r="H90" s="30">
        <f ca="1">VLOOKUP(A90,Rankings!B1:H651,7,FALSE)+(RAND()*0.00001)</f>
        <v>-1.0810295198840163</v>
      </c>
      <c r="I90" s="30">
        <f ca="1">H90-VLOOKUP(Settings!$K$9,G$2:H$91,2,FALSE)</f>
        <v>-2.6521005696891038</v>
      </c>
    </row>
    <row r="91" spans="1:9" ht="18.600000000000001" customHeight="1">
      <c r="A91" s="25" t="s">
        <v>483</v>
      </c>
      <c r="B91" s="26" t="s">
        <v>95</v>
      </c>
      <c r="C91" s="131" t="s">
        <v>34</v>
      </c>
      <c r="D91" s="141">
        <f t="shared" ca="1" si="4"/>
        <v>90</v>
      </c>
      <c r="E91" s="30">
        <f ca="1">VLOOKUP(A91,Rankings!B1:H651,6,FALSE)+(RAND()*0.00001)</f>
        <v>101.38333484919968</v>
      </c>
      <c r="F91" s="30">
        <f ca="1">E91-VLOOKUP(Settings!$K$9,D$2:E$91,2,FALSE)</f>
        <v>-149.71666971778743</v>
      </c>
      <c r="G91" s="141">
        <f t="shared" ca="1" si="5"/>
        <v>37</v>
      </c>
      <c r="H91" s="30">
        <f ca="1">VLOOKUP(A91,Rankings!B1:H651,7,FALSE)+(RAND()*0.00001)</f>
        <v>-0.68061350428084266</v>
      </c>
      <c r="I91" s="30">
        <f ca="1">H91-VLOOKUP(Settings!$K$9,G$2:H$91,2,FALSE)</f>
        <v>-2.2516845540859305</v>
      </c>
    </row>
  </sheetData>
  <autoFilter ref="A1:I91" xr:uid="{00000000-0001-0000-0F00-000000000000}">
    <sortState xmlns:xlrd2="http://schemas.microsoft.com/office/spreadsheetml/2017/richdata2" ref="A2:I91">
      <sortCondition ref="D1:D91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251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9" width="7.140625" style="1" customWidth="1"/>
    <col min="10" max="10" width="16.28515625" style="1" customWidth="1"/>
    <col min="11" max="16384" width="16.28515625" style="1"/>
  </cols>
  <sheetData>
    <row r="1" spans="1:9" ht="35.1" customHeight="1">
      <c r="A1" s="138" t="s">
        <v>59</v>
      </c>
      <c r="B1" s="139" t="s">
        <v>60</v>
      </c>
      <c r="C1" s="139" t="s">
        <v>752</v>
      </c>
      <c r="D1" s="140" t="s">
        <v>753</v>
      </c>
      <c r="E1" s="139" t="s">
        <v>63</v>
      </c>
      <c r="F1" s="139" t="s">
        <v>65</v>
      </c>
      <c r="G1" s="140" t="s">
        <v>754</v>
      </c>
      <c r="H1" s="139" t="s">
        <v>64</v>
      </c>
      <c r="I1" s="139" t="s">
        <v>65</v>
      </c>
    </row>
    <row r="2" spans="1:9" ht="18.600000000000001" customHeight="1">
      <c r="A2" s="25" t="s">
        <v>93</v>
      </c>
      <c r="B2" s="26" t="s">
        <v>69</v>
      </c>
      <c r="C2" s="35" t="s">
        <v>31</v>
      </c>
      <c r="D2" s="141">
        <f t="shared" ref="D2:D65" ca="1" si="0">RANK(E2,E$2:E$251)</f>
        <v>2</v>
      </c>
      <c r="E2" s="30">
        <f ca="1">VLOOKUP(A2,Rankings!B1:H651,6,FALSE)+(RAND()*0.00001)</f>
        <v>550.55000208372496</v>
      </c>
      <c r="F2" s="30">
        <f ca="1">E2-VLOOKUP(Settings!$K$8+Settings!$K$9,D$2:E$251,2,FALSE)</f>
        <v>231.48933285250104</v>
      </c>
      <c r="G2" s="141">
        <f t="shared" ref="G2:G65" ca="1" si="1">RANK(H2,H$2:H$251)</f>
        <v>5</v>
      </c>
      <c r="H2" s="30">
        <f ca="1">VLOOKUP(A2,Rankings!B1:H651,7,FALSE)+(RAND()*0.00001)</f>
        <v>7.1669529125829774</v>
      </c>
      <c r="I2" s="30">
        <f ca="1">H2-VLOOKUP(Settings!$K$8+Settings!$K$9,G$2:H$251,2,FALSE)</f>
        <v>6.6716613723418403</v>
      </c>
    </row>
    <row r="3" spans="1:9" ht="18.600000000000001" customHeight="1">
      <c r="A3" s="25" t="s">
        <v>98</v>
      </c>
      <c r="B3" s="26" t="s">
        <v>99</v>
      </c>
      <c r="C3" s="35" t="s">
        <v>31</v>
      </c>
      <c r="D3" s="141">
        <f t="shared" ca="1" si="0"/>
        <v>3</v>
      </c>
      <c r="E3" s="30">
        <f ca="1">VLOOKUP(A3,Rankings!B1:H651,6,FALSE)+(RAND()*0.00001)</f>
        <v>533.26666804550666</v>
      </c>
      <c r="F3" s="30">
        <f ca="1">E3-VLOOKUP(Settings!$K$8+Settings!$K$9,D$2:E$251,2,FALSE)</f>
        <v>214.20599881428274</v>
      </c>
      <c r="G3" s="141">
        <f t="shared" ca="1" si="1"/>
        <v>6</v>
      </c>
      <c r="H3" s="30">
        <f ca="1">VLOOKUP(A3,Rankings!B1:H651,7,FALSE)+(RAND()*0.00001)</f>
        <v>6.8556656491170864</v>
      </c>
      <c r="I3" s="30">
        <f ca="1">H3-VLOOKUP(Settings!$K$8+Settings!$K$9,G$2:H$251,2,FALSE)</f>
        <v>6.3603741088759493</v>
      </c>
    </row>
    <row r="4" spans="1:9" ht="18.600000000000001" customHeight="1">
      <c r="A4" s="25" t="s">
        <v>123</v>
      </c>
      <c r="B4" s="26" t="s">
        <v>92</v>
      </c>
      <c r="C4" s="35" t="s">
        <v>31</v>
      </c>
      <c r="D4" s="141">
        <f t="shared" ca="1" si="0"/>
        <v>5</v>
      </c>
      <c r="E4" s="30">
        <f ca="1">VLOOKUP(A4,Rankings!B1:H651,6,FALSE)+(RAND()*0.00001)</f>
        <v>511.03334096866189</v>
      </c>
      <c r="F4" s="30">
        <f ca="1">E4-VLOOKUP(Settings!$K$8+Settings!$K$9,D$2:E$251,2,FALSE)</f>
        <v>191.97267173743796</v>
      </c>
      <c r="G4" s="141">
        <f t="shared" ca="1" si="1"/>
        <v>12</v>
      </c>
      <c r="H4" s="30">
        <f ca="1">VLOOKUP(A4,Rankings!B1:H651,7,FALSE)+(RAND()*0.00001)</f>
        <v>5.5386529627839147</v>
      </c>
      <c r="I4" s="30">
        <f ca="1">H4-VLOOKUP(Settings!$K$8+Settings!$K$9,G$2:H$251,2,FALSE)</f>
        <v>5.0433614225427776</v>
      </c>
    </row>
    <row r="5" spans="1:9" ht="18.600000000000001" customHeight="1">
      <c r="A5" s="25" t="s">
        <v>135</v>
      </c>
      <c r="B5" s="26" t="s">
        <v>136</v>
      </c>
      <c r="C5" s="35" t="s">
        <v>31</v>
      </c>
      <c r="D5" s="141">
        <f t="shared" ca="1" si="0"/>
        <v>4</v>
      </c>
      <c r="E5" s="30">
        <f ca="1">VLOOKUP(A5,Rankings!B1:H651,6,FALSE)+(RAND()*0.00001)</f>
        <v>512.8180082649211</v>
      </c>
      <c r="F5" s="30">
        <f ca="1">E5-VLOOKUP(Settings!$K$8+Settings!$K$9,D$2:E$251,2,FALSE)</f>
        <v>193.75733903369718</v>
      </c>
      <c r="G5" s="141">
        <f t="shared" ca="1" si="1"/>
        <v>16</v>
      </c>
      <c r="H5" s="30">
        <f ca="1">VLOOKUP(A5,Rankings!B1:H651,7,FALSE)+(RAND()*0.00001)</f>
        <v>5.071227519048092</v>
      </c>
      <c r="I5" s="30">
        <f ca="1">H5-VLOOKUP(Settings!$K$8+Settings!$K$9,G$2:H$251,2,FALSE)</f>
        <v>4.5759359788069549</v>
      </c>
    </row>
    <row r="6" spans="1:9" ht="18.600000000000001" customHeight="1">
      <c r="A6" s="25" t="s">
        <v>106</v>
      </c>
      <c r="B6" s="26" t="s">
        <v>69</v>
      </c>
      <c r="C6" s="35" t="s">
        <v>31</v>
      </c>
      <c r="D6" s="141">
        <f t="shared" ca="1" si="0"/>
        <v>6</v>
      </c>
      <c r="E6" s="30">
        <f ca="1">VLOOKUP(A6,Rankings!B1:H651,6,FALSE)+(RAND()*0.00001)</f>
        <v>490.03334262438204</v>
      </c>
      <c r="F6" s="30">
        <f ca="1">E6-VLOOKUP(Settings!$K$8+Settings!$K$9,D$2:E$251,2,FALSE)</f>
        <v>170.97267339315812</v>
      </c>
      <c r="G6" s="141">
        <f t="shared" ca="1" si="1"/>
        <v>7</v>
      </c>
      <c r="H6" s="30">
        <f ca="1">VLOOKUP(A6,Rankings!B1:H651,7,FALSE)+(RAND()*0.00001)</f>
        <v>6.5209957494904911</v>
      </c>
      <c r="I6" s="30">
        <f ca="1">H6-VLOOKUP(Settings!$K$8+Settings!$K$9,G$2:H$251,2,FALSE)</f>
        <v>6.025704209249354</v>
      </c>
    </row>
    <row r="7" spans="1:9" ht="18.600000000000001" customHeight="1">
      <c r="A7" s="25" t="s">
        <v>109</v>
      </c>
      <c r="B7" s="26" t="s">
        <v>97</v>
      </c>
      <c r="C7" s="35" t="s">
        <v>31</v>
      </c>
      <c r="D7" s="141">
        <f t="shared" ca="1" si="0"/>
        <v>8</v>
      </c>
      <c r="E7" s="30">
        <f ca="1">VLOOKUP(A7,Rankings!B1:H651,6,FALSE)+(RAND()*0.00001)</f>
        <v>481.93333457712697</v>
      </c>
      <c r="F7" s="30">
        <f ca="1">E7-VLOOKUP(Settings!$K$8+Settings!$K$9,D$2:E$251,2,FALSE)</f>
        <v>162.87266534590304</v>
      </c>
      <c r="G7" s="141">
        <f t="shared" ca="1" si="1"/>
        <v>8</v>
      </c>
      <c r="H7" s="30">
        <f ca="1">VLOOKUP(A7,Rankings!B1:H651,7,FALSE)+(RAND()*0.00001)</f>
        <v>6.3709680786151424</v>
      </c>
      <c r="I7" s="30">
        <f ca="1">H7-VLOOKUP(Settings!$K$8+Settings!$K$9,G$2:H$251,2,FALSE)</f>
        <v>5.8756765383740053</v>
      </c>
    </row>
    <row r="8" spans="1:9" ht="18.600000000000001" customHeight="1">
      <c r="A8" s="25" t="s">
        <v>145</v>
      </c>
      <c r="B8" s="26" t="s">
        <v>64</v>
      </c>
      <c r="C8" s="35" t="s">
        <v>31</v>
      </c>
      <c r="D8" s="141">
        <f t="shared" ca="1" si="0"/>
        <v>11</v>
      </c>
      <c r="E8" s="30">
        <f ca="1">VLOOKUP(A8,Rankings!B1:H651,6,FALSE)+(RAND()*0.00001)</f>
        <v>478.55000372645634</v>
      </c>
      <c r="F8" s="30">
        <f ca="1">E8-VLOOKUP(Settings!$K$8+Settings!$K$9,D$2:E$251,2,FALSE)</f>
        <v>159.48933449523241</v>
      </c>
      <c r="G8" s="141">
        <f t="shared" ca="1" si="1"/>
        <v>22</v>
      </c>
      <c r="H8" s="30">
        <f ca="1">VLOOKUP(A8,Rankings!B1:H651,7,FALSE)+(RAND()*0.00001)</f>
        <v>4.6143358857854713</v>
      </c>
      <c r="I8" s="30">
        <f ca="1">H8-VLOOKUP(Settings!$K$8+Settings!$K$9,G$2:H$251,2,FALSE)</f>
        <v>4.1190443455443342</v>
      </c>
    </row>
    <row r="9" spans="1:9" ht="18.600000000000001" customHeight="1">
      <c r="A9" s="25" t="s">
        <v>96</v>
      </c>
      <c r="B9" s="26" t="s">
        <v>97</v>
      </c>
      <c r="C9" s="41" t="s">
        <v>34</v>
      </c>
      <c r="D9" s="141">
        <f t="shared" ca="1" si="0"/>
        <v>29</v>
      </c>
      <c r="E9" s="30">
        <f ca="1">VLOOKUP(A9,Rankings!B1:H651,6,FALSE)+(RAND()*0.00001)</f>
        <v>424.28333837310157</v>
      </c>
      <c r="F9" s="30">
        <f ca="1">E9-VLOOKUP(Settings!$K$8+Settings!$K$9,D$2:E$251,2,FALSE)</f>
        <v>105.22266914187765</v>
      </c>
      <c r="G9" s="141">
        <f t="shared" ca="1" si="1"/>
        <v>2</v>
      </c>
      <c r="H9" s="30">
        <f ca="1">VLOOKUP(A9,Rankings!B1:H651,7,FALSE)+(RAND()*0.00001)</f>
        <v>8.3080364761397405</v>
      </c>
      <c r="I9" s="30">
        <f ca="1">H9-VLOOKUP(Settings!$K$8+Settings!$K$9,G$2:H$251,2,FALSE)</f>
        <v>7.8127449358986034</v>
      </c>
    </row>
    <row r="10" spans="1:9" ht="18.600000000000001" customHeight="1">
      <c r="A10" s="25" t="s">
        <v>140</v>
      </c>
      <c r="B10" s="26" t="s">
        <v>77</v>
      </c>
      <c r="C10" s="35" t="s">
        <v>31</v>
      </c>
      <c r="D10" s="141">
        <f t="shared" ca="1" si="0"/>
        <v>7</v>
      </c>
      <c r="E10" s="30">
        <f ca="1">VLOOKUP(A10,Rankings!B1:H651,6,FALSE)+(RAND()*0.00001)</f>
        <v>486.2000029038619</v>
      </c>
      <c r="F10" s="30">
        <f ca="1">E10-VLOOKUP(Settings!$K$8+Settings!$K$9,D$2:E$251,2,FALSE)</f>
        <v>167.13933367263797</v>
      </c>
      <c r="G10" s="141">
        <f t="shared" ca="1" si="1"/>
        <v>18</v>
      </c>
      <c r="H10" s="30">
        <f ca="1">VLOOKUP(A10,Rankings!B1:H651,7,FALSE)+(RAND()*0.00001)</f>
        <v>4.9245831656273324</v>
      </c>
      <c r="I10" s="30">
        <f ca="1">H10-VLOOKUP(Settings!$K$8+Settings!$K$9,G$2:H$251,2,FALSE)</f>
        <v>4.4292916253861954</v>
      </c>
    </row>
    <row r="11" spans="1:9" ht="18.600000000000001" customHeight="1">
      <c r="A11" s="25" t="s">
        <v>117</v>
      </c>
      <c r="B11" s="26" t="s">
        <v>103</v>
      </c>
      <c r="C11" s="35" t="s">
        <v>31</v>
      </c>
      <c r="D11" s="141">
        <f t="shared" ca="1" si="0"/>
        <v>9</v>
      </c>
      <c r="E11" s="30">
        <f ca="1">VLOOKUP(A11,Rankings!B1:H651,6,FALSE)+(RAND()*0.00001)</f>
        <v>481.58333451420498</v>
      </c>
      <c r="F11" s="30">
        <f ca="1">E11-VLOOKUP(Settings!$K$8+Settings!$K$9,D$2:E$251,2,FALSE)</f>
        <v>162.52266528298105</v>
      </c>
      <c r="G11" s="141">
        <f t="shared" ca="1" si="1"/>
        <v>11</v>
      </c>
      <c r="H11" s="30">
        <f ca="1">VLOOKUP(A11,Rankings!B1:H651,7,FALSE)+(RAND()*0.00001)</f>
        <v>5.91864507188484</v>
      </c>
      <c r="I11" s="30">
        <f ca="1">H11-VLOOKUP(Settings!$K$8+Settings!$K$9,G$2:H$251,2,FALSE)</f>
        <v>5.4233535316437029</v>
      </c>
    </row>
    <row r="12" spans="1:9" ht="18.600000000000001" customHeight="1">
      <c r="A12" s="25" t="s">
        <v>165</v>
      </c>
      <c r="B12" s="26" t="s">
        <v>79</v>
      </c>
      <c r="C12" s="35" t="s">
        <v>31</v>
      </c>
      <c r="D12" s="141">
        <f t="shared" ca="1" si="0"/>
        <v>10</v>
      </c>
      <c r="E12" s="30">
        <f ca="1">VLOOKUP(A12,Rankings!B1:H651,6,FALSE)+(RAND()*0.00001)</f>
        <v>480.19200397532774</v>
      </c>
      <c r="F12" s="30">
        <f ca="1">E12-VLOOKUP(Settings!$K$8+Settings!$K$9,D$2:E$251,2,FALSE)</f>
        <v>161.13133474410381</v>
      </c>
      <c r="G12" s="141">
        <f t="shared" ca="1" si="1"/>
        <v>33</v>
      </c>
      <c r="H12" s="30">
        <f ca="1">VLOOKUP(A12,Rankings!B1:H651,7,FALSE)+(RAND()*0.00001)</f>
        <v>3.881268049040433</v>
      </c>
      <c r="I12" s="30">
        <f ca="1">H12-VLOOKUP(Settings!$K$8+Settings!$K$9,G$2:H$251,2,FALSE)</f>
        <v>3.3859765087992959</v>
      </c>
    </row>
    <row r="13" spans="1:9" ht="18.600000000000001" customHeight="1">
      <c r="A13" s="25" t="s">
        <v>84</v>
      </c>
      <c r="B13" s="26" t="s">
        <v>85</v>
      </c>
      <c r="C13" s="35" t="s">
        <v>31</v>
      </c>
      <c r="D13" s="141">
        <f t="shared" ca="1" si="0"/>
        <v>1</v>
      </c>
      <c r="E13" s="30">
        <f ca="1">VLOOKUP(A13,Rankings!B1:H651,6,FALSE)+(RAND()*0.00001)</f>
        <v>561.00000845336797</v>
      </c>
      <c r="F13" s="30">
        <f ca="1">E13-VLOOKUP(Settings!$K$8+Settings!$K$9,D$2:E$251,2,FALSE)</f>
        <v>241.93933922214404</v>
      </c>
      <c r="G13" s="141">
        <f t="shared" ca="1" si="1"/>
        <v>1</v>
      </c>
      <c r="H13" s="30">
        <f ca="1">VLOOKUP(A13,Rankings!B1:H651,7,FALSE)+(RAND()*0.00001)</f>
        <v>8.4858551778912119</v>
      </c>
      <c r="I13" s="30">
        <f ca="1">H13-VLOOKUP(Settings!$K$8+Settings!$K$9,G$2:H$251,2,FALSE)</f>
        <v>7.9905636376500748</v>
      </c>
    </row>
    <row r="14" spans="1:9" ht="18.600000000000001" customHeight="1">
      <c r="A14" s="25" t="s">
        <v>171</v>
      </c>
      <c r="B14" s="26" t="s">
        <v>95</v>
      </c>
      <c r="C14" s="35" t="s">
        <v>31</v>
      </c>
      <c r="D14" s="141">
        <f t="shared" ca="1" si="0"/>
        <v>14</v>
      </c>
      <c r="E14" s="30">
        <f ca="1">VLOOKUP(A14,Rankings!B1:H651,6,FALSE)+(RAND()*0.00001)</f>
        <v>470.10800809359193</v>
      </c>
      <c r="F14" s="30">
        <f ca="1">E14-VLOOKUP(Settings!$K$8+Settings!$K$9,D$2:E$251,2,FALSE)</f>
        <v>151.04733886236801</v>
      </c>
      <c r="G14" s="141">
        <f t="shared" ca="1" si="1"/>
        <v>36</v>
      </c>
      <c r="H14" s="30">
        <f ca="1">VLOOKUP(A14,Rankings!B1:H651,7,FALSE)+(RAND()*0.00001)</f>
        <v>3.749327520780374</v>
      </c>
      <c r="I14" s="30">
        <f ca="1">H14-VLOOKUP(Settings!$K$8+Settings!$K$9,G$2:H$251,2,FALSE)</f>
        <v>3.2540359805392369</v>
      </c>
    </row>
    <row r="15" spans="1:9" ht="18.600000000000001" customHeight="1">
      <c r="A15" s="25" t="s">
        <v>112</v>
      </c>
      <c r="B15" s="26" t="s">
        <v>97</v>
      </c>
      <c r="C15" s="35" t="s">
        <v>31</v>
      </c>
      <c r="D15" s="141">
        <f t="shared" ca="1" si="0"/>
        <v>12</v>
      </c>
      <c r="E15" s="30">
        <f ca="1">VLOOKUP(A15,Rankings!B1:H651,6,FALSE)+(RAND()*0.00001)</f>
        <v>475.73334299579017</v>
      </c>
      <c r="F15" s="30">
        <f ca="1">E15-VLOOKUP(Settings!$K$8+Settings!$K$9,D$2:E$251,2,FALSE)</f>
        <v>156.67267376456624</v>
      </c>
      <c r="G15" s="141">
        <f t="shared" ca="1" si="1"/>
        <v>9</v>
      </c>
      <c r="H15" s="30">
        <f ca="1">VLOOKUP(A15,Rankings!B1:H651,7,FALSE)+(RAND()*0.00001)</f>
        <v>6.2270478798552684</v>
      </c>
      <c r="I15" s="30">
        <f ca="1">H15-VLOOKUP(Settings!$K$8+Settings!$K$9,G$2:H$251,2,FALSE)</f>
        <v>5.7317563396141313</v>
      </c>
    </row>
    <row r="16" spans="1:9" ht="18.600000000000001" customHeight="1">
      <c r="A16" s="25" t="s">
        <v>153</v>
      </c>
      <c r="B16" s="26" t="s">
        <v>74</v>
      </c>
      <c r="C16" s="35" t="s">
        <v>31</v>
      </c>
      <c r="D16" s="141">
        <f t="shared" ca="1" si="0"/>
        <v>13</v>
      </c>
      <c r="E16" s="30">
        <f ca="1">VLOOKUP(A16,Rankings!B1:H651,6,FALSE)+(RAND()*0.00001)</f>
        <v>470.39733929545224</v>
      </c>
      <c r="F16" s="30">
        <f ca="1">E16-VLOOKUP(Settings!$K$8+Settings!$K$9,D$2:E$251,2,FALSE)</f>
        <v>151.33667006422831</v>
      </c>
      <c r="G16" s="141">
        <f t="shared" ca="1" si="1"/>
        <v>28</v>
      </c>
      <c r="H16" s="30">
        <f ca="1">VLOOKUP(A16,Rankings!B1:H651,7,FALSE)+(RAND()*0.00001)</f>
        <v>4.2463285408361466</v>
      </c>
      <c r="I16" s="30">
        <f ca="1">H16-VLOOKUP(Settings!$K$8+Settings!$K$9,G$2:H$251,2,FALSE)</f>
        <v>3.7510370005950096</v>
      </c>
    </row>
    <row r="17" spans="1:9" ht="18.600000000000001" customHeight="1">
      <c r="A17" s="25" t="s">
        <v>130</v>
      </c>
      <c r="B17" s="26" t="s">
        <v>99</v>
      </c>
      <c r="C17" s="35" t="s">
        <v>31</v>
      </c>
      <c r="D17" s="141">
        <f t="shared" ca="1" si="0"/>
        <v>15</v>
      </c>
      <c r="E17" s="30">
        <f ca="1">VLOOKUP(A17,Rankings!B1:H651,6,FALSE)+(RAND()*0.00001)</f>
        <v>461.45000997782233</v>
      </c>
      <c r="F17" s="30">
        <f ca="1">E17-VLOOKUP(Settings!$K$8+Settings!$K$9,D$2:E$251,2,FALSE)</f>
        <v>142.38934074659841</v>
      </c>
      <c r="G17" s="141">
        <f t="shared" ca="1" si="1"/>
        <v>14</v>
      </c>
      <c r="H17" s="30">
        <f ca="1">VLOOKUP(A17,Rankings!B1:H651,7,FALSE)+(RAND()*0.00001)</f>
        <v>5.2101047903076321</v>
      </c>
      <c r="I17" s="30">
        <f ca="1">H17-VLOOKUP(Settings!$K$8+Settings!$K$9,G$2:H$251,2,FALSE)</f>
        <v>4.714813250066495</v>
      </c>
    </row>
    <row r="18" spans="1:9" ht="18.600000000000001" customHeight="1">
      <c r="A18" s="25" t="s">
        <v>148</v>
      </c>
      <c r="B18" s="26" t="s">
        <v>116</v>
      </c>
      <c r="C18" s="35" t="s">
        <v>31</v>
      </c>
      <c r="D18" s="141">
        <f t="shared" ca="1" si="0"/>
        <v>16</v>
      </c>
      <c r="E18" s="30">
        <f ca="1">VLOOKUP(A18,Rankings!B1:H651,6,FALSE)+(RAND()*0.00001)</f>
        <v>460.35000076346074</v>
      </c>
      <c r="F18" s="30">
        <f ca="1">E18-VLOOKUP(Settings!$K$8+Settings!$K$9,D$2:E$251,2,FALSE)</f>
        <v>141.28933153223682</v>
      </c>
      <c r="G18" s="141">
        <f t="shared" ca="1" si="1"/>
        <v>24</v>
      </c>
      <c r="H18" s="30">
        <f ca="1">VLOOKUP(A18,Rankings!B1:H651,7,FALSE)+(RAND()*0.00001)</f>
        <v>4.5245140156521524</v>
      </c>
      <c r="I18" s="30">
        <f ca="1">H18-VLOOKUP(Settings!$K$8+Settings!$K$9,G$2:H$251,2,FALSE)</f>
        <v>4.0292224754110153</v>
      </c>
    </row>
    <row r="19" spans="1:9" ht="18.600000000000001" customHeight="1">
      <c r="A19" s="25" t="s">
        <v>111</v>
      </c>
      <c r="B19" s="26" t="s">
        <v>77</v>
      </c>
      <c r="C19" s="41" t="s">
        <v>34</v>
      </c>
      <c r="D19" s="141">
        <f t="shared" ca="1" si="0"/>
        <v>35</v>
      </c>
      <c r="E19" s="30">
        <f ca="1">VLOOKUP(A19,Rankings!B1:H651,6,FALSE)+(RAND()*0.00001)</f>
        <v>408.28333887862738</v>
      </c>
      <c r="F19" s="30">
        <f ca="1">E19-VLOOKUP(Settings!$K$8+Settings!$K$9,D$2:E$251,2,FALSE)</f>
        <v>89.22266964740345</v>
      </c>
      <c r="G19" s="141">
        <f t="shared" ca="1" si="1"/>
        <v>4</v>
      </c>
      <c r="H19" s="30">
        <f ca="1">VLOOKUP(A19,Rankings!B1:H651,7,FALSE)+(RAND()*0.00001)</f>
        <v>7.7520610686801579</v>
      </c>
      <c r="I19" s="30">
        <f ca="1">H19-VLOOKUP(Settings!$K$8+Settings!$K$9,G$2:H$251,2,FALSE)</f>
        <v>7.2567695284390208</v>
      </c>
    </row>
    <row r="20" spans="1:9" ht="18.600000000000001" customHeight="1">
      <c r="A20" s="25" t="s">
        <v>152</v>
      </c>
      <c r="B20" s="26" t="s">
        <v>82</v>
      </c>
      <c r="C20" s="35" t="s">
        <v>31</v>
      </c>
      <c r="D20" s="141">
        <f t="shared" ca="1" si="0"/>
        <v>18</v>
      </c>
      <c r="E20" s="30">
        <f ca="1">VLOOKUP(A20,Rankings!B1:H651,6,FALSE)+(RAND()*0.00001)</f>
        <v>457.41200458363249</v>
      </c>
      <c r="F20" s="30">
        <f ca="1">E20-VLOOKUP(Settings!$K$8+Settings!$K$9,D$2:E$251,2,FALSE)</f>
        <v>138.35133535240857</v>
      </c>
      <c r="G20" s="141">
        <f t="shared" ca="1" si="1"/>
        <v>27</v>
      </c>
      <c r="H20" s="30">
        <f ca="1">VLOOKUP(A20,Rankings!B1:H651,7,FALSE)+(RAND()*0.00001)</f>
        <v>4.2556576102459385</v>
      </c>
      <c r="I20" s="30">
        <f ca="1">H20-VLOOKUP(Settings!$K$8+Settings!$K$9,G$2:H$251,2,FALSE)</f>
        <v>3.7603660700048014</v>
      </c>
    </row>
    <row r="21" spans="1:9" ht="18.600000000000001" customHeight="1">
      <c r="A21" s="25" t="s">
        <v>149</v>
      </c>
      <c r="B21" s="26" t="s">
        <v>95</v>
      </c>
      <c r="C21" s="35" t="s">
        <v>31</v>
      </c>
      <c r="D21" s="141">
        <f t="shared" ca="1" si="0"/>
        <v>19</v>
      </c>
      <c r="E21" s="30">
        <f ca="1">VLOOKUP(A21,Rankings!B1:H651,6,FALSE)+(RAND()*0.00001)</f>
        <v>454.28333917486623</v>
      </c>
      <c r="F21" s="30">
        <f ca="1">E21-VLOOKUP(Settings!$K$8+Settings!$K$9,D$2:E$251,2,FALSE)</f>
        <v>135.2226699436423</v>
      </c>
      <c r="G21" s="141">
        <f t="shared" ca="1" si="1"/>
        <v>26</v>
      </c>
      <c r="H21" s="30">
        <f ca="1">VLOOKUP(A21,Rankings!B1:H651,7,FALSE)+(RAND()*0.00001)</f>
        <v>4.339532051294511</v>
      </c>
      <c r="I21" s="30">
        <f ca="1">H21-VLOOKUP(Settings!$K$8+Settings!$K$9,G$2:H$251,2,FALSE)</f>
        <v>3.8442405110533739</v>
      </c>
    </row>
    <row r="22" spans="1:9" ht="18.600000000000001" customHeight="1">
      <c r="A22" s="25" t="s">
        <v>146</v>
      </c>
      <c r="B22" s="26" t="s">
        <v>92</v>
      </c>
      <c r="C22" s="35" t="s">
        <v>31</v>
      </c>
      <c r="D22" s="141">
        <f t="shared" ca="1" si="0"/>
        <v>17</v>
      </c>
      <c r="E22" s="30">
        <f ca="1">VLOOKUP(A22,Rankings!B1:H651,6,FALSE)+(RAND()*0.00001)</f>
        <v>457.83334170712925</v>
      </c>
      <c r="F22" s="30">
        <f ca="1">E22-VLOOKUP(Settings!$K$8+Settings!$K$9,D$2:E$251,2,FALSE)</f>
        <v>138.77267247590532</v>
      </c>
      <c r="G22" s="141">
        <f t="shared" ca="1" si="1"/>
        <v>23</v>
      </c>
      <c r="H22" s="30">
        <f ca="1">VLOOKUP(A22,Rankings!B1:H651,7,FALSE)+(RAND()*0.00001)</f>
        <v>4.5705390713192262</v>
      </c>
      <c r="I22" s="30">
        <f ca="1">H22-VLOOKUP(Settings!$K$8+Settings!$K$9,G$2:H$251,2,FALSE)</f>
        <v>4.0752475310780891</v>
      </c>
    </row>
    <row r="23" spans="1:9" ht="18.600000000000001" customHeight="1">
      <c r="A23" s="25" t="s">
        <v>164</v>
      </c>
      <c r="B23" s="26" t="s">
        <v>122</v>
      </c>
      <c r="C23" s="35" t="s">
        <v>31</v>
      </c>
      <c r="D23" s="141">
        <f t="shared" ca="1" si="0"/>
        <v>21</v>
      </c>
      <c r="E23" s="30">
        <f ca="1">VLOOKUP(A23,Rankings!B1:H651,6,FALSE)+(RAND()*0.00001)</f>
        <v>449.16666855363843</v>
      </c>
      <c r="F23" s="30">
        <f ca="1">E23-VLOOKUP(Settings!$K$8+Settings!$K$9,D$2:E$251,2,FALSE)</f>
        <v>130.1059993224145</v>
      </c>
      <c r="G23" s="141">
        <f t="shared" ca="1" si="1"/>
        <v>32</v>
      </c>
      <c r="H23" s="30">
        <f ca="1">VLOOKUP(A23,Rankings!B1:H651,7,FALSE)+(RAND()*0.00001)</f>
        <v>3.9079618176819615</v>
      </c>
      <c r="I23" s="30">
        <f ca="1">H23-VLOOKUP(Settings!$K$8+Settings!$K$9,G$2:H$251,2,FALSE)</f>
        <v>3.4126702774408244</v>
      </c>
    </row>
    <row r="24" spans="1:9" ht="18.600000000000001" customHeight="1">
      <c r="A24" s="25" t="s">
        <v>173</v>
      </c>
      <c r="B24" s="26" t="s">
        <v>64</v>
      </c>
      <c r="C24" s="35" t="s">
        <v>31</v>
      </c>
      <c r="D24" s="141">
        <f t="shared" ca="1" si="0"/>
        <v>20</v>
      </c>
      <c r="E24" s="30">
        <f ca="1">VLOOKUP(A24,Rankings!B1:H651,6,FALSE)+(RAND()*0.00001)</f>
        <v>451.53333474268726</v>
      </c>
      <c r="F24" s="30">
        <f ca="1">E24-VLOOKUP(Settings!$K$8+Settings!$K$9,D$2:E$251,2,FALSE)</f>
        <v>132.47266551146333</v>
      </c>
      <c r="G24" s="141">
        <f t="shared" ca="1" si="1"/>
        <v>38</v>
      </c>
      <c r="H24" s="30">
        <f ca="1">VLOOKUP(A24,Rankings!B1:H651,7,FALSE)+(RAND()*0.00001)</f>
        <v>3.7337333311216518</v>
      </c>
      <c r="I24" s="30">
        <f ca="1">H24-VLOOKUP(Settings!$K$8+Settings!$K$9,G$2:H$251,2,FALSE)</f>
        <v>3.2384417908805148</v>
      </c>
    </row>
    <row r="25" spans="1:9" ht="18.600000000000001" customHeight="1">
      <c r="A25" s="25" t="s">
        <v>113</v>
      </c>
      <c r="B25" s="26" t="s">
        <v>74</v>
      </c>
      <c r="C25" s="35" t="s">
        <v>31</v>
      </c>
      <c r="D25" s="141">
        <f t="shared" ca="1" si="0"/>
        <v>24</v>
      </c>
      <c r="E25" s="30">
        <f ca="1">VLOOKUP(A25,Rankings!B1:H651,6,FALSE)+(RAND()*0.00001)</f>
        <v>441.70000336485953</v>
      </c>
      <c r="F25" s="30">
        <f ca="1">E25-VLOOKUP(Settings!$K$8+Settings!$K$9,D$2:E$251,2,FALSE)</f>
        <v>122.6393341336356</v>
      </c>
      <c r="G25" s="141">
        <f t="shared" ca="1" si="1"/>
        <v>10</v>
      </c>
      <c r="H25" s="30">
        <f ca="1">VLOOKUP(A25,Rankings!B1:H651,7,FALSE)+(RAND()*0.00001)</f>
        <v>6.0611733266583787</v>
      </c>
      <c r="I25" s="30">
        <f ca="1">H25-VLOOKUP(Settings!$K$8+Settings!$K$9,G$2:H$251,2,FALSE)</f>
        <v>5.5658817864172416</v>
      </c>
    </row>
    <row r="26" spans="1:9" ht="18.600000000000001" customHeight="1">
      <c r="A26" s="25" t="s">
        <v>181</v>
      </c>
      <c r="B26" s="26" t="s">
        <v>77</v>
      </c>
      <c r="C26" s="35" t="s">
        <v>31</v>
      </c>
      <c r="D26" s="141">
        <f t="shared" ca="1" si="0"/>
        <v>25</v>
      </c>
      <c r="E26" s="30">
        <f ca="1">VLOOKUP(A26,Rankings!B1:H651,6,FALSE)+(RAND()*0.00001)</f>
        <v>439.20000671088138</v>
      </c>
      <c r="F26" s="30">
        <f ca="1">E26-VLOOKUP(Settings!$K$8+Settings!$K$9,D$2:E$251,2,FALSE)</f>
        <v>120.13933747965746</v>
      </c>
      <c r="G26" s="141">
        <f t="shared" ca="1" si="1"/>
        <v>40</v>
      </c>
      <c r="H26" s="30">
        <f ca="1">VLOOKUP(A26,Rankings!B1:H651,7,FALSE)+(RAND()*0.00001)</f>
        <v>3.4993729762513284</v>
      </c>
      <c r="I26" s="30">
        <f ca="1">H26-VLOOKUP(Settings!$K$8+Settings!$K$9,G$2:H$251,2,FALSE)</f>
        <v>3.0040814360101913</v>
      </c>
    </row>
    <row r="27" spans="1:9" ht="18.600000000000001" customHeight="1">
      <c r="A27" s="25" t="s">
        <v>191</v>
      </c>
      <c r="B27" s="26" t="s">
        <v>72</v>
      </c>
      <c r="C27" s="35" t="s">
        <v>31</v>
      </c>
      <c r="D27" s="141">
        <f t="shared" ca="1" si="0"/>
        <v>23</v>
      </c>
      <c r="E27" s="30">
        <f ca="1">VLOOKUP(A27,Rankings!B1:H651,6,FALSE)+(RAND()*0.00001)</f>
        <v>443.48333349393886</v>
      </c>
      <c r="F27" s="30">
        <f ca="1">E27-VLOOKUP(Settings!$K$8+Settings!$K$9,D$2:E$251,2,FALSE)</f>
        <v>124.42266426271493</v>
      </c>
      <c r="G27" s="141">
        <f t="shared" ca="1" si="1"/>
        <v>43</v>
      </c>
      <c r="H27" s="30">
        <f ca="1">VLOOKUP(A27,Rankings!B1:H651,7,FALSE)+(RAND()*0.00001)</f>
        <v>3.1636877696380501</v>
      </c>
      <c r="I27" s="30">
        <f ca="1">H27-VLOOKUP(Settings!$K$8+Settings!$K$9,G$2:H$251,2,FALSE)</f>
        <v>2.668396229396913</v>
      </c>
    </row>
    <row r="28" spans="1:9" ht="18.600000000000001" customHeight="1">
      <c r="A28" s="25" t="s">
        <v>179</v>
      </c>
      <c r="B28" s="26" t="s">
        <v>72</v>
      </c>
      <c r="C28" s="35" t="s">
        <v>31</v>
      </c>
      <c r="D28" s="141">
        <f t="shared" ca="1" si="0"/>
        <v>22</v>
      </c>
      <c r="E28" s="30">
        <f ca="1">VLOOKUP(A28,Rankings!B1:H651,6,FALSE)+(RAND()*0.00001)</f>
        <v>447.31667616537135</v>
      </c>
      <c r="F28" s="30">
        <f ca="1">E28-VLOOKUP(Settings!$K$8+Settings!$K$9,D$2:E$251,2,FALSE)</f>
        <v>128.25600693414742</v>
      </c>
      <c r="G28" s="141">
        <f t="shared" ca="1" si="1"/>
        <v>39</v>
      </c>
      <c r="H28" s="30">
        <f ca="1">VLOOKUP(A28,Rankings!B1:H651,7,FALSE)+(RAND()*0.00001)</f>
        <v>3.5751549131229154</v>
      </c>
      <c r="I28" s="30">
        <f ca="1">H28-VLOOKUP(Settings!$K$8+Settings!$K$9,G$2:H$251,2,FALSE)</f>
        <v>3.0798633728817784</v>
      </c>
    </row>
    <row r="29" spans="1:9" ht="18.600000000000001" customHeight="1">
      <c r="A29" s="25" t="s">
        <v>172</v>
      </c>
      <c r="B29" s="26" t="s">
        <v>69</v>
      </c>
      <c r="C29" s="35" t="s">
        <v>31</v>
      </c>
      <c r="D29" s="141">
        <f t="shared" ca="1" si="0"/>
        <v>28</v>
      </c>
      <c r="E29" s="30">
        <f ca="1">VLOOKUP(A29,Rankings!B1:H651,6,FALSE)+(RAND()*0.00001)</f>
        <v>427.95000349228246</v>
      </c>
      <c r="F29" s="30">
        <f ca="1">E29-VLOOKUP(Settings!$K$8+Settings!$K$9,D$2:E$251,2,FALSE)</f>
        <v>108.88933426105854</v>
      </c>
      <c r="G29" s="141">
        <f t="shared" ca="1" si="1"/>
        <v>37</v>
      </c>
      <c r="H29" s="30">
        <f ca="1">VLOOKUP(A29,Rankings!B1:H651,7,FALSE)+(RAND()*0.00001)</f>
        <v>3.7392164375288424</v>
      </c>
      <c r="I29" s="30">
        <f ca="1">H29-VLOOKUP(Settings!$K$8+Settings!$K$9,G$2:H$251,2,FALSE)</f>
        <v>3.2439248972877053</v>
      </c>
    </row>
    <row r="30" spans="1:9" ht="18.600000000000001" customHeight="1">
      <c r="A30" s="25" t="s">
        <v>154</v>
      </c>
      <c r="B30" s="26" t="s">
        <v>79</v>
      </c>
      <c r="C30" s="35" t="s">
        <v>31</v>
      </c>
      <c r="D30" s="141">
        <f t="shared" ca="1" si="0"/>
        <v>27</v>
      </c>
      <c r="E30" s="30">
        <f ca="1">VLOOKUP(A30,Rankings!B1:H651,6,FALSE)+(RAND()*0.00001)</f>
        <v>429.90000204099596</v>
      </c>
      <c r="F30" s="30">
        <f ca="1">E30-VLOOKUP(Settings!$K$8+Settings!$K$9,D$2:E$251,2,FALSE)</f>
        <v>110.83933280977203</v>
      </c>
      <c r="G30" s="141">
        <f t="shared" ca="1" si="1"/>
        <v>29</v>
      </c>
      <c r="H30" s="30">
        <f ca="1">VLOOKUP(A30,Rankings!B1:H651,7,FALSE)+(RAND()*0.00001)</f>
        <v>4.2345725154179172</v>
      </c>
      <c r="I30" s="30">
        <f ca="1">H30-VLOOKUP(Settings!$K$8+Settings!$K$9,G$2:H$251,2,FALSE)</f>
        <v>3.7392809751767802</v>
      </c>
    </row>
    <row r="31" spans="1:9" ht="18.600000000000001" customHeight="1">
      <c r="A31" s="25" t="s">
        <v>174</v>
      </c>
      <c r="B31" s="26" t="s">
        <v>64</v>
      </c>
      <c r="C31" s="41" t="s">
        <v>34</v>
      </c>
      <c r="D31" s="141">
        <f t="shared" ca="1" si="0"/>
        <v>47</v>
      </c>
      <c r="E31" s="30">
        <f ca="1">VLOOKUP(A31,Rankings!B1:H651,6,FALSE)+(RAND()*0.00001)</f>
        <v>380.75000955390169</v>
      </c>
      <c r="F31" s="30">
        <f ca="1">E31-VLOOKUP(Settings!$K$8+Settings!$K$9,D$2:E$251,2,FALSE)</f>
        <v>61.689340322677765</v>
      </c>
      <c r="G31" s="141">
        <f t="shared" ca="1" si="1"/>
        <v>15</v>
      </c>
      <c r="H31" s="30">
        <f ca="1">VLOOKUP(A31,Rankings!B1:H651,7,FALSE)+(RAND()*0.00001)</f>
        <v>5.1137005851226904</v>
      </c>
      <c r="I31" s="30">
        <f ca="1">H31-VLOOKUP(Settings!$K$8+Settings!$K$9,G$2:H$251,2,FALSE)</f>
        <v>4.6184090448815533</v>
      </c>
    </row>
    <row r="32" spans="1:9" ht="18.600000000000001" customHeight="1">
      <c r="A32" s="25" t="s">
        <v>86</v>
      </c>
      <c r="B32" s="26" t="s">
        <v>87</v>
      </c>
      <c r="C32" s="35" t="s">
        <v>31</v>
      </c>
      <c r="D32" s="141">
        <f t="shared" ca="1" si="0"/>
        <v>26</v>
      </c>
      <c r="E32" s="30">
        <f ca="1">VLOOKUP(A32,Rankings!B1:H651,6,FALSE)+(RAND()*0.00001)</f>
        <v>436.81666789921189</v>
      </c>
      <c r="F32" s="30">
        <f ca="1">E32-VLOOKUP(Settings!$K$8+Settings!$K$9,D$2:E$251,2,FALSE)</f>
        <v>117.75599866798797</v>
      </c>
      <c r="G32" s="141">
        <f t="shared" ca="1" si="1"/>
        <v>3</v>
      </c>
      <c r="H32" s="30">
        <f ca="1">VLOOKUP(A32,Rankings!B1:H651,7,FALSE)+(RAND()*0.00001)</f>
        <v>7.7871533316261692</v>
      </c>
      <c r="I32" s="30">
        <f ca="1">H32-VLOOKUP(Settings!$K$8+Settings!$K$9,G$2:H$251,2,FALSE)</f>
        <v>7.2918617913850321</v>
      </c>
    </row>
    <row r="33" spans="1:9" ht="18.600000000000001" customHeight="1">
      <c r="A33" s="25" t="s">
        <v>163</v>
      </c>
      <c r="B33" s="26" t="s">
        <v>95</v>
      </c>
      <c r="C33" s="41" t="s">
        <v>34</v>
      </c>
      <c r="D33" s="141">
        <f t="shared" ca="1" si="0"/>
        <v>49</v>
      </c>
      <c r="E33" s="30">
        <f ca="1">VLOOKUP(A33,Rankings!B1:H651,6,FALSE)+(RAND()*0.00001)</f>
        <v>379.45000842615394</v>
      </c>
      <c r="F33" s="30">
        <f ca="1">E33-VLOOKUP(Settings!$K$8+Settings!$K$9,D$2:E$251,2,FALSE)</f>
        <v>60.389339194930017</v>
      </c>
      <c r="G33" s="141">
        <f t="shared" ca="1" si="1"/>
        <v>13</v>
      </c>
      <c r="H33" s="30">
        <f ca="1">VLOOKUP(A33,Rankings!B1:H651,7,FALSE)+(RAND()*0.00001)</f>
        <v>5.3330162155296135</v>
      </c>
      <c r="I33" s="30">
        <f ca="1">H33-VLOOKUP(Settings!$K$8+Settings!$K$9,G$2:H$251,2,FALSE)</f>
        <v>4.8377246752884764</v>
      </c>
    </row>
    <row r="34" spans="1:9" ht="18.600000000000001" customHeight="1">
      <c r="A34" s="25" t="s">
        <v>209</v>
      </c>
      <c r="B34" s="26" t="s">
        <v>95</v>
      </c>
      <c r="C34" s="35" t="s">
        <v>31</v>
      </c>
      <c r="D34" s="141">
        <f t="shared" ca="1" si="0"/>
        <v>31</v>
      </c>
      <c r="E34" s="30">
        <f ca="1">VLOOKUP(A34,Rankings!B1:H651,6,FALSE)+(RAND()*0.00001)</f>
        <v>419.13733788375805</v>
      </c>
      <c r="F34" s="30">
        <f ca="1">E34-VLOOKUP(Settings!$K$8+Settings!$K$9,D$2:E$251,2,FALSE)</f>
        <v>100.07666865253412</v>
      </c>
      <c r="G34" s="141">
        <f t="shared" ca="1" si="1"/>
        <v>49</v>
      </c>
      <c r="H34" s="30">
        <f ca="1">VLOOKUP(A34,Rankings!B1:H651,7,FALSE)+(RAND()*0.00001)</f>
        <v>2.5163779494975538</v>
      </c>
      <c r="I34" s="30">
        <f ca="1">H34-VLOOKUP(Settings!$K$8+Settings!$K$9,G$2:H$251,2,FALSE)</f>
        <v>2.0210864092564167</v>
      </c>
    </row>
    <row r="35" spans="1:9" ht="18.600000000000001" customHeight="1">
      <c r="A35" s="25" t="s">
        <v>227</v>
      </c>
      <c r="B35" s="26" t="s">
        <v>72</v>
      </c>
      <c r="C35" s="35" t="s">
        <v>31</v>
      </c>
      <c r="D35" s="141">
        <f t="shared" ca="1" si="0"/>
        <v>32</v>
      </c>
      <c r="E35" s="30">
        <f ca="1">VLOOKUP(A35,Rankings!B1:H651,6,FALSE)+(RAND()*0.00001)</f>
        <v>418.37666684447163</v>
      </c>
      <c r="F35" s="30">
        <f ca="1">E35-VLOOKUP(Settings!$K$8+Settings!$K$9,D$2:E$251,2,FALSE)</f>
        <v>99.315997613247703</v>
      </c>
      <c r="G35" s="141">
        <f t="shared" ca="1" si="1"/>
        <v>57</v>
      </c>
      <c r="H35" s="30">
        <f ca="1">VLOOKUP(A35,Rankings!B1:H651,7,FALSE)+(RAND()*0.00001)</f>
        <v>2.1569453255411402</v>
      </c>
      <c r="I35" s="30">
        <f ca="1">H35-VLOOKUP(Settings!$K$8+Settings!$K$9,G$2:H$251,2,FALSE)</f>
        <v>1.6616537853000029</v>
      </c>
    </row>
    <row r="36" spans="1:9" ht="18.600000000000001" customHeight="1">
      <c r="A36" s="25" t="s">
        <v>155</v>
      </c>
      <c r="B36" s="26" t="s">
        <v>69</v>
      </c>
      <c r="C36" s="35" t="s">
        <v>31</v>
      </c>
      <c r="D36" s="141">
        <f t="shared" ca="1" si="0"/>
        <v>33</v>
      </c>
      <c r="E36" s="30">
        <f ca="1">VLOOKUP(A36,Rankings!B1:H651,6,FALSE)+(RAND()*0.00001)</f>
        <v>412.31667478899607</v>
      </c>
      <c r="F36" s="30">
        <f ca="1">E36-VLOOKUP(Settings!$K$8+Settings!$K$9,D$2:E$251,2,FALSE)</f>
        <v>93.256005557772141</v>
      </c>
      <c r="G36" s="141">
        <f t="shared" ca="1" si="1"/>
        <v>30</v>
      </c>
      <c r="H36" s="30">
        <f ca="1">VLOOKUP(A36,Rankings!B1:H651,7,FALSE)+(RAND()*0.00001)</f>
        <v>4.2120174581229923</v>
      </c>
      <c r="I36" s="30">
        <f ca="1">H36-VLOOKUP(Settings!$K$8+Settings!$K$9,G$2:H$251,2,FALSE)</f>
        <v>3.7167259178818552</v>
      </c>
    </row>
    <row r="37" spans="1:9" ht="18.600000000000001" customHeight="1">
      <c r="A37" s="25" t="s">
        <v>221</v>
      </c>
      <c r="B37" s="26" t="s">
        <v>219</v>
      </c>
      <c r="C37" s="35" t="s">
        <v>31</v>
      </c>
      <c r="D37" s="141">
        <f t="shared" ca="1" si="0"/>
        <v>30</v>
      </c>
      <c r="E37" s="30">
        <f ca="1">VLOOKUP(A37,Rankings!B1:H651,6,FALSE)+(RAND()*0.00001)</f>
        <v>422.90400983436433</v>
      </c>
      <c r="F37" s="30">
        <f ca="1">E37-VLOOKUP(Settings!$K$8+Settings!$K$9,D$2:E$251,2,FALSE)</f>
        <v>103.8433406031404</v>
      </c>
      <c r="G37" s="141">
        <f t="shared" ca="1" si="1"/>
        <v>52</v>
      </c>
      <c r="H37" s="30">
        <f ca="1">VLOOKUP(A37,Rankings!B1:H651,7,FALSE)+(RAND()*0.00001)</f>
        <v>2.3426819573638835</v>
      </c>
      <c r="I37" s="30">
        <f ca="1">H37-VLOOKUP(Settings!$K$8+Settings!$K$9,G$2:H$251,2,FALSE)</f>
        <v>1.8473904171227462</v>
      </c>
    </row>
    <row r="38" spans="1:9" ht="18.600000000000001" customHeight="1">
      <c r="A38" s="25" t="s">
        <v>183</v>
      </c>
      <c r="B38" s="26" t="s">
        <v>79</v>
      </c>
      <c r="C38" s="41" t="s">
        <v>34</v>
      </c>
      <c r="D38" s="141">
        <f t="shared" ca="1" si="0"/>
        <v>58</v>
      </c>
      <c r="E38" s="30">
        <f ca="1">VLOOKUP(A38,Rankings!B1:H651,6,FALSE)+(RAND()*0.00001)</f>
        <v>361.28333723410947</v>
      </c>
      <c r="F38" s="30">
        <f ca="1">E38-VLOOKUP(Settings!$K$8+Settings!$K$9,D$2:E$251,2,FALSE)</f>
        <v>42.222668002885541</v>
      </c>
      <c r="G38" s="141">
        <f t="shared" ca="1" si="1"/>
        <v>19</v>
      </c>
      <c r="H38" s="30">
        <f ca="1">VLOOKUP(A38,Rankings!B1:H651,7,FALSE)+(RAND()*0.00001)</f>
        <v>4.8897627430768917</v>
      </c>
      <c r="I38" s="30">
        <f ca="1">H38-VLOOKUP(Settings!$K$8+Settings!$K$9,G$2:H$251,2,FALSE)</f>
        <v>4.3944712028357547</v>
      </c>
    </row>
    <row r="39" spans="1:9" ht="18.600000000000001" customHeight="1">
      <c r="A39" s="25" t="s">
        <v>238</v>
      </c>
      <c r="B39" s="26" t="s">
        <v>74</v>
      </c>
      <c r="C39" s="35" t="s">
        <v>31</v>
      </c>
      <c r="D39" s="141">
        <f t="shared" ca="1" si="0"/>
        <v>34</v>
      </c>
      <c r="E39" s="30">
        <f ca="1">VLOOKUP(A39,Rankings!B1:H651,6,FALSE)+(RAND()*0.00001)</f>
        <v>412.06200257786531</v>
      </c>
      <c r="F39" s="30">
        <f ca="1">E39-VLOOKUP(Settings!$K$8+Settings!$K$9,D$2:E$251,2,FALSE)</f>
        <v>93.001333346641388</v>
      </c>
      <c r="G39" s="141">
        <f t="shared" ca="1" si="1"/>
        <v>63</v>
      </c>
      <c r="H39" s="30">
        <f ca="1">VLOOKUP(A39,Rankings!B1:H651,7,FALSE)+(RAND()*0.00001)</f>
        <v>1.8758317536094666</v>
      </c>
      <c r="I39" s="30">
        <f ca="1">H39-VLOOKUP(Settings!$K$8+Settings!$K$9,G$2:H$251,2,FALSE)</f>
        <v>1.3805402133683293</v>
      </c>
    </row>
    <row r="40" spans="1:9" ht="18.600000000000001" customHeight="1">
      <c r="A40" s="25" t="s">
        <v>176</v>
      </c>
      <c r="B40" s="26" t="s">
        <v>99</v>
      </c>
      <c r="C40" s="41" t="s">
        <v>34</v>
      </c>
      <c r="D40" s="141">
        <f t="shared" ca="1" si="0"/>
        <v>59</v>
      </c>
      <c r="E40" s="30">
        <f ca="1">VLOOKUP(A40,Rankings!B1:H651,6,FALSE)+(RAND()*0.00001)</f>
        <v>357.33334099070828</v>
      </c>
      <c r="F40" s="30">
        <f ca="1">E40-VLOOKUP(Settings!$K$8+Settings!$K$9,D$2:E$251,2,FALSE)</f>
        <v>38.272671759484354</v>
      </c>
      <c r="G40" s="141">
        <f t="shared" ca="1" si="1"/>
        <v>17</v>
      </c>
      <c r="H40" s="30">
        <f ca="1">VLOOKUP(A40,Rankings!B1:H651,7,FALSE)+(RAND()*0.00001)</f>
        <v>5.0597068711845283</v>
      </c>
      <c r="I40" s="30">
        <f ca="1">H40-VLOOKUP(Settings!$K$8+Settings!$K$9,G$2:H$251,2,FALSE)</f>
        <v>4.5644153309433912</v>
      </c>
    </row>
    <row r="41" spans="1:9" ht="18.600000000000001" customHeight="1">
      <c r="A41" s="25" t="s">
        <v>258</v>
      </c>
      <c r="B41" s="26" t="s">
        <v>105</v>
      </c>
      <c r="C41" s="41" t="s">
        <v>34</v>
      </c>
      <c r="D41" s="141">
        <f t="shared" ca="1" si="0"/>
        <v>60</v>
      </c>
      <c r="E41" s="30">
        <f ca="1">VLOOKUP(A41,Rankings!B1:H651,6,FALSE)+(RAND()*0.00001)</f>
        <v>355.93334233552116</v>
      </c>
      <c r="F41" s="30">
        <f ca="1">E41-VLOOKUP(Settings!$K$8+Settings!$K$9,D$2:E$251,2,FALSE)</f>
        <v>36.872673104297235</v>
      </c>
      <c r="G41" s="141">
        <f t="shared" ca="1" si="1"/>
        <v>46</v>
      </c>
      <c r="H41" s="30">
        <f ca="1">VLOOKUP(A41,Rankings!B1:H651,7,FALSE)+(RAND()*0.00001)</f>
        <v>2.8002226954347593</v>
      </c>
      <c r="I41" s="30">
        <f ca="1">H41-VLOOKUP(Settings!$K$8+Settings!$K$9,G$2:H$251,2,FALSE)</f>
        <v>2.3049311551936222</v>
      </c>
    </row>
    <row r="42" spans="1:9" ht="18.600000000000001" customHeight="1">
      <c r="A42" s="25" t="s">
        <v>203</v>
      </c>
      <c r="B42" s="26" t="s">
        <v>158</v>
      </c>
      <c r="C42" s="35" t="s">
        <v>31</v>
      </c>
      <c r="D42" s="141">
        <f t="shared" ca="1" si="0"/>
        <v>39</v>
      </c>
      <c r="E42" s="30">
        <f ca="1">VLOOKUP(A42,Rankings!B1:H651,6,FALSE)+(RAND()*0.00001)</f>
        <v>397.56667499794332</v>
      </c>
      <c r="F42" s="30">
        <f ca="1">E42-VLOOKUP(Settings!$K$8+Settings!$K$9,D$2:E$251,2,FALSE)</f>
        <v>78.506005766719397</v>
      </c>
      <c r="G42" s="141">
        <f t="shared" ca="1" si="1"/>
        <v>47</v>
      </c>
      <c r="H42" s="30">
        <f ca="1">VLOOKUP(A42,Rankings!B1:H651,7,FALSE)+(RAND()*0.00001)</f>
        <v>2.7229075914546179</v>
      </c>
      <c r="I42" s="30">
        <f ca="1">H42-VLOOKUP(Settings!$K$8+Settings!$K$9,G$2:H$251,2,FALSE)</f>
        <v>2.2276160512134808</v>
      </c>
    </row>
    <row r="43" spans="1:9" ht="18.600000000000001" customHeight="1">
      <c r="A43" s="25" t="s">
        <v>234</v>
      </c>
      <c r="B43" s="26" t="s">
        <v>125</v>
      </c>
      <c r="C43" s="35" t="s">
        <v>31</v>
      </c>
      <c r="D43" s="141">
        <f t="shared" ca="1" si="0"/>
        <v>37</v>
      </c>
      <c r="E43" s="30">
        <f ca="1">VLOOKUP(A43,Rankings!B1:H651,6,FALSE)+(RAND()*0.00001)</f>
        <v>402.1706744701558</v>
      </c>
      <c r="F43" s="30">
        <f ca="1">E43-VLOOKUP(Settings!$K$8+Settings!$K$9,D$2:E$251,2,FALSE)</f>
        <v>83.110005238931876</v>
      </c>
      <c r="G43" s="141">
        <f t="shared" ca="1" si="1"/>
        <v>61</v>
      </c>
      <c r="H43" s="30">
        <f ca="1">VLOOKUP(A43,Rankings!B1:H651,7,FALSE)+(RAND()*0.00001)</f>
        <v>2.0104299916045023</v>
      </c>
      <c r="I43" s="30">
        <f ca="1">H43-VLOOKUP(Settings!$K$8+Settings!$K$9,G$2:H$251,2,FALSE)</f>
        <v>1.515138451363365</v>
      </c>
    </row>
    <row r="44" spans="1:9" ht="18.600000000000001" customHeight="1">
      <c r="A44" s="25" t="s">
        <v>212</v>
      </c>
      <c r="B44" s="26" t="s">
        <v>72</v>
      </c>
      <c r="C44" s="35" t="s">
        <v>31</v>
      </c>
      <c r="D44" s="141">
        <f t="shared" ca="1" si="0"/>
        <v>42</v>
      </c>
      <c r="E44" s="30">
        <f ca="1">VLOOKUP(A44,Rankings!B1:H651,6,FALSE)+(RAND()*0.00001)</f>
        <v>392.5933400236014</v>
      </c>
      <c r="F44" s="30">
        <f ca="1">E44-VLOOKUP(Settings!$K$8+Settings!$K$9,D$2:E$251,2,FALSE)</f>
        <v>73.532670792377473</v>
      </c>
      <c r="G44" s="141">
        <f t="shared" ca="1" si="1"/>
        <v>50</v>
      </c>
      <c r="H44" s="30">
        <f ca="1">VLOOKUP(A44,Rankings!B1:H651,7,FALSE)+(RAND()*0.00001)</f>
        <v>2.4336469175618891</v>
      </c>
      <c r="I44" s="30">
        <f ca="1">H44-VLOOKUP(Settings!$K$8+Settings!$K$9,G$2:H$251,2,FALSE)</f>
        <v>1.9383553773207518</v>
      </c>
    </row>
    <row r="45" spans="1:9" ht="18.600000000000001" customHeight="1">
      <c r="A45" s="25" t="s">
        <v>263</v>
      </c>
      <c r="B45" s="26" t="s">
        <v>125</v>
      </c>
      <c r="C45" s="35" t="s">
        <v>31</v>
      </c>
      <c r="D45" s="141">
        <f t="shared" ca="1" si="0"/>
        <v>36</v>
      </c>
      <c r="E45" s="30">
        <f ca="1">VLOOKUP(A45,Rankings!B1:H651,6,FALSE)+(RAND()*0.00001)</f>
        <v>402.57600915736089</v>
      </c>
      <c r="F45" s="30">
        <f ca="1">E45-VLOOKUP(Settings!$K$8+Settings!$K$9,D$2:E$251,2,FALSE)</f>
        <v>83.51533992613696</v>
      </c>
      <c r="G45" s="141">
        <f t="shared" ca="1" si="1"/>
        <v>73</v>
      </c>
      <c r="H45" s="30">
        <f ca="1">VLOOKUP(A45,Rankings!B1:H651,7,FALSE)+(RAND()*0.00001)</f>
        <v>1.30873252762467</v>
      </c>
      <c r="I45" s="30">
        <f ca="1">H45-VLOOKUP(Settings!$K$8+Settings!$K$9,G$2:H$251,2,FALSE)</f>
        <v>0.81344098738353265</v>
      </c>
    </row>
    <row r="46" spans="1:9" ht="18.600000000000001" customHeight="1">
      <c r="A46" s="25" t="s">
        <v>216</v>
      </c>
      <c r="B46" s="26" t="s">
        <v>116</v>
      </c>
      <c r="C46" s="35" t="s">
        <v>31</v>
      </c>
      <c r="D46" s="141">
        <f t="shared" ca="1" si="0"/>
        <v>38</v>
      </c>
      <c r="E46" s="30">
        <f ca="1">VLOOKUP(A46,Rankings!B1:H651,6,FALSE)+(RAND()*0.00001)</f>
        <v>398.11667307494315</v>
      </c>
      <c r="F46" s="30">
        <f ca="1">E46-VLOOKUP(Settings!$K$8+Settings!$K$9,D$2:E$251,2,FALSE)</f>
        <v>79.056003843719225</v>
      </c>
      <c r="G46" s="141">
        <f t="shared" ca="1" si="1"/>
        <v>51</v>
      </c>
      <c r="H46" s="30">
        <f ca="1">VLOOKUP(A46,Rankings!B1:H651,7,FALSE)+(RAND()*0.00001)</f>
        <v>2.3667858192848903</v>
      </c>
      <c r="I46" s="30">
        <f ca="1">H46-VLOOKUP(Settings!$K$8+Settings!$K$9,G$2:H$251,2,FALSE)</f>
        <v>1.871494279043753</v>
      </c>
    </row>
    <row r="47" spans="1:9" ht="18.600000000000001" customHeight="1">
      <c r="A47" s="25" t="s">
        <v>242</v>
      </c>
      <c r="B47" s="26" t="s">
        <v>74</v>
      </c>
      <c r="C47" s="35" t="s">
        <v>31</v>
      </c>
      <c r="D47" s="141">
        <f t="shared" ca="1" si="0"/>
        <v>41</v>
      </c>
      <c r="E47" s="30">
        <f ca="1">VLOOKUP(A47,Rankings!B1:H651,6,FALSE)+(RAND()*0.00001)</f>
        <v>394.15000889959759</v>
      </c>
      <c r="F47" s="30">
        <f ca="1">E47-VLOOKUP(Settings!$K$8+Settings!$K$9,D$2:E$251,2,FALSE)</f>
        <v>75.089339668373668</v>
      </c>
      <c r="G47" s="141">
        <f t="shared" ca="1" si="1"/>
        <v>65</v>
      </c>
      <c r="H47" s="30">
        <f ca="1">VLOOKUP(A47,Rankings!B1:H651,7,FALSE)+(RAND()*0.00001)</f>
        <v>1.7648996932618657</v>
      </c>
      <c r="I47" s="30">
        <f ca="1">H47-VLOOKUP(Settings!$K$8+Settings!$K$9,G$2:H$251,2,FALSE)</f>
        <v>1.2696081530207284</v>
      </c>
    </row>
    <row r="48" spans="1:9" ht="18.600000000000001" customHeight="1">
      <c r="A48" s="25" t="s">
        <v>285</v>
      </c>
      <c r="B48" s="26" t="s">
        <v>122</v>
      </c>
      <c r="C48" s="35" t="s">
        <v>31</v>
      </c>
      <c r="D48" s="141">
        <f t="shared" ca="1" si="0"/>
        <v>40</v>
      </c>
      <c r="E48" s="30">
        <f ca="1">VLOOKUP(A48,Rankings!B1:H651,6,FALSE)+(RAND()*0.00001)</f>
        <v>394.51000722657881</v>
      </c>
      <c r="F48" s="30">
        <f ca="1">E48-VLOOKUP(Settings!$K$8+Settings!$K$9,D$2:E$251,2,FALSE)</f>
        <v>75.449337995354881</v>
      </c>
      <c r="G48" s="141">
        <f t="shared" ca="1" si="1"/>
        <v>82</v>
      </c>
      <c r="H48" s="30">
        <f ca="1">VLOOKUP(A48,Rankings!B1:H651,7,FALSE)+(RAND()*0.00001)</f>
        <v>0.8536201881469222</v>
      </c>
      <c r="I48" s="30">
        <f ca="1">H48-VLOOKUP(Settings!$K$8+Settings!$K$9,G$2:H$251,2,FALSE)</f>
        <v>0.35832864790578495</v>
      </c>
    </row>
    <row r="49" spans="1:9" ht="18.600000000000001" customHeight="1">
      <c r="A49" s="25" t="s">
        <v>190</v>
      </c>
      <c r="B49" s="26" t="s">
        <v>74</v>
      </c>
      <c r="C49" s="41" t="s">
        <v>34</v>
      </c>
      <c r="D49" s="141">
        <f t="shared" ca="1" si="0"/>
        <v>70</v>
      </c>
      <c r="E49" s="30">
        <f ca="1">VLOOKUP(A49,Rankings!B1:H651,6,FALSE)+(RAND()*0.00001)</f>
        <v>343.01667124612931</v>
      </c>
      <c r="F49" s="30">
        <f ca="1">E49-VLOOKUP(Settings!$K$8+Settings!$K$9,D$2:E$251,2,FALSE)</f>
        <v>23.95600201490538</v>
      </c>
      <c r="G49" s="141">
        <f t="shared" ca="1" si="1"/>
        <v>21</v>
      </c>
      <c r="H49" s="30">
        <f ca="1">VLOOKUP(A49,Rankings!B1:H651,7,FALSE)+(RAND()*0.00001)</f>
        <v>4.679491247043722</v>
      </c>
      <c r="I49" s="30">
        <f ca="1">H49-VLOOKUP(Settings!$K$8+Settings!$K$9,G$2:H$251,2,FALSE)</f>
        <v>4.1841997068025849</v>
      </c>
    </row>
    <row r="50" spans="1:9" ht="18.600000000000001" customHeight="1">
      <c r="A50" s="25" t="s">
        <v>184</v>
      </c>
      <c r="B50" s="26" t="s">
        <v>125</v>
      </c>
      <c r="C50" s="41" t="s">
        <v>34</v>
      </c>
      <c r="D50" s="141">
        <f t="shared" ca="1" si="0"/>
        <v>72</v>
      </c>
      <c r="E50" s="30">
        <f ca="1">VLOOKUP(A50,Rankings!B1:H651,6,FALSE)+(RAND()*0.00001)</f>
        <v>340.68333639965897</v>
      </c>
      <c r="F50" s="30">
        <f ca="1">E50-VLOOKUP(Settings!$K$8+Settings!$K$9,D$2:E$251,2,FALSE)</f>
        <v>21.622667168435044</v>
      </c>
      <c r="G50" s="141">
        <f t="shared" ca="1" si="1"/>
        <v>20</v>
      </c>
      <c r="H50" s="30">
        <f ca="1">VLOOKUP(A50,Rankings!B1:H651,7,FALSE)+(RAND()*0.00001)</f>
        <v>4.8779904735616233</v>
      </c>
      <c r="I50" s="30">
        <f ca="1">H50-VLOOKUP(Settings!$K$8+Settings!$K$9,G$2:H$251,2,FALSE)</f>
        <v>4.3826989333204862</v>
      </c>
    </row>
    <row r="51" spans="1:9" ht="18.600000000000001" customHeight="1">
      <c r="A51" s="25" t="s">
        <v>280</v>
      </c>
      <c r="B51" s="26" t="s">
        <v>116</v>
      </c>
      <c r="C51" s="35" t="s">
        <v>31</v>
      </c>
      <c r="D51" s="141">
        <f t="shared" ca="1" si="0"/>
        <v>46</v>
      </c>
      <c r="E51" s="30">
        <f ca="1">VLOOKUP(A51,Rankings!B1:H651,6,FALSE)+(RAND()*0.00001)</f>
        <v>383.28333471826659</v>
      </c>
      <c r="F51" s="30">
        <f ca="1">E51-VLOOKUP(Settings!$K$8+Settings!$K$9,D$2:E$251,2,FALSE)</f>
        <v>64.222665487042661</v>
      </c>
      <c r="G51" s="141">
        <f t="shared" ca="1" si="1"/>
        <v>79</v>
      </c>
      <c r="H51" s="30">
        <f ca="1">VLOOKUP(A51,Rankings!B1:H651,7,FALSE)+(RAND()*0.00001)</f>
        <v>0.97518022122687753</v>
      </c>
      <c r="I51" s="30">
        <f ca="1">H51-VLOOKUP(Settings!$K$8+Settings!$K$9,G$2:H$251,2,FALSE)</f>
        <v>0.47988868098574028</v>
      </c>
    </row>
    <row r="52" spans="1:9" ht="18.600000000000001" customHeight="1">
      <c r="A52" s="25" t="s">
        <v>271</v>
      </c>
      <c r="B52" s="26" t="s">
        <v>119</v>
      </c>
      <c r="C52" s="35" t="s">
        <v>31</v>
      </c>
      <c r="D52" s="141">
        <f t="shared" ca="1" si="0"/>
        <v>43</v>
      </c>
      <c r="E52" s="30">
        <f ca="1">VLOOKUP(A52,Rankings!B1:H651,6,FALSE)+(RAND()*0.00001)</f>
        <v>388.71133698023675</v>
      </c>
      <c r="F52" s="30">
        <f ca="1">E52-VLOOKUP(Settings!$K$8+Settings!$K$9,D$2:E$251,2,FALSE)</f>
        <v>69.650667749012825</v>
      </c>
      <c r="G52" s="141">
        <f t="shared" ca="1" si="1"/>
        <v>75</v>
      </c>
      <c r="H52" s="30">
        <f ca="1">VLOOKUP(A52,Rankings!B1:H651,7,FALSE)+(RAND()*0.00001)</f>
        <v>1.1541966402359785</v>
      </c>
      <c r="I52" s="30">
        <f ca="1">H52-VLOOKUP(Settings!$K$8+Settings!$K$9,G$2:H$251,2,FALSE)</f>
        <v>0.65890509999484115</v>
      </c>
    </row>
    <row r="53" spans="1:9" ht="18.600000000000001" customHeight="1">
      <c r="A53" s="25" t="s">
        <v>246</v>
      </c>
      <c r="B53" s="26" t="s">
        <v>158</v>
      </c>
      <c r="C53" s="35" t="s">
        <v>31</v>
      </c>
      <c r="D53" s="141">
        <f t="shared" ca="1" si="0"/>
        <v>44</v>
      </c>
      <c r="E53" s="30">
        <f ca="1">VLOOKUP(A53,Rankings!B1:H651,6,FALSE)+(RAND()*0.00001)</f>
        <v>385.33400968146003</v>
      </c>
      <c r="F53" s="30">
        <f ca="1">E53-VLOOKUP(Settings!$K$8+Settings!$K$9,D$2:E$251,2,FALSE)</f>
        <v>66.273340450236105</v>
      </c>
      <c r="G53" s="141">
        <f t="shared" ca="1" si="1"/>
        <v>66</v>
      </c>
      <c r="H53" s="30">
        <f ca="1">VLOOKUP(A53,Rankings!B1:H651,7,FALSE)+(RAND()*0.00001)</f>
        <v>1.7141847917458783</v>
      </c>
      <c r="I53" s="30">
        <f ca="1">H53-VLOOKUP(Settings!$K$8+Settings!$K$9,G$2:H$251,2,FALSE)</f>
        <v>1.218893251504741</v>
      </c>
    </row>
    <row r="54" spans="1:9" ht="18.600000000000001" customHeight="1">
      <c r="A54" s="25" t="s">
        <v>224</v>
      </c>
      <c r="B54" s="26" t="s">
        <v>225</v>
      </c>
      <c r="C54" s="35" t="s">
        <v>31</v>
      </c>
      <c r="D54" s="141">
        <f t="shared" ca="1" si="0"/>
        <v>50</v>
      </c>
      <c r="E54" s="30">
        <f ca="1">VLOOKUP(A54,Rankings!B1:H651,6,FALSE)+(RAND()*0.00001)</f>
        <v>378.50000711782889</v>
      </c>
      <c r="F54" s="30">
        <f ca="1">E54-VLOOKUP(Settings!$K$8+Settings!$K$9,D$2:E$251,2,FALSE)</f>
        <v>59.43933788660496</v>
      </c>
      <c r="G54" s="141">
        <f t="shared" ca="1" si="1"/>
        <v>54</v>
      </c>
      <c r="H54" s="30">
        <f ca="1">VLOOKUP(A54,Rankings!B1:H651,7,FALSE)+(RAND()*0.00001)</f>
        <v>2.1944171448242491</v>
      </c>
      <c r="I54" s="30">
        <f ca="1">H54-VLOOKUP(Settings!$K$8+Settings!$K$9,G$2:H$251,2,FALSE)</f>
        <v>1.6991256045831118</v>
      </c>
    </row>
    <row r="55" spans="1:9" ht="18.600000000000001" customHeight="1">
      <c r="A55" s="25" t="s">
        <v>156</v>
      </c>
      <c r="B55" s="26" t="s">
        <v>82</v>
      </c>
      <c r="C55" s="35" t="s">
        <v>31</v>
      </c>
      <c r="D55" s="141">
        <f t="shared" ca="1" si="0"/>
        <v>45</v>
      </c>
      <c r="E55" s="30">
        <f ca="1">VLOOKUP(A55,Rankings!B1:H651,6,FALSE)+(RAND()*0.00001)</f>
        <v>384.05000691969917</v>
      </c>
      <c r="F55" s="30">
        <f ca="1">E55-VLOOKUP(Settings!$K$8+Settings!$K$9,D$2:E$251,2,FALSE)</f>
        <v>64.989337688475246</v>
      </c>
      <c r="G55" s="141">
        <f t="shared" ca="1" si="1"/>
        <v>31</v>
      </c>
      <c r="H55" s="30">
        <f ca="1">VLOOKUP(A55,Rankings!B1:H651,7,FALSE)+(RAND()*0.00001)</f>
        <v>4.1571615850180796</v>
      </c>
      <c r="I55" s="30">
        <f ca="1">H55-VLOOKUP(Settings!$K$8+Settings!$K$9,G$2:H$251,2,FALSE)</f>
        <v>3.6618700447769426</v>
      </c>
    </row>
    <row r="56" spans="1:9" ht="18.600000000000001" customHeight="1">
      <c r="A56" s="25" t="s">
        <v>195</v>
      </c>
      <c r="B56" s="26" t="s">
        <v>103</v>
      </c>
      <c r="C56" s="35" t="s">
        <v>31</v>
      </c>
      <c r="D56" s="141">
        <f t="shared" ca="1" si="0"/>
        <v>56</v>
      </c>
      <c r="E56" s="30">
        <f ca="1">VLOOKUP(A56,Rankings!B1:H651,6,FALSE)+(RAND()*0.00001)</f>
        <v>368.61667533225983</v>
      </c>
      <c r="F56" s="30">
        <f ca="1">E56-VLOOKUP(Settings!$K$8+Settings!$K$9,D$2:E$251,2,FALSE)</f>
        <v>49.556006101035905</v>
      </c>
      <c r="G56" s="141">
        <f t="shared" ca="1" si="1"/>
        <v>44</v>
      </c>
      <c r="H56" s="30">
        <f ca="1">VLOOKUP(A56,Rankings!B1:H651,7,FALSE)+(RAND()*0.00001)</f>
        <v>3.0596034386744249</v>
      </c>
      <c r="I56" s="30">
        <f ca="1">H56-VLOOKUP(Settings!$K$8+Settings!$K$9,G$2:H$251,2,FALSE)</f>
        <v>2.5643118984332878</v>
      </c>
    </row>
    <row r="57" spans="1:9" ht="18.600000000000001" customHeight="1">
      <c r="A57" s="25" t="s">
        <v>284</v>
      </c>
      <c r="B57" s="26" t="s">
        <v>85</v>
      </c>
      <c r="C57" s="35" t="s">
        <v>31</v>
      </c>
      <c r="D57" s="141">
        <f t="shared" ca="1" si="0"/>
        <v>51</v>
      </c>
      <c r="E57" s="30">
        <f ca="1">VLOOKUP(A57,Rankings!B1:H651,6,FALSE)+(RAND()*0.00001)</f>
        <v>377.55667173041388</v>
      </c>
      <c r="F57" s="30">
        <f ca="1">E57-VLOOKUP(Settings!$K$8+Settings!$K$9,D$2:E$251,2,FALSE)</f>
        <v>58.496002499189956</v>
      </c>
      <c r="G57" s="141">
        <f t="shared" ca="1" si="1"/>
        <v>81</v>
      </c>
      <c r="H57" s="30">
        <f ca="1">VLOOKUP(A57,Rankings!B1:H651,7,FALSE)+(RAND()*0.00001)</f>
        <v>0.87370680347711227</v>
      </c>
      <c r="I57" s="30">
        <f ca="1">H57-VLOOKUP(Settings!$K$8+Settings!$K$9,G$2:H$251,2,FALSE)</f>
        <v>0.37841526323597502</v>
      </c>
    </row>
    <row r="58" spans="1:9" ht="18.600000000000001" customHeight="1">
      <c r="A58" s="25" t="s">
        <v>322</v>
      </c>
      <c r="B58" s="26" t="s">
        <v>125</v>
      </c>
      <c r="C58" s="35" t="s">
        <v>31</v>
      </c>
      <c r="D58" s="141">
        <f t="shared" ca="1" si="0"/>
        <v>52</v>
      </c>
      <c r="E58" s="30">
        <f ca="1">VLOOKUP(A58,Rankings!B1:H651,6,FALSE)+(RAND()*0.00001)</f>
        <v>374.04534208041594</v>
      </c>
      <c r="F58" s="30">
        <f ca="1">E58-VLOOKUP(Settings!$K$8+Settings!$K$9,D$2:E$251,2,FALSE)</f>
        <v>54.984672849192009</v>
      </c>
      <c r="G58" s="141">
        <f t="shared" ca="1" si="1"/>
        <v>92</v>
      </c>
      <c r="H58" s="30">
        <f ca="1">VLOOKUP(A58,Rankings!B1:H651,7,FALSE)+(RAND()*0.00001)</f>
        <v>0.32657049159776419</v>
      </c>
      <c r="I58" s="30">
        <f ca="1">H58-VLOOKUP(Settings!$K$8+Settings!$K$9,G$2:H$251,2,FALSE)</f>
        <v>-0.16872104864337306</v>
      </c>
    </row>
    <row r="59" spans="1:9" ht="18.600000000000001" customHeight="1">
      <c r="A59" s="25" t="s">
        <v>339</v>
      </c>
      <c r="B59" s="26" t="s">
        <v>95</v>
      </c>
      <c r="C59" s="35" t="s">
        <v>31</v>
      </c>
      <c r="D59" s="141">
        <f t="shared" ca="1" si="0"/>
        <v>53</v>
      </c>
      <c r="E59" s="30">
        <f ca="1">VLOOKUP(A59,Rankings!B1:H651,6,FALSE)+(RAND()*0.00001)</f>
        <v>372.32667418322205</v>
      </c>
      <c r="F59" s="30">
        <f ca="1">E59-VLOOKUP(Settings!$K$8+Settings!$K$9,D$2:E$251,2,FALSE)</f>
        <v>53.266004951998127</v>
      </c>
      <c r="G59" s="141">
        <f t="shared" ca="1" si="1"/>
        <v>96</v>
      </c>
      <c r="H59" s="30">
        <f ca="1">VLOOKUP(A59,Rankings!B1:H651,7,FALSE)+(RAND()*0.00001)</f>
        <v>0.12587554150565181</v>
      </c>
      <c r="I59" s="30">
        <f ca="1">H59-VLOOKUP(Settings!$K$8+Settings!$K$9,G$2:H$251,2,FALSE)</f>
        <v>-0.36941599873548547</v>
      </c>
    </row>
    <row r="60" spans="1:9" ht="18.600000000000001" customHeight="1">
      <c r="A60" s="25" t="s">
        <v>233</v>
      </c>
      <c r="B60" s="26" t="s">
        <v>225</v>
      </c>
      <c r="C60" s="35" t="s">
        <v>31</v>
      </c>
      <c r="D60" s="141">
        <f t="shared" ca="1" si="0"/>
        <v>48</v>
      </c>
      <c r="E60" s="30">
        <f ca="1">VLOOKUP(A60,Rankings!B1:H651,6,FALSE)+(RAND()*0.00001)</f>
        <v>379.93333443837275</v>
      </c>
      <c r="F60" s="30">
        <f ca="1">E60-VLOOKUP(Settings!$K$8+Settings!$K$9,D$2:E$251,2,FALSE)</f>
        <v>60.872665207148827</v>
      </c>
      <c r="G60" s="141">
        <f t="shared" ca="1" si="1"/>
        <v>60</v>
      </c>
      <c r="H60" s="30">
        <f ca="1">VLOOKUP(A60,Rankings!B1:H651,7,FALSE)+(RAND()*0.00001)</f>
        <v>2.0168575398841559</v>
      </c>
      <c r="I60" s="30">
        <f ca="1">H60-VLOOKUP(Settings!$K$8+Settings!$K$9,G$2:H$251,2,FALSE)</f>
        <v>1.5215659996430186</v>
      </c>
    </row>
    <row r="61" spans="1:9" ht="18.600000000000001" customHeight="1">
      <c r="A61" s="25" t="s">
        <v>199</v>
      </c>
      <c r="B61" s="26" t="s">
        <v>101</v>
      </c>
      <c r="C61" s="41" t="s">
        <v>34</v>
      </c>
      <c r="D61" s="141">
        <f t="shared" ca="1" si="0"/>
        <v>82</v>
      </c>
      <c r="E61" s="30">
        <f ca="1">VLOOKUP(A61,Rankings!B1:H651,6,FALSE)+(RAND()*0.00001)</f>
        <v>326.2166688017906</v>
      </c>
      <c r="F61" s="30">
        <f ca="1">E61-VLOOKUP(Settings!$K$8+Settings!$K$9,D$2:E$251,2,FALSE)</f>
        <v>7.1559995705666779</v>
      </c>
      <c r="G61" s="141">
        <f t="shared" ca="1" si="1"/>
        <v>25</v>
      </c>
      <c r="H61" s="30">
        <f ca="1">VLOOKUP(A61,Rankings!B1:H651,7,FALSE)+(RAND()*0.00001)</f>
        <v>4.4181124219953025</v>
      </c>
      <c r="I61" s="30">
        <f ca="1">H61-VLOOKUP(Settings!$K$8+Settings!$K$9,G$2:H$251,2,FALSE)</f>
        <v>3.9228208817541654</v>
      </c>
    </row>
    <row r="62" spans="1:9" ht="18.600000000000001" customHeight="1">
      <c r="A62" s="25" t="s">
        <v>256</v>
      </c>
      <c r="B62" s="26" t="s">
        <v>219</v>
      </c>
      <c r="C62" s="35" t="s">
        <v>31</v>
      </c>
      <c r="D62" s="141">
        <f t="shared" ca="1" si="0"/>
        <v>54</v>
      </c>
      <c r="E62" s="30">
        <f ca="1">VLOOKUP(A62,Rankings!B1:H651,6,FALSE)+(RAND()*0.00001)</f>
        <v>372.3140079289833</v>
      </c>
      <c r="F62" s="30">
        <f ca="1">E62-VLOOKUP(Settings!$K$8+Settings!$K$9,D$2:E$251,2,FALSE)</f>
        <v>53.253338697759375</v>
      </c>
      <c r="G62" s="141">
        <f t="shared" ca="1" si="1"/>
        <v>71</v>
      </c>
      <c r="H62" s="30">
        <f ca="1">VLOOKUP(A62,Rankings!B1:H651,7,FALSE)+(RAND()*0.00001)</f>
        <v>1.3908889113297158</v>
      </c>
      <c r="I62" s="30">
        <f ca="1">H62-VLOOKUP(Settings!$K$8+Settings!$K$9,G$2:H$251,2,FALSE)</f>
        <v>0.89559737108857851</v>
      </c>
    </row>
    <row r="63" spans="1:9" ht="18.600000000000001" customHeight="1">
      <c r="A63" s="25" t="s">
        <v>169</v>
      </c>
      <c r="B63" s="26" t="s">
        <v>103</v>
      </c>
      <c r="C63" s="35" t="s">
        <v>31</v>
      </c>
      <c r="D63" s="141">
        <f t="shared" ca="1" si="0"/>
        <v>55</v>
      </c>
      <c r="E63" s="30">
        <f ca="1">VLOOKUP(A63,Rankings!B1:H651,6,FALSE)+(RAND()*0.00001)</f>
        <v>369.63333457466564</v>
      </c>
      <c r="F63" s="30">
        <f ca="1">E63-VLOOKUP(Settings!$K$8+Settings!$K$9,D$2:E$251,2,FALSE)</f>
        <v>50.572665343441713</v>
      </c>
      <c r="G63" s="141">
        <f t="shared" ca="1" si="1"/>
        <v>34</v>
      </c>
      <c r="H63" s="30">
        <f ca="1">VLOOKUP(A63,Rankings!B1:H651,7,FALSE)+(RAND()*0.00001)</f>
        <v>3.8307888459140922</v>
      </c>
      <c r="I63" s="30">
        <f ca="1">H63-VLOOKUP(Settings!$K$8+Settings!$K$9,G$2:H$251,2,FALSE)</f>
        <v>3.3354973056729551</v>
      </c>
    </row>
    <row r="64" spans="1:9" ht="18.600000000000001" customHeight="1">
      <c r="A64" s="25" t="s">
        <v>226</v>
      </c>
      <c r="B64" s="26" t="s">
        <v>64</v>
      </c>
      <c r="C64" s="35" t="s">
        <v>31</v>
      </c>
      <c r="D64" s="141">
        <f t="shared" ca="1" si="0"/>
        <v>57</v>
      </c>
      <c r="E64" s="30">
        <f ca="1">VLOOKUP(A64,Rankings!B1:H651,6,FALSE)+(RAND()*0.00001)</f>
        <v>363.66667256962006</v>
      </c>
      <c r="F64" s="30">
        <f ca="1">E64-VLOOKUP(Settings!$K$8+Settings!$K$9,D$2:E$251,2,FALSE)</f>
        <v>44.606003338396135</v>
      </c>
      <c r="G64" s="141">
        <f t="shared" ca="1" si="1"/>
        <v>55</v>
      </c>
      <c r="H64" s="30">
        <f ca="1">VLOOKUP(A64,Rankings!B1:H651,7,FALSE)+(RAND()*0.00001)</f>
        <v>2.1873450754249579</v>
      </c>
      <c r="I64" s="30">
        <f ca="1">H64-VLOOKUP(Settings!$K$8+Settings!$K$9,G$2:H$251,2,FALSE)</f>
        <v>1.6920535351838206</v>
      </c>
    </row>
    <row r="65" spans="1:9" ht="18.600000000000001" customHeight="1">
      <c r="A65" s="25" t="s">
        <v>385</v>
      </c>
      <c r="B65" s="26" t="s">
        <v>178</v>
      </c>
      <c r="C65" s="41" t="s">
        <v>34</v>
      </c>
      <c r="D65" s="141">
        <f t="shared" ca="1" si="0"/>
        <v>89</v>
      </c>
      <c r="E65" s="30">
        <f ca="1">VLOOKUP(A65,Rankings!B1:H651,6,FALSE)+(RAND()*0.00001)</f>
        <v>317.40000873961259</v>
      </c>
      <c r="F65" s="30">
        <f ca="1">E65-VLOOKUP(Settings!$K$8+Settings!$K$9,D$2:E$251,2,FALSE)</f>
        <v>-1.6606604916113383</v>
      </c>
      <c r="G65" s="141">
        <f t="shared" ca="1" si="1"/>
        <v>83</v>
      </c>
      <c r="H65" s="30">
        <f ca="1">VLOOKUP(A65,Rankings!B1:H651,7,FALSE)+(RAND()*0.00001)</f>
        <v>0.81640485032364707</v>
      </c>
      <c r="I65" s="30">
        <f ca="1">H65-VLOOKUP(Settings!$K$8+Settings!$K$9,G$2:H$251,2,FALSE)</f>
        <v>0.32111331008250982</v>
      </c>
    </row>
    <row r="66" spans="1:9" ht="18.600000000000001" customHeight="1">
      <c r="A66" s="25" t="s">
        <v>289</v>
      </c>
      <c r="B66" s="26" t="s">
        <v>219</v>
      </c>
      <c r="C66" s="41" t="s">
        <v>34</v>
      </c>
      <c r="D66" s="141">
        <f t="shared" ref="D66:D129" ca="1" si="2">RANK(E66,E$2:E$251)</f>
        <v>90</v>
      </c>
      <c r="E66" s="30">
        <f ca="1">VLOOKUP(A66,Rankings!B1:H651,6,FALSE)+(RAND()*0.00001)</f>
        <v>317.31667496997522</v>
      </c>
      <c r="F66" s="30">
        <f ca="1">E66-VLOOKUP(Settings!$K$8+Settings!$K$9,D$2:E$251,2,FALSE)</f>
        <v>-1.7439942612487016</v>
      </c>
      <c r="G66" s="141">
        <f t="shared" ref="G66:G129" ca="1" si="3">RANK(H66,H$2:H$251)</f>
        <v>53</v>
      </c>
      <c r="H66" s="30">
        <f ca="1">VLOOKUP(A66,Rankings!B1:H651,7,FALSE)+(RAND()*0.00001)</f>
        <v>2.2049342237751257</v>
      </c>
      <c r="I66" s="30">
        <f ca="1">H66-VLOOKUP(Settings!$K$8+Settings!$K$9,G$2:H$251,2,FALSE)</f>
        <v>1.7096426835339884</v>
      </c>
    </row>
    <row r="67" spans="1:9" ht="18.600000000000001" customHeight="1">
      <c r="A67" s="25" t="s">
        <v>232</v>
      </c>
      <c r="B67" s="26" t="s">
        <v>82</v>
      </c>
      <c r="C67" s="35" t="s">
        <v>31</v>
      </c>
      <c r="D67" s="141">
        <f t="shared" ca="1" si="2"/>
        <v>61</v>
      </c>
      <c r="E67" s="30">
        <f ca="1">VLOOKUP(A67,Rankings!B1:H651,6,FALSE)+(RAND()*0.00001)</f>
        <v>353.18800422876444</v>
      </c>
      <c r="F67" s="30">
        <f ca="1">E67-VLOOKUP(Settings!$K$8+Settings!$K$9,D$2:E$251,2,FALSE)</f>
        <v>34.127334997540515</v>
      </c>
      <c r="G67" s="141">
        <f t="shared" ca="1" si="3"/>
        <v>59</v>
      </c>
      <c r="H67" s="30">
        <f ca="1">VLOOKUP(A67,Rankings!B1:H651,7,FALSE)+(RAND()*0.00001)</f>
        <v>2.0271718331122046</v>
      </c>
      <c r="I67" s="30">
        <f ca="1">H67-VLOOKUP(Settings!$K$8+Settings!$K$9,G$2:H$251,2,FALSE)</f>
        <v>1.5318802928710673</v>
      </c>
    </row>
    <row r="68" spans="1:9" ht="18.600000000000001" customHeight="1">
      <c r="A68" s="25" t="s">
        <v>351</v>
      </c>
      <c r="B68" s="26" t="s">
        <v>79</v>
      </c>
      <c r="C68" s="35" t="s">
        <v>31</v>
      </c>
      <c r="D68" s="141">
        <f t="shared" ca="1" si="2"/>
        <v>62</v>
      </c>
      <c r="E68" s="30">
        <f ca="1">VLOOKUP(A68,Rankings!B1:H651,6,FALSE)+(RAND()*0.00001)</f>
        <v>351.44333834459502</v>
      </c>
      <c r="F68" s="30">
        <f ca="1">E68-VLOOKUP(Settings!$K$8+Settings!$K$9,D$2:E$251,2,FALSE)</f>
        <v>32.382669113371094</v>
      </c>
      <c r="G68" s="141">
        <f t="shared" ca="1" si="3"/>
        <v>102</v>
      </c>
      <c r="H68" s="30">
        <f ca="1">VLOOKUP(A68,Rankings!B1:H651,7,FALSE)+(RAND()*0.00001)</f>
        <v>-3.9695185210562527E-2</v>
      </c>
      <c r="I68" s="30">
        <f ca="1">H68-VLOOKUP(Settings!$K$8+Settings!$K$9,G$2:H$251,2,FALSE)</f>
        <v>-0.53498672545169978</v>
      </c>
    </row>
    <row r="69" spans="1:9" ht="18.600000000000001" customHeight="1">
      <c r="A69" s="25" t="s">
        <v>348</v>
      </c>
      <c r="B69" s="26" t="s">
        <v>160</v>
      </c>
      <c r="C69" s="35" t="s">
        <v>31</v>
      </c>
      <c r="D69" s="141">
        <f t="shared" ca="1" si="2"/>
        <v>66</v>
      </c>
      <c r="E69" s="30">
        <f ca="1">VLOOKUP(A69,Rankings!B1:H651,6,FALSE)+(RAND()*0.00001)</f>
        <v>348.73333962396373</v>
      </c>
      <c r="F69" s="30">
        <f ca="1">E69-VLOOKUP(Settings!$K$8+Settings!$K$9,D$2:E$251,2,FALSE)</f>
        <v>29.672670392739803</v>
      </c>
      <c r="G69" s="141">
        <f t="shared" ca="1" si="3"/>
        <v>100</v>
      </c>
      <c r="H69" s="30">
        <f ca="1">VLOOKUP(A69,Rankings!B1:H651,7,FALSE)+(RAND()*0.00001)</f>
        <v>-2.4567738399638014E-3</v>
      </c>
      <c r="I69" s="30">
        <f ca="1">H69-VLOOKUP(Settings!$K$8+Settings!$K$9,G$2:H$251,2,FALSE)</f>
        <v>-0.49774831408110104</v>
      </c>
    </row>
    <row r="70" spans="1:9" ht="18.600000000000001" customHeight="1">
      <c r="A70" s="25" t="s">
        <v>338</v>
      </c>
      <c r="B70" s="26" t="s">
        <v>79</v>
      </c>
      <c r="C70" s="35" t="s">
        <v>31</v>
      </c>
      <c r="D70" s="141">
        <f t="shared" ca="1" si="2"/>
        <v>71</v>
      </c>
      <c r="E70" s="30">
        <f ca="1">VLOOKUP(A70,Rankings!B1:H651,6,FALSE)+(RAND()*0.00001)</f>
        <v>342.1446740702612</v>
      </c>
      <c r="F70" s="30">
        <f ca="1">E70-VLOOKUP(Settings!$K$8+Settings!$K$9,D$2:E$251,2,FALSE)</f>
        <v>23.084004839037277</v>
      </c>
      <c r="G70" s="141">
        <f t="shared" ca="1" si="3"/>
        <v>95</v>
      </c>
      <c r="H70" s="30">
        <f ca="1">VLOOKUP(A70,Rankings!B1:H651,7,FALSE)+(RAND()*0.00001)</f>
        <v>0.13598815910870099</v>
      </c>
      <c r="I70" s="30">
        <f ca="1">H70-VLOOKUP(Settings!$K$8+Settings!$K$9,G$2:H$251,2,FALSE)</f>
        <v>-0.35930338113243626</v>
      </c>
    </row>
    <row r="71" spans="1:9" ht="18.600000000000001" customHeight="1">
      <c r="A71" s="25" t="s">
        <v>301</v>
      </c>
      <c r="B71" s="26" t="s">
        <v>87</v>
      </c>
      <c r="C71" s="35" t="s">
        <v>31</v>
      </c>
      <c r="D71" s="141">
        <f t="shared" ca="1" si="2"/>
        <v>63</v>
      </c>
      <c r="E71" s="30">
        <f ca="1">VLOOKUP(A71,Rankings!B1:H651,6,FALSE)+(RAND()*0.00001)</f>
        <v>351.00000833154542</v>
      </c>
      <c r="F71" s="30">
        <f ca="1">E71-VLOOKUP(Settings!$K$8+Settings!$K$9,D$2:E$251,2,FALSE)</f>
        <v>31.93933910032149</v>
      </c>
      <c r="G71" s="141">
        <f t="shared" ca="1" si="3"/>
        <v>87</v>
      </c>
      <c r="H71" s="30">
        <f ca="1">VLOOKUP(A71,Rankings!B1:H651,7,FALSE)+(RAND()*0.00001)</f>
        <v>0.5722616424443655</v>
      </c>
      <c r="I71" s="30">
        <f ca="1">H71-VLOOKUP(Settings!$K$8+Settings!$K$9,G$2:H$251,2,FALSE)</f>
        <v>7.6970102203228252E-2</v>
      </c>
    </row>
    <row r="72" spans="1:9" ht="18.600000000000001" customHeight="1">
      <c r="A72" s="25" t="s">
        <v>281</v>
      </c>
      <c r="B72" s="26" t="s">
        <v>103</v>
      </c>
      <c r="C72" s="35" t="s">
        <v>31</v>
      </c>
      <c r="D72" s="141">
        <f t="shared" ca="1" si="2"/>
        <v>64</v>
      </c>
      <c r="E72" s="30">
        <f ca="1">VLOOKUP(A72,Rankings!B1:H651,6,FALSE)+(RAND()*0.00001)</f>
        <v>349.97400129624458</v>
      </c>
      <c r="F72" s="30">
        <f ca="1">E72-VLOOKUP(Settings!$K$8+Settings!$K$9,D$2:E$251,2,FALSE)</f>
        <v>30.913332065020654</v>
      </c>
      <c r="G72" s="141">
        <f t="shared" ca="1" si="3"/>
        <v>80</v>
      </c>
      <c r="H72" s="30">
        <f ca="1">VLOOKUP(A72,Rankings!B1:H651,7,FALSE)+(RAND()*0.00001)</f>
        <v>0.97433644717015089</v>
      </c>
      <c r="I72" s="30">
        <f ca="1">H72-VLOOKUP(Settings!$K$8+Settings!$K$9,G$2:H$251,2,FALSE)</f>
        <v>0.47904490692901364</v>
      </c>
    </row>
    <row r="73" spans="1:9" ht="18.600000000000001" customHeight="1">
      <c r="A73" s="25" t="s">
        <v>319</v>
      </c>
      <c r="B73" s="26" t="s">
        <v>160</v>
      </c>
      <c r="C73" s="35" t="s">
        <v>31</v>
      </c>
      <c r="D73" s="141">
        <f t="shared" ca="1" si="2"/>
        <v>65</v>
      </c>
      <c r="E73" s="30">
        <f ca="1">VLOOKUP(A73,Rankings!B1:H651,6,FALSE)+(RAND()*0.00001)</f>
        <v>349.50333606187115</v>
      </c>
      <c r="F73" s="30">
        <f ca="1">E73-VLOOKUP(Settings!$K$8+Settings!$K$9,D$2:E$251,2,FALSE)</f>
        <v>30.442666830647227</v>
      </c>
      <c r="G73" s="141">
        <f t="shared" ca="1" si="3"/>
        <v>91</v>
      </c>
      <c r="H73" s="30">
        <f ca="1">VLOOKUP(A73,Rankings!B1:H651,7,FALSE)+(RAND()*0.00001)</f>
        <v>0.3476209113685958</v>
      </c>
      <c r="I73" s="30">
        <f ca="1">H73-VLOOKUP(Settings!$K$8+Settings!$K$9,G$2:H$251,2,FALSE)</f>
        <v>-0.14767062887254145</v>
      </c>
    </row>
    <row r="74" spans="1:9" ht="18.600000000000001" customHeight="1">
      <c r="A74" s="25" t="s">
        <v>439</v>
      </c>
      <c r="B74" s="26" t="s">
        <v>178</v>
      </c>
      <c r="C74" s="35" t="s">
        <v>31</v>
      </c>
      <c r="D74" s="141">
        <f t="shared" ca="1" si="2"/>
        <v>68</v>
      </c>
      <c r="E74" s="30">
        <f ca="1">VLOOKUP(A74,Rankings!B1:H651,6,FALSE)+(RAND()*0.00001)</f>
        <v>345.22600691662797</v>
      </c>
      <c r="F74" s="30">
        <f ca="1">E74-VLOOKUP(Settings!$K$8+Settings!$K$9,D$2:E$251,2,FALSE)</f>
        <v>26.16533768540404</v>
      </c>
      <c r="G74" s="141">
        <f t="shared" ca="1" si="3"/>
        <v>165</v>
      </c>
      <c r="H74" s="30">
        <f ca="1">VLOOKUP(A74,Rankings!B1:H651,7,FALSE)+(RAND()*0.00001)</f>
        <v>-1.6065879265324323</v>
      </c>
      <c r="I74" s="30">
        <f ca="1">H74-VLOOKUP(Settings!$K$8+Settings!$K$9,G$2:H$251,2,FALSE)</f>
        <v>-2.1018794667735694</v>
      </c>
    </row>
    <row r="75" spans="1:9" ht="18.600000000000001" customHeight="1">
      <c r="A75" s="25" t="s">
        <v>296</v>
      </c>
      <c r="B75" s="26" t="s">
        <v>87</v>
      </c>
      <c r="C75" s="35" t="s">
        <v>31</v>
      </c>
      <c r="D75" s="141">
        <f t="shared" ca="1" si="2"/>
        <v>73</v>
      </c>
      <c r="E75" s="30">
        <f ca="1">VLOOKUP(A75,Rankings!B1:H651,6,FALSE)+(RAND()*0.00001)</f>
        <v>340.42333707014336</v>
      </c>
      <c r="F75" s="30">
        <f ca="1">E75-VLOOKUP(Settings!$K$8+Settings!$K$9,D$2:E$251,2,FALSE)</f>
        <v>21.362667838919435</v>
      </c>
      <c r="G75" s="141">
        <f t="shared" ca="1" si="3"/>
        <v>84</v>
      </c>
      <c r="H75" s="30">
        <f ca="1">VLOOKUP(A75,Rankings!B1:H651,7,FALSE)+(RAND()*0.00001)</f>
        <v>0.67669315883641934</v>
      </c>
      <c r="I75" s="30">
        <f ca="1">H75-VLOOKUP(Settings!$K$8+Settings!$K$9,G$2:H$251,2,FALSE)</f>
        <v>0.18140161859528209</v>
      </c>
    </row>
    <row r="76" spans="1:9" ht="18.600000000000001" customHeight="1">
      <c r="A76" s="25" t="s">
        <v>365</v>
      </c>
      <c r="B76" s="26" t="s">
        <v>92</v>
      </c>
      <c r="C76" s="35" t="s">
        <v>31</v>
      </c>
      <c r="D76" s="141">
        <f t="shared" ca="1" si="2"/>
        <v>76</v>
      </c>
      <c r="E76" s="30">
        <f ca="1">VLOOKUP(A76,Rankings!B1:H651,6,FALSE)+(RAND()*0.00001)</f>
        <v>335.70467371156957</v>
      </c>
      <c r="F76" s="30">
        <f ca="1">E76-VLOOKUP(Settings!$K$8+Settings!$K$9,D$2:E$251,2,FALSE)</f>
        <v>16.644004480345643</v>
      </c>
      <c r="G76" s="141">
        <f t="shared" ca="1" si="3"/>
        <v>113</v>
      </c>
      <c r="H76" s="30">
        <f ca="1">VLOOKUP(A76,Rankings!B1:H651,7,FALSE)+(RAND()*0.00001)</f>
        <v>-0.36822845541373761</v>
      </c>
      <c r="I76" s="30">
        <f ca="1">H76-VLOOKUP(Settings!$K$8+Settings!$K$9,G$2:H$251,2,FALSE)</f>
        <v>-0.86351999565487492</v>
      </c>
    </row>
    <row r="77" spans="1:9" ht="18.600000000000001" customHeight="1">
      <c r="A77" s="25" t="s">
        <v>316</v>
      </c>
      <c r="B77" s="26" t="s">
        <v>85</v>
      </c>
      <c r="C77" s="35" t="s">
        <v>31</v>
      </c>
      <c r="D77" s="141">
        <f t="shared" ca="1" si="2"/>
        <v>69</v>
      </c>
      <c r="E77" s="30">
        <f ca="1">VLOOKUP(A77,Rankings!B1:H651,6,FALSE)+(RAND()*0.00001)</f>
        <v>344.3000016570183</v>
      </c>
      <c r="F77" s="30">
        <f ca="1">E77-VLOOKUP(Settings!$K$8+Settings!$K$9,D$2:E$251,2,FALSE)</f>
        <v>25.239332425794373</v>
      </c>
      <c r="G77" s="141">
        <f t="shared" ca="1" si="3"/>
        <v>90</v>
      </c>
      <c r="H77" s="30">
        <f ca="1">VLOOKUP(A77,Rankings!B1:H651,7,FALSE)+(RAND()*0.00001)</f>
        <v>0.36593023051645929</v>
      </c>
      <c r="I77" s="30">
        <f ca="1">H77-VLOOKUP(Settings!$K$8+Settings!$K$9,G$2:H$251,2,FALSE)</f>
        <v>-0.12936130972467796</v>
      </c>
    </row>
    <row r="78" spans="1:9" ht="18.600000000000001" customHeight="1">
      <c r="A78" s="25" t="s">
        <v>391</v>
      </c>
      <c r="B78" s="26" t="s">
        <v>87</v>
      </c>
      <c r="C78" s="35" t="s">
        <v>31</v>
      </c>
      <c r="D78" s="141">
        <f t="shared" ca="1" si="2"/>
        <v>67</v>
      </c>
      <c r="E78" s="30">
        <f ca="1">VLOOKUP(A78,Rankings!B1:H651,6,FALSE)+(RAND()*0.00001)</f>
        <v>346.3640046698236</v>
      </c>
      <c r="F78" s="30">
        <f ca="1">E78-VLOOKUP(Settings!$K$8+Settings!$K$9,D$2:E$251,2,FALSE)</f>
        <v>27.303335438599674</v>
      </c>
      <c r="G78" s="141">
        <f t="shared" ca="1" si="3"/>
        <v>122</v>
      </c>
      <c r="H78" s="30">
        <f ca="1">VLOOKUP(A78,Rankings!B1:H651,7,FALSE)+(RAND()*0.00001)</f>
        <v>-0.66260651993501918</v>
      </c>
      <c r="I78" s="30">
        <f ca="1">H78-VLOOKUP(Settings!$K$8+Settings!$K$9,G$2:H$251,2,FALSE)</f>
        <v>-1.1578980601761564</v>
      </c>
    </row>
    <row r="79" spans="1:9" ht="18.600000000000001" customHeight="1">
      <c r="A79" s="25" t="s">
        <v>356</v>
      </c>
      <c r="B79" s="26" t="s">
        <v>85</v>
      </c>
      <c r="C79" s="35" t="s">
        <v>31</v>
      </c>
      <c r="D79" s="141">
        <f t="shared" ca="1" si="2"/>
        <v>78</v>
      </c>
      <c r="E79" s="30">
        <f ca="1">VLOOKUP(A79,Rankings!B1:H651,6,FALSE)+(RAND()*0.00001)</f>
        <v>333.7510069356772</v>
      </c>
      <c r="F79" s="30">
        <f ca="1">E79-VLOOKUP(Settings!$K$8+Settings!$K$9,D$2:E$251,2,FALSE)</f>
        <v>14.69033770445327</v>
      </c>
      <c r="G79" s="141">
        <f t="shared" ca="1" si="3"/>
        <v>105</v>
      </c>
      <c r="H79" s="30">
        <f ca="1">VLOOKUP(A79,Rankings!B1:H651,7,FALSE)+(RAND()*0.00001)</f>
        <v>-7.2340323451530755E-2</v>
      </c>
      <c r="I79" s="30">
        <f ca="1">H79-VLOOKUP(Settings!$K$8+Settings!$K$9,G$2:H$251,2,FALSE)</f>
        <v>-0.56763186369266805</v>
      </c>
    </row>
    <row r="80" spans="1:9" ht="18.600000000000001" customHeight="1">
      <c r="A80" s="25" t="s">
        <v>378</v>
      </c>
      <c r="B80" s="26" t="s">
        <v>219</v>
      </c>
      <c r="C80" s="35" t="s">
        <v>31</v>
      </c>
      <c r="D80" s="141">
        <f t="shared" ca="1" si="2"/>
        <v>75</v>
      </c>
      <c r="E80" s="30">
        <f ca="1">VLOOKUP(A80,Rankings!B1:H651,6,FALSE)+(RAND()*0.00001)</f>
        <v>336.29734220144297</v>
      </c>
      <c r="F80" s="30">
        <f ca="1">E80-VLOOKUP(Settings!$K$8+Settings!$K$9,D$2:E$251,2,FALSE)</f>
        <v>17.236672970219047</v>
      </c>
      <c r="G80" s="141">
        <f t="shared" ca="1" si="3"/>
        <v>118</v>
      </c>
      <c r="H80" s="30">
        <f ca="1">VLOOKUP(A80,Rankings!B1:H651,7,FALSE)+(RAND()*0.00001)</f>
        <v>-0.53899520914840038</v>
      </c>
      <c r="I80" s="30">
        <f ca="1">H80-VLOOKUP(Settings!$K$8+Settings!$K$9,G$2:H$251,2,FALSE)</f>
        <v>-1.0342867493895376</v>
      </c>
    </row>
    <row r="81" spans="1:9" ht="18.600000000000001" customHeight="1">
      <c r="A81" s="25" t="s">
        <v>427</v>
      </c>
      <c r="B81" s="26" t="s">
        <v>77</v>
      </c>
      <c r="C81" s="35" t="s">
        <v>31</v>
      </c>
      <c r="D81" s="141">
        <f t="shared" ca="1" si="2"/>
        <v>77</v>
      </c>
      <c r="E81" s="30">
        <f ca="1">VLOOKUP(A81,Rankings!B1:H651,6,FALSE)+(RAND()*0.00001)</f>
        <v>335.51600195860118</v>
      </c>
      <c r="F81" s="30">
        <f ca="1">E81-VLOOKUP(Settings!$K$8+Settings!$K$9,D$2:E$251,2,FALSE)</f>
        <v>16.455332727377254</v>
      </c>
      <c r="G81" s="141">
        <f t="shared" ca="1" si="3"/>
        <v>154</v>
      </c>
      <c r="H81" s="30">
        <f ca="1">VLOOKUP(A81,Rankings!B1:H651,7,FALSE)+(RAND()*0.00001)</f>
        <v>-1.4289722295543688</v>
      </c>
      <c r="I81" s="30">
        <f ca="1">H81-VLOOKUP(Settings!$K$8+Settings!$K$9,G$2:H$251,2,FALSE)</f>
        <v>-1.9242637697955061</v>
      </c>
    </row>
    <row r="82" spans="1:9" ht="18.600000000000001" customHeight="1">
      <c r="A82" s="25" t="s">
        <v>291</v>
      </c>
      <c r="B82" s="26" t="s">
        <v>69</v>
      </c>
      <c r="C82" s="41" t="s">
        <v>34</v>
      </c>
      <c r="D82" s="141">
        <f t="shared" ca="1" si="2"/>
        <v>104</v>
      </c>
      <c r="E82" s="30">
        <f ca="1">VLOOKUP(A82,Rankings!B1:H651,6,FALSE)+(RAND()*0.00001)</f>
        <v>296.43334203566053</v>
      </c>
      <c r="F82" s="30">
        <f ca="1">E82-VLOOKUP(Settings!$K$8+Settings!$K$9,D$2:E$251,2,FALSE)</f>
        <v>-22.627327195563396</v>
      </c>
      <c r="G82" s="141">
        <f t="shared" ca="1" si="3"/>
        <v>56</v>
      </c>
      <c r="H82" s="30">
        <f ca="1">VLOOKUP(A82,Rankings!B1:H651,7,FALSE)+(RAND()*0.00001)</f>
        <v>2.1701197168245581</v>
      </c>
      <c r="I82" s="30">
        <f ca="1">H82-VLOOKUP(Settings!$K$8+Settings!$K$9,G$2:H$251,2,FALSE)</f>
        <v>1.6748281765834208</v>
      </c>
    </row>
    <row r="83" spans="1:9" ht="18.600000000000001" customHeight="1">
      <c r="A83" s="25" t="s">
        <v>353</v>
      </c>
      <c r="B83" s="26" t="s">
        <v>97</v>
      </c>
      <c r="C83" s="35" t="s">
        <v>31</v>
      </c>
      <c r="D83" s="141">
        <f t="shared" ca="1" si="2"/>
        <v>74</v>
      </c>
      <c r="E83" s="30">
        <f ca="1">VLOOKUP(A83,Rankings!B1:H651,6,FALSE)+(RAND()*0.00001)</f>
        <v>338.11900749348382</v>
      </c>
      <c r="F83" s="30">
        <f ca="1">E83-VLOOKUP(Settings!$K$8+Settings!$K$9,D$2:E$251,2,FALSE)</f>
        <v>19.058338262259895</v>
      </c>
      <c r="G83" s="141">
        <f t="shared" ca="1" si="3"/>
        <v>103</v>
      </c>
      <c r="H83" s="30">
        <f ca="1">VLOOKUP(A83,Rankings!B1:H651,7,FALSE)+(RAND()*0.00001)</f>
        <v>-4.5101675437500065E-2</v>
      </c>
      <c r="I83" s="30">
        <f ca="1">H83-VLOOKUP(Settings!$K$8+Settings!$K$9,G$2:H$251,2,FALSE)</f>
        <v>-0.5403932156786373</v>
      </c>
    </row>
    <row r="84" spans="1:9" ht="18.600000000000001" customHeight="1">
      <c r="A84" s="25" t="s">
        <v>299</v>
      </c>
      <c r="B84" s="26" t="s">
        <v>97</v>
      </c>
      <c r="C84" s="35" t="s">
        <v>31</v>
      </c>
      <c r="D84" s="141">
        <f t="shared" ca="1" si="2"/>
        <v>80</v>
      </c>
      <c r="E84" s="30">
        <f ca="1">VLOOKUP(A84,Rankings!B1:H651,6,FALSE)+(RAND()*0.00001)</f>
        <v>330.80000812654623</v>
      </c>
      <c r="F84" s="30">
        <f ca="1">E84-VLOOKUP(Settings!$K$8+Settings!$K$9,D$2:E$251,2,FALSE)</f>
        <v>11.739338895322305</v>
      </c>
      <c r="G84" s="141">
        <f t="shared" ca="1" si="3"/>
        <v>86</v>
      </c>
      <c r="H84" s="30">
        <f ca="1">VLOOKUP(A84,Rankings!B1:H651,7,FALSE)+(RAND()*0.00001)</f>
        <v>0.62152982773131527</v>
      </c>
      <c r="I84" s="30">
        <f ca="1">H84-VLOOKUP(Settings!$K$8+Settings!$K$9,G$2:H$251,2,FALSE)</f>
        <v>0.12623828749017801</v>
      </c>
    </row>
    <row r="85" spans="1:9" ht="18.600000000000001" customHeight="1">
      <c r="A85" s="25" t="s">
        <v>346</v>
      </c>
      <c r="B85" s="26" t="s">
        <v>158</v>
      </c>
      <c r="C85" s="35" t="s">
        <v>31</v>
      </c>
      <c r="D85" s="141">
        <f t="shared" ca="1" si="2"/>
        <v>79</v>
      </c>
      <c r="E85" s="30">
        <f ca="1">VLOOKUP(A85,Rankings!B1:H651,6,FALSE)+(RAND()*0.00001)</f>
        <v>333.00000848552679</v>
      </c>
      <c r="F85" s="30">
        <f ca="1">E85-VLOOKUP(Settings!$K$8+Settings!$K$9,D$2:E$251,2,FALSE)</f>
        <v>13.939339254302865</v>
      </c>
      <c r="G85" s="141">
        <f t="shared" ca="1" si="3"/>
        <v>99</v>
      </c>
      <c r="H85" s="30">
        <f ca="1">VLOOKUP(A85,Rankings!B1:H651,7,FALSE)+(RAND()*0.00001)</f>
        <v>2.6159614088574045E-2</v>
      </c>
      <c r="I85" s="30">
        <f ca="1">H85-VLOOKUP(Settings!$K$8+Settings!$K$9,G$2:H$251,2,FALSE)</f>
        <v>-0.46913192615256322</v>
      </c>
    </row>
    <row r="86" spans="1:9" ht="18.600000000000001" customHeight="1">
      <c r="A86" s="25" t="s">
        <v>304</v>
      </c>
      <c r="B86" s="26" t="s">
        <v>119</v>
      </c>
      <c r="C86" s="41" t="s">
        <v>34</v>
      </c>
      <c r="D86" s="141">
        <f t="shared" ca="1" si="2"/>
        <v>108</v>
      </c>
      <c r="E86" s="30">
        <f ca="1">VLOOKUP(A86,Rankings!B1:H651,6,FALSE)+(RAND()*0.00001)</f>
        <v>286.80000838611926</v>
      </c>
      <c r="F86" s="30">
        <f ca="1">E86-VLOOKUP(Settings!$K$8+Settings!$K$9,D$2:E$251,2,FALSE)</f>
        <v>-32.260660845104667</v>
      </c>
      <c r="G86" s="141">
        <f t="shared" ca="1" si="3"/>
        <v>62</v>
      </c>
      <c r="H86" s="30">
        <f ca="1">VLOOKUP(A86,Rankings!B1:H651,7,FALSE)+(RAND()*0.00001)</f>
        <v>1.9574571114313957</v>
      </c>
      <c r="I86" s="30">
        <f ca="1">H86-VLOOKUP(Settings!$K$8+Settings!$K$9,G$2:H$251,2,FALSE)</f>
        <v>1.4621655711902584</v>
      </c>
    </row>
    <row r="87" spans="1:9" ht="18.600000000000001" customHeight="1">
      <c r="A87" s="25" t="s">
        <v>298</v>
      </c>
      <c r="B87" s="26" t="s">
        <v>158</v>
      </c>
      <c r="C87" s="35" t="s">
        <v>31</v>
      </c>
      <c r="D87" s="141">
        <f t="shared" ca="1" si="2"/>
        <v>86</v>
      </c>
      <c r="E87" s="30">
        <f ca="1">VLOOKUP(A87,Rankings!B1:H651,6,FALSE)+(RAND()*0.00001)</f>
        <v>322.43333890051218</v>
      </c>
      <c r="F87" s="30">
        <f ca="1">E87-VLOOKUP(Settings!$K$8+Settings!$K$9,D$2:E$251,2,FALSE)</f>
        <v>3.372669669288257</v>
      </c>
      <c r="G87" s="141">
        <f t="shared" ca="1" si="3"/>
        <v>85</v>
      </c>
      <c r="H87" s="30">
        <f ca="1">VLOOKUP(A87,Rankings!B1:H651,7,FALSE)+(RAND()*0.00001)</f>
        <v>0.63965597303552257</v>
      </c>
      <c r="I87" s="30">
        <f ca="1">H87-VLOOKUP(Settings!$K$8+Settings!$K$9,G$2:H$251,2,FALSE)</f>
        <v>0.14436443279438532</v>
      </c>
    </row>
    <row r="88" spans="1:9" ht="18.600000000000001" customHeight="1">
      <c r="A88" s="25" t="s">
        <v>240</v>
      </c>
      <c r="B88" s="26" t="s">
        <v>105</v>
      </c>
      <c r="C88" s="35" t="s">
        <v>31</v>
      </c>
      <c r="D88" s="141">
        <f t="shared" ca="1" si="2"/>
        <v>81</v>
      </c>
      <c r="E88" s="30">
        <f ca="1">VLOOKUP(A88,Rankings!B1:H651,6,FALSE)+(RAND()*0.00001)</f>
        <v>327.4500032372087</v>
      </c>
      <c r="F88" s="30">
        <f ca="1">E88-VLOOKUP(Settings!$K$8+Settings!$K$9,D$2:E$251,2,FALSE)</f>
        <v>8.3893340059847787</v>
      </c>
      <c r="G88" s="141">
        <f t="shared" ca="1" si="3"/>
        <v>64</v>
      </c>
      <c r="H88" s="30">
        <f ca="1">VLOOKUP(A88,Rankings!B1:H651,7,FALSE)+(RAND()*0.00001)</f>
        <v>1.8242099220238654</v>
      </c>
      <c r="I88" s="30">
        <f ca="1">H88-VLOOKUP(Settings!$K$8+Settings!$K$9,G$2:H$251,2,FALSE)</f>
        <v>1.3289183817827281</v>
      </c>
    </row>
    <row r="89" spans="1:9" ht="18.600000000000001" customHeight="1">
      <c r="A89" s="25" t="s">
        <v>292</v>
      </c>
      <c r="B89" s="26" t="s">
        <v>139</v>
      </c>
      <c r="C89" s="41" t="s">
        <v>34</v>
      </c>
      <c r="D89" s="141">
        <f t="shared" ca="1" si="2"/>
        <v>110</v>
      </c>
      <c r="E89" s="30">
        <f ca="1">VLOOKUP(A89,Rankings!B1:H651,6,FALSE)+(RAND()*0.00001)</f>
        <v>283.83333388040575</v>
      </c>
      <c r="F89" s="30">
        <f ca="1">E89-VLOOKUP(Settings!$K$8+Settings!$K$9,D$2:E$251,2,FALSE)</f>
        <v>-35.22733535081818</v>
      </c>
      <c r="G89" s="141">
        <f t="shared" ca="1" si="3"/>
        <v>58</v>
      </c>
      <c r="H89" s="30">
        <f ca="1">VLOOKUP(A89,Rankings!B1:H651,7,FALSE)+(RAND()*0.00001)</f>
        <v>2.1530786861287199</v>
      </c>
      <c r="I89" s="30">
        <f ca="1">H89-VLOOKUP(Settings!$K$8+Settings!$K$9,G$2:H$251,2,FALSE)</f>
        <v>1.6577871458875826</v>
      </c>
    </row>
    <row r="90" spans="1:9" ht="18.600000000000001" customHeight="1">
      <c r="A90" s="25" t="s">
        <v>434</v>
      </c>
      <c r="B90" s="26" t="s">
        <v>72</v>
      </c>
      <c r="C90" s="35" t="s">
        <v>31</v>
      </c>
      <c r="D90" s="141">
        <f t="shared" ca="1" si="2"/>
        <v>88</v>
      </c>
      <c r="E90" s="30">
        <f ca="1">VLOOKUP(A90,Rankings!B1:H651,6,FALSE)+(RAND()*0.00001)</f>
        <v>319.06066923122393</v>
      </c>
      <c r="F90" s="30">
        <f ca="1">E90-VLOOKUP(Settings!$K$8+Settings!$K$9,D$2:E$251,2,FALSE)</f>
        <v>0</v>
      </c>
      <c r="G90" s="141">
        <f t="shared" ca="1" si="3"/>
        <v>161</v>
      </c>
      <c r="H90" s="30">
        <f ca="1">VLOOKUP(A90,Rankings!B1:H651,7,FALSE)+(RAND()*0.00001)</f>
        <v>-1.5774851528655371</v>
      </c>
      <c r="I90" s="30">
        <f ca="1">H90-VLOOKUP(Settings!$K$8+Settings!$K$9,G$2:H$251,2,FALSE)</f>
        <v>-2.0727766931066745</v>
      </c>
    </row>
    <row r="91" spans="1:9" ht="18.600000000000001" customHeight="1">
      <c r="A91" s="25" t="s">
        <v>254</v>
      </c>
      <c r="B91" s="26" t="s">
        <v>99</v>
      </c>
      <c r="C91" s="35" t="s">
        <v>31</v>
      </c>
      <c r="D91" s="141">
        <f t="shared" ca="1" si="2"/>
        <v>94</v>
      </c>
      <c r="E91" s="30">
        <f ca="1">VLOOKUP(A91,Rankings!B1:H651,6,FALSE)+(RAND()*0.00001)</f>
        <v>315.86666696344145</v>
      </c>
      <c r="F91" s="30">
        <f ca="1">E91-VLOOKUP(Settings!$K$8+Settings!$K$9,D$2:E$251,2,FALSE)</f>
        <v>-3.19400226778248</v>
      </c>
      <c r="G91" s="141">
        <f t="shared" ca="1" si="3"/>
        <v>68</v>
      </c>
      <c r="H91" s="30">
        <f ca="1">VLOOKUP(A91,Rankings!B1:H651,7,FALSE)+(RAND()*0.00001)</f>
        <v>1.4293638444357557</v>
      </c>
      <c r="I91" s="30">
        <f ca="1">H91-VLOOKUP(Settings!$K$8+Settings!$K$9,G$2:H$251,2,FALSE)</f>
        <v>0.9340723041946184</v>
      </c>
    </row>
    <row r="92" spans="1:9" ht="18.600000000000001" customHeight="1">
      <c r="A92" s="25" t="s">
        <v>468</v>
      </c>
      <c r="B92" s="26" t="s">
        <v>101</v>
      </c>
      <c r="C92" s="35" t="s">
        <v>31</v>
      </c>
      <c r="D92" s="141">
        <f t="shared" ca="1" si="2"/>
        <v>84</v>
      </c>
      <c r="E92" s="30">
        <f ca="1">VLOOKUP(A92,Rankings!B1:H651,6,FALSE)+(RAND()*0.00001)</f>
        <v>323.55067622935184</v>
      </c>
      <c r="F92" s="30">
        <f ca="1">E92-VLOOKUP(Settings!$K$8+Settings!$K$9,D$2:E$251,2,FALSE)</f>
        <v>4.4900069981279103</v>
      </c>
      <c r="G92" s="141">
        <f t="shared" ca="1" si="3"/>
        <v>181</v>
      </c>
      <c r="H92" s="30">
        <f ca="1">VLOOKUP(A92,Rankings!B1:H651,7,FALSE)+(RAND()*0.00001)</f>
        <v>-1.9236761275184044</v>
      </c>
      <c r="I92" s="30">
        <f ca="1">H92-VLOOKUP(Settings!$K$8+Settings!$K$9,G$2:H$251,2,FALSE)</f>
        <v>-2.4189676677595418</v>
      </c>
    </row>
    <row r="93" spans="1:9" ht="18.600000000000001" customHeight="1">
      <c r="A93" s="25" t="s">
        <v>479</v>
      </c>
      <c r="B93" s="26" t="s">
        <v>105</v>
      </c>
      <c r="C93" s="35" t="s">
        <v>31</v>
      </c>
      <c r="D93" s="141">
        <f t="shared" ca="1" si="2"/>
        <v>87</v>
      </c>
      <c r="E93" s="30">
        <f ca="1">VLOOKUP(A93,Rankings!B1:H651,6,FALSE)+(RAND()*0.00001)</f>
        <v>319.16667613806146</v>
      </c>
      <c r="F93" s="30">
        <f ca="1">E93-VLOOKUP(Settings!$K$8+Settings!$K$9,D$2:E$251,2,FALSE)</f>
        <v>0.10600690683753555</v>
      </c>
      <c r="G93" s="141">
        <f t="shared" ca="1" si="3"/>
        <v>191</v>
      </c>
      <c r="H93" s="30">
        <f ca="1">VLOOKUP(A93,Rankings!B1:H651,7,FALSE)+(RAND()*0.00001)</f>
        <v>-2.0507188433885353</v>
      </c>
      <c r="I93" s="30">
        <f ca="1">H93-VLOOKUP(Settings!$K$8+Settings!$K$9,G$2:H$251,2,FALSE)</f>
        <v>-2.5460103836296724</v>
      </c>
    </row>
    <row r="94" spans="1:9" ht="18.600000000000001" customHeight="1">
      <c r="A94" s="25" t="s">
        <v>392</v>
      </c>
      <c r="B94" s="26" t="s">
        <v>99</v>
      </c>
      <c r="C94" s="35" t="s">
        <v>31</v>
      </c>
      <c r="D94" s="141">
        <f t="shared" ca="1" si="2"/>
        <v>93</v>
      </c>
      <c r="E94" s="30">
        <f ca="1">VLOOKUP(A94,Rankings!B1:H651,6,FALSE)+(RAND()*0.00001)</f>
        <v>315.95133454485824</v>
      </c>
      <c r="F94" s="30">
        <f ca="1">E94-VLOOKUP(Settings!$K$8+Settings!$K$9,D$2:E$251,2,FALSE)</f>
        <v>-3.1093346863656848</v>
      </c>
      <c r="G94" s="141">
        <f t="shared" ca="1" si="3"/>
        <v>123</v>
      </c>
      <c r="H94" s="30">
        <f ca="1">VLOOKUP(A94,Rankings!B1:H651,7,FALSE)+(RAND()*0.00001)</f>
        <v>-0.66376401155891462</v>
      </c>
      <c r="I94" s="30">
        <f ca="1">H94-VLOOKUP(Settings!$K$8+Settings!$K$9,G$2:H$251,2,FALSE)</f>
        <v>-1.1590555518000518</v>
      </c>
    </row>
    <row r="95" spans="1:9" ht="18.600000000000001" customHeight="1">
      <c r="A95" s="25" t="s">
        <v>381</v>
      </c>
      <c r="B95" s="26" t="s">
        <v>260</v>
      </c>
      <c r="C95" s="35" t="s">
        <v>31</v>
      </c>
      <c r="D95" s="141">
        <f t="shared" ca="1" si="2"/>
        <v>83</v>
      </c>
      <c r="E95" s="30">
        <f ca="1">VLOOKUP(A95,Rankings!B1:H651,6,FALSE)+(RAND()*0.00001)</f>
        <v>324.86866716632647</v>
      </c>
      <c r="F95" s="30">
        <f ca="1">E95-VLOOKUP(Settings!$K$8+Settings!$K$9,D$2:E$251,2,FALSE)</f>
        <v>5.8079979351025486</v>
      </c>
      <c r="G95" s="141">
        <f t="shared" ca="1" si="3"/>
        <v>119</v>
      </c>
      <c r="H95" s="30">
        <f ca="1">VLOOKUP(A95,Rankings!B1:H651,7,FALSE)+(RAND()*0.00001)</f>
        <v>-0.56029789431301047</v>
      </c>
      <c r="I95" s="30">
        <f ca="1">H95-VLOOKUP(Settings!$K$8+Settings!$K$9,G$2:H$251,2,FALSE)</f>
        <v>-1.0555894345541477</v>
      </c>
    </row>
    <row r="96" spans="1:9" ht="18.600000000000001" customHeight="1">
      <c r="A96" s="25" t="s">
        <v>255</v>
      </c>
      <c r="B96" s="26" t="s">
        <v>82</v>
      </c>
      <c r="C96" s="35" t="s">
        <v>31</v>
      </c>
      <c r="D96" s="141">
        <f t="shared" ca="1" si="2"/>
        <v>97</v>
      </c>
      <c r="E96" s="30">
        <f ca="1">VLOOKUP(A96,Rankings!B1:H651,6,FALSE)+(RAND()*0.00001)</f>
        <v>306.2750029850672</v>
      </c>
      <c r="F96" s="30">
        <f ca="1">E96-VLOOKUP(Settings!$K$8+Settings!$K$9,D$2:E$251,2,FALSE)</f>
        <v>-12.785666246156723</v>
      </c>
      <c r="G96" s="141">
        <f t="shared" ca="1" si="3"/>
        <v>69</v>
      </c>
      <c r="H96" s="30">
        <f ca="1">VLOOKUP(A96,Rankings!B1:H651,7,FALSE)+(RAND()*0.00001)</f>
        <v>1.4149501214166968</v>
      </c>
      <c r="I96" s="30">
        <f ca="1">H96-VLOOKUP(Settings!$K$8+Settings!$K$9,G$2:H$251,2,FALSE)</f>
        <v>0.91965858117555954</v>
      </c>
    </row>
    <row r="97" spans="1:9" ht="18.600000000000001" customHeight="1">
      <c r="A97" s="25" t="s">
        <v>276</v>
      </c>
      <c r="B97" s="26" t="s">
        <v>87</v>
      </c>
      <c r="C97" s="35" t="s">
        <v>31</v>
      </c>
      <c r="D97" s="141">
        <f t="shared" ca="1" si="2"/>
        <v>91</v>
      </c>
      <c r="E97" s="30">
        <f ca="1">VLOOKUP(A97,Rankings!B1:H651,6,FALSE)+(RAND()*0.00001)</f>
        <v>317.30000617608692</v>
      </c>
      <c r="F97" s="30">
        <f ca="1">E97-VLOOKUP(Settings!$K$8+Settings!$K$9,D$2:E$251,2,FALSE)</f>
        <v>-1.7606630551370017</v>
      </c>
      <c r="G97" s="141">
        <f t="shared" ca="1" si="3"/>
        <v>76</v>
      </c>
      <c r="H97" s="30">
        <f ca="1">VLOOKUP(A97,Rankings!B1:H651,7,FALSE)+(RAND()*0.00001)</f>
        <v>1.0865891048108474</v>
      </c>
      <c r="I97" s="30">
        <f ca="1">H97-VLOOKUP(Settings!$K$8+Settings!$K$9,G$2:H$251,2,FALSE)</f>
        <v>0.59129756456971005</v>
      </c>
    </row>
    <row r="98" spans="1:9" ht="18.600000000000001" customHeight="1">
      <c r="A98" s="25" t="s">
        <v>312</v>
      </c>
      <c r="B98" s="26" t="s">
        <v>136</v>
      </c>
      <c r="C98" s="35" t="s">
        <v>31</v>
      </c>
      <c r="D98" s="141">
        <f t="shared" ca="1" si="2"/>
        <v>92</v>
      </c>
      <c r="E98" s="30">
        <f ca="1">VLOOKUP(A98,Rankings!B1:H651,6,FALSE)+(RAND()*0.00001)</f>
        <v>317.23334044293915</v>
      </c>
      <c r="F98" s="30">
        <f ca="1">E98-VLOOKUP(Settings!$K$8+Settings!$K$9,D$2:E$251,2,FALSE)</f>
        <v>-1.827328788284774</v>
      </c>
      <c r="G98" s="141">
        <f t="shared" ca="1" si="3"/>
        <v>89</v>
      </c>
      <c r="H98" s="30">
        <f ca="1">VLOOKUP(A98,Rankings!B1:H651,7,FALSE)+(RAND()*0.00001)</f>
        <v>0.45055881045203888</v>
      </c>
      <c r="I98" s="30">
        <f ca="1">H98-VLOOKUP(Settings!$K$8+Settings!$K$9,G$2:H$251,2,FALSE)</f>
        <v>-4.4732729789098369E-2</v>
      </c>
    </row>
    <row r="99" spans="1:9" ht="18.600000000000001" customHeight="1">
      <c r="A99" s="25" t="s">
        <v>387</v>
      </c>
      <c r="B99" s="26" t="s">
        <v>92</v>
      </c>
      <c r="C99" s="35" t="s">
        <v>31</v>
      </c>
      <c r="D99" s="141">
        <f t="shared" ca="1" si="2"/>
        <v>85</v>
      </c>
      <c r="E99" s="30">
        <f ca="1">VLOOKUP(A99,Rankings!B1:H651,6,FALSE)+(RAND()*0.00001)</f>
        <v>323.11466759178717</v>
      </c>
      <c r="F99" s="30">
        <f ca="1">E99-VLOOKUP(Settings!$K$8+Settings!$K$9,D$2:E$251,2,FALSE)</f>
        <v>4.0539983605632415</v>
      </c>
      <c r="G99" s="141">
        <f t="shared" ca="1" si="3"/>
        <v>120</v>
      </c>
      <c r="H99" s="30">
        <f ca="1">VLOOKUP(A99,Rankings!B1:H651,7,FALSE)+(RAND()*0.00001)</f>
        <v>-0.6136650676452936</v>
      </c>
      <c r="I99" s="30">
        <f ca="1">H99-VLOOKUP(Settings!$K$8+Settings!$K$9,G$2:H$251,2,FALSE)</f>
        <v>-1.1089566078864308</v>
      </c>
    </row>
    <row r="100" spans="1:9" ht="18.600000000000001" customHeight="1">
      <c r="A100" s="25" t="s">
        <v>364</v>
      </c>
      <c r="B100" s="26" t="s">
        <v>97</v>
      </c>
      <c r="C100" s="35" t="s">
        <v>31</v>
      </c>
      <c r="D100" s="141">
        <f t="shared" ca="1" si="2"/>
        <v>95</v>
      </c>
      <c r="E100" s="30">
        <f ca="1">VLOOKUP(A100,Rankings!B1:H651,6,FALSE)+(RAND()*0.00001)</f>
        <v>313.96600547756259</v>
      </c>
      <c r="F100" s="30">
        <f ca="1">E100-VLOOKUP(Settings!$K$8+Settings!$K$9,D$2:E$251,2,FALSE)</f>
        <v>-5.0946637536613366</v>
      </c>
      <c r="G100" s="141">
        <f t="shared" ca="1" si="3"/>
        <v>112</v>
      </c>
      <c r="H100" s="30">
        <f ca="1">VLOOKUP(A100,Rankings!B1:H651,7,FALSE)+(RAND()*0.00001)</f>
        <v>-0.32797522385030964</v>
      </c>
      <c r="I100" s="30">
        <f ca="1">H100-VLOOKUP(Settings!$K$8+Settings!$K$9,G$2:H$251,2,FALSE)</f>
        <v>-0.82326676409144683</v>
      </c>
    </row>
    <row r="101" spans="1:9" ht="18.600000000000001" customHeight="1">
      <c r="A101" s="25" t="s">
        <v>336</v>
      </c>
      <c r="B101" s="26" t="s">
        <v>160</v>
      </c>
      <c r="C101" s="35" t="s">
        <v>31</v>
      </c>
      <c r="D101" s="141">
        <f t="shared" ca="1" si="2"/>
        <v>96</v>
      </c>
      <c r="E101" s="30">
        <f ca="1">VLOOKUP(A101,Rankings!B1:H651,6,FALSE)+(RAND()*0.00001)</f>
        <v>309.99734105004433</v>
      </c>
      <c r="F101" s="30">
        <f ca="1">E101-VLOOKUP(Settings!$K$8+Settings!$K$9,D$2:E$251,2,FALSE)</f>
        <v>-9.0633281811795996</v>
      </c>
      <c r="G101" s="141">
        <f t="shared" ca="1" si="3"/>
        <v>94</v>
      </c>
      <c r="H101" s="30">
        <f ca="1">VLOOKUP(A101,Rankings!B1:H651,7,FALSE)+(RAND()*0.00001)</f>
        <v>0.15109406233156603</v>
      </c>
      <c r="I101" s="30">
        <f ca="1">H101-VLOOKUP(Settings!$K$8+Settings!$K$9,G$2:H$251,2,FALSE)</f>
        <v>-0.34419747790957123</v>
      </c>
    </row>
    <row r="102" spans="1:9" ht="18.600000000000001" customHeight="1">
      <c r="A102" s="25" t="s">
        <v>257</v>
      </c>
      <c r="B102" s="26" t="s">
        <v>72</v>
      </c>
      <c r="C102" s="41" t="s">
        <v>34</v>
      </c>
      <c r="D102" s="141">
        <f t="shared" ca="1" si="2"/>
        <v>122</v>
      </c>
      <c r="E102" s="30">
        <f ca="1">VLOOKUP(A102,Rankings!B1:H651,6,FALSE)+(RAND()*0.00001)</f>
        <v>271.05000104390189</v>
      </c>
      <c r="F102" s="30">
        <f ca="1">E102-VLOOKUP(Settings!$K$8+Settings!$K$9,D$2:E$251,2,FALSE)</f>
        <v>-48.01066818732204</v>
      </c>
      <c r="G102" s="141">
        <f t="shared" ca="1" si="3"/>
        <v>45</v>
      </c>
      <c r="H102" s="30">
        <f ca="1">VLOOKUP(A102,Rankings!B1:H651,7,FALSE)+(RAND()*0.00001)</f>
        <v>2.8054705714895039</v>
      </c>
      <c r="I102" s="30">
        <f ca="1">H102-VLOOKUP(Settings!$K$8+Settings!$K$9,G$2:H$251,2,FALSE)</f>
        <v>2.3101790312483668</v>
      </c>
    </row>
    <row r="103" spans="1:9" ht="18.600000000000001" customHeight="1">
      <c r="A103" s="25" t="s">
        <v>349</v>
      </c>
      <c r="B103" s="26" t="s">
        <v>219</v>
      </c>
      <c r="C103" s="35" t="s">
        <v>31</v>
      </c>
      <c r="D103" s="141">
        <f t="shared" ca="1" si="2"/>
        <v>100</v>
      </c>
      <c r="E103" s="30">
        <f ca="1">VLOOKUP(A103,Rankings!B1:H651,6,FALSE)+(RAND()*0.00001)</f>
        <v>300.00333357346824</v>
      </c>
      <c r="F103" s="30">
        <f ca="1">E103-VLOOKUP(Settings!$K$8+Settings!$K$9,D$2:E$251,2,FALSE)</f>
        <v>-19.057335657755686</v>
      </c>
      <c r="G103" s="141">
        <f t="shared" ca="1" si="3"/>
        <v>101</v>
      </c>
      <c r="H103" s="30">
        <f ca="1">VLOOKUP(A103,Rankings!B1:H651,7,FALSE)+(RAND()*0.00001)</f>
        <v>-1.8932376294383216E-2</v>
      </c>
      <c r="I103" s="30">
        <f ca="1">H103-VLOOKUP(Settings!$K$8+Settings!$K$9,G$2:H$251,2,FALSE)</f>
        <v>-0.51422391653552046</v>
      </c>
    </row>
    <row r="104" spans="1:9" ht="18.600000000000001" customHeight="1">
      <c r="A104" s="25" t="s">
        <v>394</v>
      </c>
      <c r="B104" s="26" t="s">
        <v>64</v>
      </c>
      <c r="C104" s="35" t="s">
        <v>31</v>
      </c>
      <c r="D104" s="141">
        <f t="shared" ca="1" si="2"/>
        <v>107</v>
      </c>
      <c r="E104" s="30">
        <f ca="1">VLOOKUP(A104,Rankings!B1:H651,6,FALSE)+(RAND()*0.00001)</f>
        <v>288.53333499496904</v>
      </c>
      <c r="F104" s="30">
        <f ca="1">E104-VLOOKUP(Settings!$K$8+Settings!$K$9,D$2:E$251,2,FALSE)</f>
        <v>-30.527334236254887</v>
      </c>
      <c r="G104" s="141">
        <f t="shared" ca="1" si="3"/>
        <v>126</v>
      </c>
      <c r="H104" s="30">
        <f ca="1">VLOOKUP(A104,Rankings!B1:H651,7,FALSE)+(RAND()*0.00001)</f>
        <v>-0.70672163201229132</v>
      </c>
      <c r="I104" s="30">
        <f ca="1">H104-VLOOKUP(Settings!$K$8+Settings!$K$9,G$2:H$251,2,FALSE)</f>
        <v>-1.2020131722534286</v>
      </c>
    </row>
    <row r="105" spans="1:9" ht="18.600000000000001" customHeight="1">
      <c r="A105" s="25" t="s">
        <v>277</v>
      </c>
      <c r="B105" s="26" t="s">
        <v>79</v>
      </c>
      <c r="C105" s="35" t="s">
        <v>31</v>
      </c>
      <c r="D105" s="141">
        <f t="shared" ca="1" si="2"/>
        <v>114</v>
      </c>
      <c r="E105" s="30">
        <f ca="1">VLOOKUP(A105,Rankings!B1:H651,6,FALSE)+(RAND()*0.00001)</f>
        <v>281.60000587968443</v>
      </c>
      <c r="F105" s="30">
        <f ca="1">E105-VLOOKUP(Settings!$K$8+Settings!$K$9,D$2:E$251,2,FALSE)</f>
        <v>-37.460663351539495</v>
      </c>
      <c r="G105" s="141">
        <f t="shared" ca="1" si="3"/>
        <v>77</v>
      </c>
      <c r="H105" s="30">
        <f ca="1">VLOOKUP(A105,Rankings!B1:H651,7,FALSE)+(RAND()*0.00001)</f>
        <v>1.0570551121468008</v>
      </c>
      <c r="I105" s="30">
        <f ca="1">H105-VLOOKUP(Settings!$K$8+Settings!$K$9,G$2:H$251,2,FALSE)</f>
        <v>0.56176357190566351</v>
      </c>
    </row>
    <row r="106" spans="1:9" ht="18.600000000000001" customHeight="1">
      <c r="A106" s="25" t="s">
        <v>457</v>
      </c>
      <c r="B106" s="26" t="s">
        <v>139</v>
      </c>
      <c r="C106" s="35" t="s">
        <v>31</v>
      </c>
      <c r="D106" s="141">
        <f t="shared" ca="1" si="2"/>
        <v>98</v>
      </c>
      <c r="E106" s="30">
        <f ca="1">VLOOKUP(A106,Rankings!B1:H651,6,FALSE)+(RAND()*0.00001)</f>
        <v>305.42100892233987</v>
      </c>
      <c r="F106" s="30">
        <f ca="1">E106-VLOOKUP(Settings!$K$8+Settings!$K$9,D$2:E$251,2,FALSE)</f>
        <v>-13.639660308884061</v>
      </c>
      <c r="G106" s="141">
        <f t="shared" ca="1" si="3"/>
        <v>172</v>
      </c>
      <c r="H106" s="30">
        <f ca="1">VLOOKUP(A106,Rankings!B1:H651,7,FALSE)+(RAND()*0.00001)</f>
        <v>-1.8218779747029419</v>
      </c>
      <c r="I106" s="30">
        <f ca="1">H106-VLOOKUP(Settings!$K$8+Settings!$K$9,G$2:H$251,2,FALSE)</f>
        <v>-2.3171695149440792</v>
      </c>
    </row>
    <row r="107" spans="1:9" ht="18.600000000000001" customHeight="1">
      <c r="A107" s="25" t="s">
        <v>340</v>
      </c>
      <c r="B107" s="26" t="s">
        <v>122</v>
      </c>
      <c r="C107" s="35" t="s">
        <v>31</v>
      </c>
      <c r="D107" s="141">
        <f t="shared" ca="1" si="2"/>
        <v>105</v>
      </c>
      <c r="E107" s="30">
        <f ca="1">VLOOKUP(A107,Rankings!B1:H651,6,FALSE)+(RAND()*0.00001)</f>
        <v>293.35100473585413</v>
      </c>
      <c r="F107" s="30">
        <f ca="1">E107-VLOOKUP(Settings!$K$8+Settings!$K$9,D$2:E$251,2,FALSE)</f>
        <v>-25.709664495369793</v>
      </c>
      <c r="G107" s="141">
        <f t="shared" ca="1" si="3"/>
        <v>97</v>
      </c>
      <c r="H107" s="30">
        <f ca="1">VLOOKUP(A107,Rankings!B1:H651,7,FALSE)+(RAND()*0.00001)</f>
        <v>0.10946850463782658</v>
      </c>
      <c r="I107" s="30">
        <f ca="1">H107-VLOOKUP(Settings!$K$8+Settings!$K$9,G$2:H$251,2,FALSE)</f>
        <v>-0.38582303560331066</v>
      </c>
    </row>
    <row r="108" spans="1:9" ht="18.600000000000001" customHeight="1">
      <c r="A108" s="25" t="s">
        <v>350</v>
      </c>
      <c r="B108" s="26" t="s">
        <v>225</v>
      </c>
      <c r="C108" s="41" t="s">
        <v>34</v>
      </c>
      <c r="D108" s="141">
        <f t="shared" ca="1" si="2"/>
        <v>128</v>
      </c>
      <c r="E108" s="30">
        <f ca="1">VLOOKUP(A108,Rankings!B1:H651,6,FALSE)+(RAND()*0.00001)</f>
        <v>265.6666704062759</v>
      </c>
      <c r="F108" s="30">
        <f ca="1">E108-VLOOKUP(Settings!$K$8+Settings!$K$9,D$2:E$251,2,FALSE)</f>
        <v>-53.393998824948028</v>
      </c>
      <c r="G108" s="141">
        <f t="shared" ca="1" si="3"/>
        <v>70</v>
      </c>
      <c r="H108" s="30">
        <f ca="1">VLOOKUP(A108,Rankings!B1:H651,7,FALSE)+(RAND()*0.00001)</f>
        <v>1.3927926795918819</v>
      </c>
      <c r="I108" s="30">
        <f ca="1">H108-VLOOKUP(Settings!$K$8+Settings!$K$9,G$2:H$251,2,FALSE)</f>
        <v>0.8975011393507446</v>
      </c>
    </row>
    <row r="109" spans="1:9" ht="18.600000000000001" customHeight="1">
      <c r="A109" s="25" t="s">
        <v>453</v>
      </c>
      <c r="B109" s="26" t="s">
        <v>101</v>
      </c>
      <c r="C109" s="35" t="s">
        <v>31</v>
      </c>
      <c r="D109" s="141">
        <f t="shared" ca="1" si="2"/>
        <v>99</v>
      </c>
      <c r="E109" s="30">
        <f ca="1">VLOOKUP(A109,Rankings!B1:H651,6,FALSE)+(RAND()*0.00001)</f>
        <v>303.70067186107821</v>
      </c>
      <c r="F109" s="30">
        <f ca="1">E109-VLOOKUP(Settings!$K$8+Settings!$K$9,D$2:E$251,2,FALSE)</f>
        <v>-15.35999737014572</v>
      </c>
      <c r="G109" s="141">
        <f t="shared" ca="1" si="3"/>
        <v>170</v>
      </c>
      <c r="H109" s="30">
        <f ca="1">VLOOKUP(A109,Rankings!B1:H651,7,FALSE)+(RAND()*0.00001)</f>
        <v>-1.7658154070772092</v>
      </c>
      <c r="I109" s="30">
        <f ca="1">H109-VLOOKUP(Settings!$K$8+Settings!$K$9,G$2:H$251,2,FALSE)</f>
        <v>-2.2611069473183463</v>
      </c>
    </row>
    <row r="110" spans="1:9" ht="18.600000000000001" customHeight="1">
      <c r="A110" s="25" t="s">
        <v>354</v>
      </c>
      <c r="B110" s="26" t="s">
        <v>77</v>
      </c>
      <c r="C110" s="35" t="s">
        <v>31</v>
      </c>
      <c r="D110" s="141">
        <f t="shared" ca="1" si="2"/>
        <v>101</v>
      </c>
      <c r="E110" s="30">
        <f ca="1">VLOOKUP(A110,Rankings!B1:H651,6,FALSE)+(RAND()*0.00001)</f>
        <v>297.66333585048034</v>
      </c>
      <c r="F110" s="30">
        <f ca="1">E110-VLOOKUP(Settings!$K$8+Settings!$K$9,D$2:E$251,2,FALSE)</f>
        <v>-21.397333380743589</v>
      </c>
      <c r="G110" s="141">
        <f t="shared" ca="1" si="3"/>
        <v>104</v>
      </c>
      <c r="H110" s="30">
        <f ca="1">VLOOKUP(A110,Rankings!B1:H651,7,FALSE)+(RAND()*0.00001)</f>
        <v>-5.1167936157217479E-2</v>
      </c>
      <c r="I110" s="30">
        <f ca="1">H110-VLOOKUP(Settings!$K$8+Settings!$K$9,G$2:H$251,2,FALSE)</f>
        <v>-0.54645947639835468</v>
      </c>
    </row>
    <row r="111" spans="1:9" ht="18.600000000000001" customHeight="1">
      <c r="A111" s="25" t="s">
        <v>435</v>
      </c>
      <c r="B111" s="26" t="s">
        <v>82</v>
      </c>
      <c r="C111" s="35" t="s">
        <v>31</v>
      </c>
      <c r="D111" s="141">
        <f t="shared" ca="1" si="2"/>
        <v>106</v>
      </c>
      <c r="E111" s="30">
        <f ca="1">VLOOKUP(A111,Rankings!B1:H651,6,FALSE)+(RAND()*0.00001)</f>
        <v>292.76266671488202</v>
      </c>
      <c r="F111" s="30">
        <f ca="1">E111-VLOOKUP(Settings!$K$8+Settings!$K$9,D$2:E$251,2,FALSE)</f>
        <v>-26.29800251634191</v>
      </c>
      <c r="G111" s="141">
        <f t="shared" ca="1" si="3"/>
        <v>162</v>
      </c>
      <c r="H111" s="30">
        <f ca="1">VLOOKUP(A111,Rankings!B1:H651,7,FALSE)+(RAND()*0.00001)</f>
        <v>-1.581885973625468</v>
      </c>
      <c r="I111" s="30">
        <f ca="1">H111-VLOOKUP(Settings!$K$8+Settings!$K$9,G$2:H$251,2,FALSE)</f>
        <v>-2.0771775138666051</v>
      </c>
    </row>
    <row r="112" spans="1:9" ht="18.600000000000001" customHeight="1">
      <c r="A112" s="25" t="s">
        <v>466</v>
      </c>
      <c r="B112" s="26" t="s">
        <v>158</v>
      </c>
      <c r="C112" s="41" t="s">
        <v>34</v>
      </c>
      <c r="D112" s="141">
        <f t="shared" ca="1" si="2"/>
        <v>130</v>
      </c>
      <c r="E112" s="30">
        <f ca="1">VLOOKUP(A112,Rankings!B1:H651,6,FALSE)+(RAND()*0.00001)</f>
        <v>262.53333830890006</v>
      </c>
      <c r="F112" s="30">
        <f ca="1">E112-VLOOKUP(Settings!$K$8+Settings!$K$9,D$2:E$251,2,FALSE)</f>
        <v>-56.52733092232387</v>
      </c>
      <c r="G112" s="141">
        <f t="shared" ca="1" si="3"/>
        <v>116</v>
      </c>
      <c r="H112" s="30">
        <f ca="1">VLOOKUP(A112,Rankings!B1:H651,7,FALSE)+(RAND()*0.00001)</f>
        <v>-0.47763634731489668</v>
      </c>
      <c r="I112" s="30">
        <f ca="1">H112-VLOOKUP(Settings!$K$8+Settings!$K$9,G$2:H$251,2,FALSE)</f>
        <v>-0.97292788755603388</v>
      </c>
    </row>
    <row r="113" spans="1:9" ht="18.600000000000001" customHeight="1">
      <c r="A113" s="25" t="s">
        <v>359</v>
      </c>
      <c r="B113" s="26" t="s">
        <v>79</v>
      </c>
      <c r="C113" s="35" t="s">
        <v>31</v>
      </c>
      <c r="D113" s="141">
        <f t="shared" ca="1" si="2"/>
        <v>102</v>
      </c>
      <c r="E113" s="30">
        <f ca="1">VLOOKUP(A113,Rankings!B1:H651,6,FALSE)+(RAND()*0.00001)</f>
        <v>297.21667310966728</v>
      </c>
      <c r="F113" s="30">
        <f ca="1">E113-VLOOKUP(Settings!$K$8+Settings!$K$9,D$2:E$251,2,FALSE)</f>
        <v>-21.843996121556643</v>
      </c>
      <c r="G113" s="141">
        <f t="shared" ca="1" si="3"/>
        <v>106</v>
      </c>
      <c r="H113" s="30">
        <f ca="1">VLOOKUP(A113,Rankings!B1:H651,7,FALSE)+(RAND()*0.00001)</f>
        <v>-0.12375134657359876</v>
      </c>
      <c r="I113" s="30">
        <f ca="1">H113-VLOOKUP(Settings!$K$8+Settings!$K$9,G$2:H$251,2,FALSE)</f>
        <v>-0.61904288681473596</v>
      </c>
    </row>
    <row r="114" spans="1:9" ht="20.100000000000001" customHeight="1">
      <c r="A114" s="25" t="s">
        <v>467</v>
      </c>
      <c r="B114" s="26" t="s">
        <v>139</v>
      </c>
      <c r="C114" s="35" t="s">
        <v>31</v>
      </c>
      <c r="D114" s="141">
        <f t="shared" ca="1" si="2"/>
        <v>103</v>
      </c>
      <c r="E114" s="30">
        <f ca="1">VLOOKUP(A114,Rankings!B1:H651,6,FALSE)+(RAND()*0.00001)</f>
        <v>296.62100096907511</v>
      </c>
      <c r="F114" s="30">
        <f ca="1">E114-VLOOKUP(Settings!$K$8+Settings!$K$9,D$2:E$251,2,FALSE)</f>
        <v>-22.439668262148814</v>
      </c>
      <c r="G114" s="141">
        <f t="shared" ca="1" si="3"/>
        <v>180</v>
      </c>
      <c r="H114" s="30">
        <f ca="1">VLOOKUP(A114,Rankings!B1:H651,7,FALSE)+(RAND()*0.00001)</f>
        <v>-1.9093882928510468</v>
      </c>
      <c r="I114" s="30">
        <f ca="1">H114-VLOOKUP(Settings!$K$8+Settings!$K$9,G$2:H$251,2,FALSE)</f>
        <v>-2.4046798330921839</v>
      </c>
    </row>
    <row r="115" spans="1:9" ht="18.600000000000001" customHeight="1">
      <c r="A115" s="25" t="s">
        <v>272</v>
      </c>
      <c r="B115" s="26" t="s">
        <v>103</v>
      </c>
      <c r="C115" s="41" t="s">
        <v>34</v>
      </c>
      <c r="D115" s="141">
        <f t="shared" ca="1" si="2"/>
        <v>134</v>
      </c>
      <c r="E115" s="30">
        <f ca="1">VLOOKUP(A115,Rankings!B1:H651,6,FALSE)+(RAND()*0.00001)</f>
        <v>251.10000026156459</v>
      </c>
      <c r="F115" s="30">
        <f ca="1">E115-VLOOKUP(Settings!$K$8+Settings!$K$9,D$2:E$251,2,FALSE)</f>
        <v>-67.960668969659338</v>
      </c>
      <c r="G115" s="141">
        <f t="shared" ca="1" si="3"/>
        <v>48</v>
      </c>
      <c r="H115" s="30">
        <f ca="1">VLOOKUP(A115,Rankings!B1:H651,7,FALSE)+(RAND()*0.00001)</f>
        <v>2.5339589562712832</v>
      </c>
      <c r="I115" s="30">
        <f ca="1">H115-VLOOKUP(Settings!$K$8+Settings!$K$9,G$2:H$251,2,FALSE)</f>
        <v>2.0386674160301461</v>
      </c>
    </row>
    <row r="116" spans="1:9" ht="18.600000000000001" customHeight="1">
      <c r="A116" s="25" t="s">
        <v>362</v>
      </c>
      <c r="B116" s="26" t="s">
        <v>136</v>
      </c>
      <c r="C116" s="35" t="s">
        <v>31</v>
      </c>
      <c r="D116" s="141">
        <f t="shared" ca="1" si="2"/>
        <v>112</v>
      </c>
      <c r="E116" s="30">
        <f ca="1">VLOOKUP(A116,Rankings!B1:H651,6,FALSE)+(RAND()*0.00001)</f>
        <v>281.91667457941975</v>
      </c>
      <c r="F116" s="30">
        <f ca="1">E116-VLOOKUP(Settings!$K$8+Settings!$K$9,D$2:E$251,2,FALSE)</f>
        <v>-37.143994651804178</v>
      </c>
      <c r="G116" s="141">
        <f t="shared" ca="1" si="3"/>
        <v>108</v>
      </c>
      <c r="H116" s="30">
        <f ca="1">VLOOKUP(A116,Rankings!B1:H651,7,FALSE)+(RAND()*0.00001)</f>
        <v>-0.18606467856440156</v>
      </c>
      <c r="I116" s="30">
        <f ca="1">H116-VLOOKUP(Settings!$K$8+Settings!$K$9,G$2:H$251,2,FALSE)</f>
        <v>-0.68135621880553887</v>
      </c>
    </row>
    <row r="117" spans="1:9" ht="18.600000000000001" customHeight="1">
      <c r="A117" s="25" t="s">
        <v>409</v>
      </c>
      <c r="B117" s="26" t="s">
        <v>125</v>
      </c>
      <c r="C117" s="35" t="s">
        <v>31</v>
      </c>
      <c r="D117" s="141">
        <f t="shared" ca="1" si="2"/>
        <v>113</v>
      </c>
      <c r="E117" s="30">
        <f ca="1">VLOOKUP(A117,Rankings!B1:H651,6,FALSE)+(RAND()*0.00001)</f>
        <v>281.71400562971803</v>
      </c>
      <c r="F117" s="30">
        <f ca="1">E117-VLOOKUP(Settings!$K$8+Settings!$K$9,D$2:E$251,2,FALSE)</f>
        <v>-37.346663601505895</v>
      </c>
      <c r="G117" s="141">
        <f t="shared" ca="1" si="3"/>
        <v>133</v>
      </c>
      <c r="H117" s="30">
        <f ca="1">VLOOKUP(A117,Rankings!B1:H651,7,FALSE)+(RAND()*0.00001)</f>
        <v>-0.90826699543690359</v>
      </c>
      <c r="I117" s="30">
        <f ca="1">H117-VLOOKUP(Settings!$K$8+Settings!$K$9,G$2:H$251,2,FALSE)</f>
        <v>-1.4035585356780409</v>
      </c>
    </row>
    <row r="118" spans="1:9" ht="18.600000000000001" customHeight="1">
      <c r="A118" s="25" t="s">
        <v>222</v>
      </c>
      <c r="B118" s="26" t="s">
        <v>158</v>
      </c>
      <c r="C118" s="41" t="s">
        <v>34</v>
      </c>
      <c r="D118" s="141">
        <f t="shared" ca="1" si="2"/>
        <v>136</v>
      </c>
      <c r="E118" s="30">
        <f ca="1">VLOOKUP(A118,Rankings!B1:H651,6,FALSE)+(RAND()*0.00001)</f>
        <v>247.86667634065114</v>
      </c>
      <c r="F118" s="30">
        <f ca="1">E118-VLOOKUP(Settings!$K$8+Settings!$K$9,D$2:E$251,2,FALSE)</f>
        <v>-71.193992890572787</v>
      </c>
      <c r="G118" s="141">
        <f t="shared" ca="1" si="3"/>
        <v>35</v>
      </c>
      <c r="H118" s="30">
        <f ca="1">VLOOKUP(A118,Rankings!B1:H651,7,FALSE)+(RAND()*0.00001)</f>
        <v>3.7573707802415925</v>
      </c>
      <c r="I118" s="30">
        <f ca="1">H118-VLOOKUP(Settings!$K$8+Settings!$K$9,G$2:H$251,2,FALSE)</f>
        <v>3.2620792400004555</v>
      </c>
    </row>
    <row r="119" spans="1:9" ht="18.600000000000001" customHeight="1">
      <c r="A119" s="25" t="s">
        <v>437</v>
      </c>
      <c r="B119" s="26" t="s">
        <v>139</v>
      </c>
      <c r="C119" s="35" t="s">
        <v>31</v>
      </c>
      <c r="D119" s="141">
        <f t="shared" ca="1" si="2"/>
        <v>111</v>
      </c>
      <c r="E119" s="30">
        <f ca="1">VLOOKUP(A119,Rankings!B1:H651,6,FALSE)+(RAND()*0.00001)</f>
        <v>283.25000841405699</v>
      </c>
      <c r="F119" s="30">
        <f ca="1">E119-VLOOKUP(Settings!$K$8+Settings!$K$9,D$2:E$251,2,FALSE)</f>
        <v>-35.810660817166934</v>
      </c>
      <c r="G119" s="141">
        <f t="shared" ca="1" si="3"/>
        <v>163</v>
      </c>
      <c r="H119" s="30">
        <f ca="1">VLOOKUP(A119,Rankings!B1:H651,7,FALSE)+(RAND()*0.00001)</f>
        <v>-1.592868066829229</v>
      </c>
      <c r="I119" s="30">
        <f ca="1">H119-VLOOKUP(Settings!$K$8+Settings!$K$9,G$2:H$251,2,FALSE)</f>
        <v>-2.0881596070703661</v>
      </c>
    </row>
    <row r="120" spans="1:9" ht="18.600000000000001" customHeight="1">
      <c r="A120" s="25" t="s">
        <v>500</v>
      </c>
      <c r="B120" s="26" t="s">
        <v>101</v>
      </c>
      <c r="C120" s="35" t="s">
        <v>31</v>
      </c>
      <c r="D120" s="141">
        <f t="shared" ca="1" si="2"/>
        <v>119</v>
      </c>
      <c r="E120" s="30">
        <f ca="1">VLOOKUP(A120,Rankings!B1:H651,6,FALSE)+(RAND()*0.00001)</f>
        <v>274.54400755886076</v>
      </c>
      <c r="F120" s="30">
        <f ca="1">E120-VLOOKUP(Settings!$K$8+Settings!$K$9,D$2:E$251,2,FALSE)</f>
        <v>-44.516661672363171</v>
      </c>
      <c r="G120" s="141">
        <f t="shared" ca="1" si="3"/>
        <v>205</v>
      </c>
      <c r="H120" s="30">
        <f ca="1">VLOOKUP(A120,Rankings!B1:H651,7,FALSE)+(RAND()*0.00001)</f>
        <v>-2.3329796194200316</v>
      </c>
      <c r="I120" s="30">
        <f ca="1">H120-VLOOKUP(Settings!$K$8+Settings!$K$9,G$2:H$251,2,FALSE)</f>
        <v>-2.8282711596611687</v>
      </c>
    </row>
    <row r="121" spans="1:9" ht="18.600000000000001" customHeight="1">
      <c r="A121" s="25" t="s">
        <v>554</v>
      </c>
      <c r="B121" s="26" t="s">
        <v>225</v>
      </c>
      <c r="C121" s="35" t="s">
        <v>31</v>
      </c>
      <c r="D121" s="141">
        <f t="shared" ca="1" si="2"/>
        <v>115</v>
      </c>
      <c r="E121" s="30">
        <f ca="1">VLOOKUP(A121,Rankings!B1:H651,6,FALSE)+(RAND()*0.00001)</f>
        <v>280.39133347143184</v>
      </c>
      <c r="F121" s="30">
        <f ca="1">E121-VLOOKUP(Settings!$K$8+Settings!$K$9,D$2:E$251,2,FALSE)</f>
        <v>-38.669335759792091</v>
      </c>
      <c r="G121" s="141">
        <f t="shared" ca="1" si="3"/>
        <v>220</v>
      </c>
      <c r="H121" s="30">
        <f ca="1">VLOOKUP(A121,Rankings!B1:H651,7,FALSE)+(RAND()*0.00001)</f>
        <v>-2.8832700572215249</v>
      </c>
      <c r="I121" s="30">
        <f ca="1">H121-VLOOKUP(Settings!$K$8+Settings!$K$9,G$2:H$251,2,FALSE)</f>
        <v>-3.3785615974626619</v>
      </c>
    </row>
    <row r="122" spans="1:9" ht="20.100000000000001" customHeight="1">
      <c r="A122" s="25" t="s">
        <v>498</v>
      </c>
      <c r="B122" s="26" t="s">
        <v>105</v>
      </c>
      <c r="C122" s="35" t="s">
        <v>31</v>
      </c>
      <c r="D122" s="141">
        <f t="shared" ca="1" si="2"/>
        <v>116</v>
      </c>
      <c r="E122" s="30">
        <f ca="1">VLOOKUP(A122,Rankings!B1:H651,6,FALSE)+(RAND()*0.00001)</f>
        <v>279.58866903121464</v>
      </c>
      <c r="F122" s="30">
        <f ca="1">E122-VLOOKUP(Settings!$K$8+Settings!$K$9,D$2:E$251,2,FALSE)</f>
        <v>-39.47200020000929</v>
      </c>
      <c r="G122" s="141">
        <f t="shared" ca="1" si="3"/>
        <v>203</v>
      </c>
      <c r="H122" s="30">
        <f ca="1">VLOOKUP(A122,Rankings!B1:H651,7,FALSE)+(RAND()*0.00001)</f>
        <v>-2.2938252336969676</v>
      </c>
      <c r="I122" s="30">
        <f ca="1">H122-VLOOKUP(Settings!$K$8+Settings!$K$9,G$2:H$251,2,FALSE)</f>
        <v>-2.7891167739381046</v>
      </c>
    </row>
    <row r="123" spans="1:9" ht="20.100000000000001" customHeight="1">
      <c r="A123" s="25" t="s">
        <v>515</v>
      </c>
      <c r="B123" s="26" t="s">
        <v>136</v>
      </c>
      <c r="C123" s="35" t="s">
        <v>31</v>
      </c>
      <c r="D123" s="141">
        <f t="shared" ca="1" si="2"/>
        <v>117</v>
      </c>
      <c r="E123" s="30">
        <f ca="1">VLOOKUP(A123,Rankings!B1:H651,6,FALSE)+(RAND()*0.00001)</f>
        <v>278.19066970178062</v>
      </c>
      <c r="F123" s="30">
        <f ca="1">E123-VLOOKUP(Settings!$K$8+Settings!$K$9,D$2:E$251,2,FALSE)</f>
        <v>-40.869999529443305</v>
      </c>
      <c r="G123" s="141">
        <f t="shared" ca="1" si="3"/>
        <v>207</v>
      </c>
      <c r="H123" s="30">
        <f ca="1">VLOOKUP(A123,Rankings!B1:H651,7,FALSE)+(RAND()*0.00001)</f>
        <v>-2.5388859009809344</v>
      </c>
      <c r="I123" s="30">
        <f ca="1">H123-VLOOKUP(Settings!$K$8+Settings!$K$9,G$2:H$251,2,FALSE)</f>
        <v>-3.0341774412220714</v>
      </c>
    </row>
    <row r="124" spans="1:9" ht="20.100000000000001" customHeight="1">
      <c r="A124" s="25" t="s">
        <v>414</v>
      </c>
      <c r="B124" s="26" t="s">
        <v>105</v>
      </c>
      <c r="C124" s="41" t="s">
        <v>34</v>
      </c>
      <c r="D124" s="141">
        <f t="shared" ca="1" si="2"/>
        <v>127</v>
      </c>
      <c r="E124" s="30">
        <f ca="1">VLOOKUP(A124,Rankings!B1:H651,6,FALSE)+(RAND()*0.00001)</f>
        <v>268.05800466907499</v>
      </c>
      <c r="F124" s="30">
        <f ca="1">E124-VLOOKUP(Settings!$K$8+Settings!$K$9,D$2:E$251,2,FALSE)</f>
        <v>-51.002664562148937</v>
      </c>
      <c r="G124" s="141">
        <f t="shared" ca="1" si="3"/>
        <v>93</v>
      </c>
      <c r="H124" s="30">
        <f ca="1">VLOOKUP(A124,Rankings!B1:H651,7,FALSE)+(RAND()*0.00001)</f>
        <v>0.28065212999498107</v>
      </c>
      <c r="I124" s="30">
        <f ca="1">H124-VLOOKUP(Settings!$K$8+Settings!$K$9,G$2:H$251,2,FALSE)</f>
        <v>-0.21463941024615618</v>
      </c>
    </row>
    <row r="125" spans="1:9" ht="18.600000000000001" customHeight="1">
      <c r="A125" s="25" t="s">
        <v>389</v>
      </c>
      <c r="B125" s="26" t="s">
        <v>136</v>
      </c>
      <c r="C125" s="35" t="s">
        <v>31</v>
      </c>
      <c r="D125" s="141">
        <f t="shared" ca="1" si="2"/>
        <v>123</v>
      </c>
      <c r="E125" s="30">
        <f ca="1">VLOOKUP(A125,Rankings!B1:H651,6,FALSE)+(RAND()*0.00001)</f>
        <v>270.25000562563196</v>
      </c>
      <c r="F125" s="30">
        <f ca="1">E125-VLOOKUP(Settings!$K$8+Settings!$K$9,D$2:E$251,2,FALSE)</f>
        <v>-48.810663605591969</v>
      </c>
      <c r="G125" s="141">
        <f t="shared" ca="1" si="3"/>
        <v>121</v>
      </c>
      <c r="H125" s="30">
        <f ca="1">VLOOKUP(A125,Rankings!B1:H651,7,FALSE)+(RAND()*0.00001)</f>
        <v>-0.64236814984681989</v>
      </c>
      <c r="I125" s="30">
        <f ca="1">H125-VLOOKUP(Settings!$K$8+Settings!$K$9,G$2:H$251,2,FALSE)</f>
        <v>-1.1376596900879572</v>
      </c>
    </row>
    <row r="126" spans="1:9" ht="18.600000000000001" customHeight="1">
      <c r="A126" s="25" t="s">
        <v>654</v>
      </c>
      <c r="B126" s="26" t="s">
        <v>178</v>
      </c>
      <c r="C126" s="35" t="s">
        <v>31</v>
      </c>
      <c r="D126" s="141">
        <f t="shared" ca="1" si="2"/>
        <v>121</v>
      </c>
      <c r="E126" s="30">
        <f ca="1">VLOOKUP(A126,Rankings!B1:H651,6,FALSE)+(RAND()*0.00001)</f>
        <v>273.20934192315627</v>
      </c>
      <c r="F126" s="30">
        <f ca="1">E126-VLOOKUP(Settings!$K$8+Settings!$K$9,D$2:E$251,2,FALSE)</f>
        <v>-45.851327308067653</v>
      </c>
      <c r="G126" s="141">
        <f t="shared" ca="1" si="3"/>
        <v>244</v>
      </c>
      <c r="H126" s="30">
        <f ca="1">VLOOKUP(A126,Rankings!B1:H651,7,FALSE)+(RAND()*0.00001)</f>
        <v>-4.2770528103834469</v>
      </c>
      <c r="I126" s="30">
        <f ca="1">H126-VLOOKUP(Settings!$K$8+Settings!$K$9,G$2:H$251,2,FALSE)</f>
        <v>-4.772344350624584</v>
      </c>
    </row>
    <row r="127" spans="1:9" ht="20.100000000000001" customHeight="1">
      <c r="A127" s="25" t="s">
        <v>585</v>
      </c>
      <c r="B127" s="26" t="s">
        <v>309</v>
      </c>
      <c r="C127" s="35" t="s">
        <v>31</v>
      </c>
      <c r="D127" s="141">
        <f t="shared" ca="1" si="2"/>
        <v>118</v>
      </c>
      <c r="E127" s="30">
        <f ca="1">VLOOKUP(A127,Rankings!B1:H651,6,FALSE)+(RAND()*0.00001)</f>
        <v>275.73333615188892</v>
      </c>
      <c r="F127" s="30">
        <f ca="1">E127-VLOOKUP(Settings!$K$8+Settings!$K$9,D$2:E$251,2,FALSE)</f>
        <v>-43.327333079335006</v>
      </c>
      <c r="G127" s="141">
        <f t="shared" ca="1" si="3"/>
        <v>229</v>
      </c>
      <c r="H127" s="30">
        <f ca="1">VLOOKUP(A127,Rankings!B1:H651,7,FALSE)+(RAND()*0.00001)</f>
        <v>-3.3560734838028972</v>
      </c>
      <c r="I127" s="30">
        <f ca="1">H127-VLOOKUP(Settings!$K$8+Settings!$K$9,G$2:H$251,2,FALSE)</f>
        <v>-3.8513650240440342</v>
      </c>
    </row>
    <row r="128" spans="1:9" ht="18.600000000000001" customHeight="1">
      <c r="A128" s="25" t="s">
        <v>644</v>
      </c>
      <c r="B128" s="26" t="s">
        <v>119</v>
      </c>
      <c r="C128" s="35" t="s">
        <v>31</v>
      </c>
      <c r="D128" s="141">
        <f t="shared" ca="1" si="2"/>
        <v>120</v>
      </c>
      <c r="E128" s="30">
        <f ca="1">VLOOKUP(A128,Rankings!B1:H651,6,FALSE)+(RAND()*0.00001)</f>
        <v>274.3213362008845</v>
      </c>
      <c r="F128" s="30">
        <f ca="1">E128-VLOOKUP(Settings!$K$8+Settings!$K$9,D$2:E$251,2,FALSE)</f>
        <v>-44.739333030339424</v>
      </c>
      <c r="G128" s="141">
        <f t="shared" ca="1" si="3"/>
        <v>241</v>
      </c>
      <c r="H128" s="30">
        <f ca="1">VLOOKUP(A128,Rankings!B1:H651,7,FALSE)+(RAND()*0.00001)</f>
        <v>-4.0843456727755418</v>
      </c>
      <c r="I128" s="30">
        <f ca="1">H128-VLOOKUP(Settings!$K$8+Settings!$K$9,G$2:H$251,2,FALSE)</f>
        <v>-4.5796372130166789</v>
      </c>
    </row>
    <row r="129" spans="1:9" ht="20.100000000000001" customHeight="1">
      <c r="A129" s="25" t="s">
        <v>476</v>
      </c>
      <c r="B129" s="26" t="s">
        <v>64</v>
      </c>
      <c r="C129" s="35" t="s">
        <v>31</v>
      </c>
      <c r="D129" s="141">
        <f t="shared" ca="1" si="2"/>
        <v>125</v>
      </c>
      <c r="E129" s="30">
        <f ca="1">VLOOKUP(A129,Rankings!B1:H651,6,FALSE)+(RAND()*0.00001)</f>
        <v>269.58933716435001</v>
      </c>
      <c r="F129" s="30">
        <f ca="1">E129-VLOOKUP(Settings!$K$8+Settings!$K$9,D$2:E$251,2,FALSE)</f>
        <v>-49.471332066873913</v>
      </c>
      <c r="G129" s="141">
        <f t="shared" ca="1" si="3"/>
        <v>189</v>
      </c>
      <c r="H129" s="30">
        <f ca="1">VLOOKUP(A129,Rankings!B1:H651,7,FALSE)+(RAND()*0.00001)</f>
        <v>-2.0194965300631553</v>
      </c>
      <c r="I129" s="30">
        <f ca="1">H129-VLOOKUP(Settings!$K$8+Settings!$K$9,G$2:H$251,2,FALSE)</f>
        <v>-2.5147880703042924</v>
      </c>
    </row>
    <row r="130" spans="1:9" ht="18.600000000000001" customHeight="1">
      <c r="A130" s="25" t="s">
        <v>411</v>
      </c>
      <c r="B130" s="26" t="s">
        <v>103</v>
      </c>
      <c r="C130" s="35" t="s">
        <v>31</v>
      </c>
      <c r="D130" s="141">
        <f t="shared" ref="D130:D193" ca="1" si="4">RANK(E130,E$2:E$251)</f>
        <v>124</v>
      </c>
      <c r="E130" s="30">
        <f ca="1">VLOOKUP(A130,Rankings!B1:H651,6,FALSE)+(RAND()*0.00001)</f>
        <v>269.82667253480224</v>
      </c>
      <c r="F130" s="30">
        <f ca="1">E130-VLOOKUP(Settings!$K$8+Settings!$K$9,D$2:E$251,2,FALSE)</f>
        <v>-49.233996696421684</v>
      </c>
      <c r="G130" s="141">
        <f t="shared" ref="G130:G193" ca="1" si="5">RANK(H130,H$2:H$251)</f>
        <v>136</v>
      </c>
      <c r="H130" s="30">
        <f ca="1">VLOOKUP(A130,Rankings!B1:H651,7,FALSE)+(RAND()*0.00001)</f>
        <v>-1.0315204381289198</v>
      </c>
      <c r="I130" s="30">
        <f ca="1">H130-VLOOKUP(Settings!$K$8+Settings!$K$9,G$2:H$251,2,FALSE)</f>
        <v>-1.5268119783700571</v>
      </c>
    </row>
    <row r="131" spans="1:9" ht="18.600000000000001" customHeight="1">
      <c r="A131" s="25" t="s">
        <v>447</v>
      </c>
      <c r="B131" s="26" t="s">
        <v>92</v>
      </c>
      <c r="C131" s="41" t="s">
        <v>34</v>
      </c>
      <c r="D131" s="141">
        <f t="shared" ca="1" si="4"/>
        <v>143</v>
      </c>
      <c r="E131" s="30">
        <f ca="1">VLOOKUP(A131,Rankings!B1:H651,6,FALSE)+(RAND()*0.00001)</f>
        <v>232.95000577111037</v>
      </c>
      <c r="F131" s="30">
        <f ca="1">E131-VLOOKUP(Settings!$K$8+Settings!$K$9,D$2:E$251,2,FALSE)</f>
        <v>-86.110663460113557</v>
      </c>
      <c r="G131" s="141">
        <f t="shared" ca="1" si="5"/>
        <v>110</v>
      </c>
      <c r="H131" s="30">
        <f ca="1">VLOOKUP(A131,Rankings!B1:H651,7,FALSE)+(RAND()*0.00001)</f>
        <v>-0.2935502117880931</v>
      </c>
      <c r="I131" s="30">
        <f ca="1">H131-VLOOKUP(Settings!$K$8+Settings!$K$9,G$2:H$251,2,FALSE)</f>
        <v>-0.78884175202923035</v>
      </c>
    </row>
    <row r="132" spans="1:9" ht="18.600000000000001" customHeight="1">
      <c r="A132" s="25" t="s">
        <v>524</v>
      </c>
      <c r="B132" s="26" t="s">
        <v>77</v>
      </c>
      <c r="C132" s="35" t="s">
        <v>31</v>
      </c>
      <c r="D132" s="141">
        <f t="shared" ca="1" si="4"/>
        <v>129</v>
      </c>
      <c r="E132" s="30">
        <f ca="1">VLOOKUP(A132,Rankings!B1:H651,6,FALSE)+(RAND()*0.00001)</f>
        <v>262.67066694183393</v>
      </c>
      <c r="F132" s="30">
        <f ca="1">E132-VLOOKUP(Settings!$K$8+Settings!$K$9,D$2:E$251,2,FALSE)</f>
        <v>-56.390002289389997</v>
      </c>
      <c r="G132" s="141">
        <f t="shared" ca="1" si="5"/>
        <v>210</v>
      </c>
      <c r="H132" s="30">
        <f ca="1">VLOOKUP(A132,Rankings!B1:H651,7,FALSE)+(RAND()*0.00001)</f>
        <v>-2.6149406833546651</v>
      </c>
      <c r="I132" s="30">
        <f ca="1">H132-VLOOKUP(Settings!$K$8+Settings!$K$9,G$2:H$251,2,FALSE)</f>
        <v>-3.1102322235958022</v>
      </c>
    </row>
    <row r="133" spans="1:9" ht="18.600000000000001" customHeight="1">
      <c r="A133" s="25" t="s">
        <v>504</v>
      </c>
      <c r="B133" s="26" t="s">
        <v>87</v>
      </c>
      <c r="C133" s="41" t="s">
        <v>34</v>
      </c>
      <c r="D133" s="141">
        <f t="shared" ca="1" si="4"/>
        <v>145</v>
      </c>
      <c r="E133" s="30">
        <f ca="1">VLOOKUP(A133,Rankings!B1:H651,6,FALSE)+(RAND()*0.00001)</f>
        <v>231.76667263880097</v>
      </c>
      <c r="F133" s="30">
        <f ca="1">E133-VLOOKUP(Settings!$K$8+Settings!$K$9,D$2:E$251,2,FALSE)</f>
        <v>-87.293996592422957</v>
      </c>
      <c r="G133" s="141">
        <f t="shared" ca="1" si="5"/>
        <v>134</v>
      </c>
      <c r="H133" s="30">
        <f ca="1">VLOOKUP(A133,Rankings!B1:H651,7,FALSE)+(RAND()*0.00001)</f>
        <v>-0.95375308508264145</v>
      </c>
      <c r="I133" s="30">
        <f ca="1">H133-VLOOKUP(Settings!$K$8+Settings!$K$9,G$2:H$251,2,FALSE)</f>
        <v>-1.4490446253237788</v>
      </c>
    </row>
    <row r="134" spans="1:9" ht="20.100000000000001" customHeight="1">
      <c r="A134" s="25" t="s">
        <v>522</v>
      </c>
      <c r="B134" s="26" t="s">
        <v>142</v>
      </c>
      <c r="C134" s="35" t="s">
        <v>31</v>
      </c>
      <c r="D134" s="141">
        <f t="shared" ca="1" si="4"/>
        <v>126</v>
      </c>
      <c r="E134" s="30">
        <f ca="1">VLOOKUP(A134,Rankings!B1:H651,6,FALSE)+(RAND()*0.00001)</f>
        <v>268.9690092280847</v>
      </c>
      <c r="F134" s="30">
        <f ca="1">E134-VLOOKUP(Settings!$K$8+Settings!$K$9,D$2:E$251,2,FALSE)</f>
        <v>-50.091660003139225</v>
      </c>
      <c r="G134" s="141">
        <f t="shared" ca="1" si="5"/>
        <v>209</v>
      </c>
      <c r="H134" s="30">
        <f ca="1">VLOOKUP(A134,Rankings!B1:H651,7,FALSE)+(RAND()*0.00001)</f>
        <v>-2.6014053365017706</v>
      </c>
      <c r="I134" s="30">
        <f ca="1">H134-VLOOKUP(Settings!$K$8+Settings!$K$9,G$2:H$251,2,FALSE)</f>
        <v>-3.0966968767429077</v>
      </c>
    </row>
    <row r="135" spans="1:9" ht="20.100000000000001" customHeight="1">
      <c r="A135" s="25" t="s">
        <v>562</v>
      </c>
      <c r="B135" s="26" t="s">
        <v>260</v>
      </c>
      <c r="C135" s="41" t="s">
        <v>34</v>
      </c>
      <c r="D135" s="141">
        <f t="shared" ca="1" si="4"/>
        <v>146</v>
      </c>
      <c r="E135" s="30">
        <f ca="1">VLOOKUP(A135,Rankings!B1:H651,6,FALSE)+(RAND()*0.00001)</f>
        <v>229.65000292984683</v>
      </c>
      <c r="F135" s="30">
        <f ca="1">E135-VLOOKUP(Settings!$K$8+Settings!$K$9,D$2:E$251,2,FALSE)</f>
        <v>-89.410666301377091</v>
      </c>
      <c r="G135" s="141">
        <f t="shared" ca="1" si="5"/>
        <v>160</v>
      </c>
      <c r="H135" s="30">
        <f ca="1">VLOOKUP(A135,Rankings!B1:H651,7,FALSE)+(RAND()*0.00001)</f>
        <v>-1.5575731357071492</v>
      </c>
      <c r="I135" s="30">
        <f ca="1">H135-VLOOKUP(Settings!$K$8+Settings!$K$9,G$2:H$251,2,FALSE)</f>
        <v>-2.0528646759482863</v>
      </c>
    </row>
    <row r="136" spans="1:9" ht="18.600000000000001" customHeight="1">
      <c r="A136" s="25" t="s">
        <v>552</v>
      </c>
      <c r="B136" s="26" t="s">
        <v>119</v>
      </c>
      <c r="C136" s="35" t="s">
        <v>31</v>
      </c>
      <c r="D136" s="141">
        <f t="shared" ca="1" si="4"/>
        <v>133</v>
      </c>
      <c r="E136" s="30">
        <f ca="1">VLOOKUP(A136,Rankings!B1:H651,6,FALSE)+(RAND()*0.00001)</f>
        <v>255.96400944912293</v>
      </c>
      <c r="F136" s="30">
        <f ca="1">E136-VLOOKUP(Settings!$K$8+Settings!$K$9,D$2:E$251,2,FALSE)</f>
        <v>-63.096659782101</v>
      </c>
      <c r="G136" s="141">
        <f t="shared" ca="1" si="5"/>
        <v>219</v>
      </c>
      <c r="H136" s="30">
        <f ca="1">VLOOKUP(A136,Rankings!B1:H651,7,FALSE)+(RAND()*0.00001)</f>
        <v>-2.8794025441954605</v>
      </c>
      <c r="I136" s="30">
        <f ca="1">H136-VLOOKUP(Settings!$K$8+Settings!$K$9,G$2:H$251,2,FALSE)</f>
        <v>-3.3746940844365976</v>
      </c>
    </row>
    <row r="137" spans="1:9" ht="18.600000000000001" customHeight="1">
      <c r="A137" s="25" t="s">
        <v>578</v>
      </c>
      <c r="B137" s="26" t="s">
        <v>101</v>
      </c>
      <c r="C137" s="35" t="s">
        <v>31</v>
      </c>
      <c r="D137" s="141">
        <f t="shared" ca="1" si="4"/>
        <v>131</v>
      </c>
      <c r="E137" s="30">
        <f ca="1">VLOOKUP(A137,Rankings!B1:H651,6,FALSE)+(RAND()*0.00001)</f>
        <v>258.72600710618838</v>
      </c>
      <c r="F137" s="30">
        <f ca="1">E137-VLOOKUP(Settings!$K$8+Settings!$K$9,D$2:E$251,2,FALSE)</f>
        <v>-60.33466212503555</v>
      </c>
      <c r="G137" s="141">
        <f t="shared" ca="1" si="5"/>
        <v>228</v>
      </c>
      <c r="H137" s="30">
        <f ca="1">VLOOKUP(A137,Rankings!B1:H651,7,FALSE)+(RAND()*0.00001)</f>
        <v>-3.2647956436511389</v>
      </c>
      <c r="I137" s="30">
        <f ca="1">H137-VLOOKUP(Settings!$K$8+Settings!$K$9,G$2:H$251,2,FALSE)</f>
        <v>-3.760087183892276</v>
      </c>
    </row>
    <row r="138" spans="1:9" ht="20.100000000000001" customHeight="1">
      <c r="A138" s="25" t="s">
        <v>413</v>
      </c>
      <c r="B138" s="26" t="s">
        <v>97</v>
      </c>
      <c r="C138" s="35" t="s">
        <v>31</v>
      </c>
      <c r="D138" s="141">
        <f t="shared" ca="1" si="4"/>
        <v>148</v>
      </c>
      <c r="E138" s="30">
        <f ca="1">VLOOKUP(A138,Rankings!B1:H651,6,FALSE)+(RAND()*0.00001)</f>
        <v>228.26666803296504</v>
      </c>
      <c r="F138" s="30">
        <f ca="1">E138-VLOOKUP(Settings!$K$8+Settings!$K$9,D$2:E$251,2,FALSE)</f>
        <v>-90.794001198258883</v>
      </c>
      <c r="G138" s="141">
        <f t="shared" ca="1" si="5"/>
        <v>140</v>
      </c>
      <c r="H138" s="30">
        <f ca="1">VLOOKUP(A138,Rankings!B1:H651,7,FALSE)+(RAND()*0.00001)</f>
        <v>-1.1334367026404155</v>
      </c>
      <c r="I138" s="30">
        <f ca="1">H138-VLOOKUP(Settings!$K$8+Settings!$K$9,G$2:H$251,2,FALSE)</f>
        <v>-1.6287282428815528</v>
      </c>
    </row>
    <row r="139" spans="1:9" ht="18.600000000000001" customHeight="1">
      <c r="A139" s="25" t="s">
        <v>430</v>
      </c>
      <c r="B139" s="26" t="s">
        <v>219</v>
      </c>
      <c r="C139" s="35" t="s">
        <v>31</v>
      </c>
      <c r="D139" s="141">
        <f t="shared" ca="1" si="4"/>
        <v>137</v>
      </c>
      <c r="E139" s="30">
        <f ca="1">VLOOKUP(A139,Rankings!B1:H651,6,FALSE)+(RAND()*0.00001)</f>
        <v>245.51667064507728</v>
      </c>
      <c r="F139" s="30">
        <f ca="1">E139-VLOOKUP(Settings!$K$8+Settings!$K$9,D$2:E$251,2,FALSE)</f>
        <v>-73.543998586146643</v>
      </c>
      <c r="G139" s="141">
        <f t="shared" ca="1" si="5"/>
        <v>156</v>
      </c>
      <c r="H139" s="30">
        <f ca="1">VLOOKUP(A139,Rankings!B1:H651,7,FALSE)+(RAND()*0.00001)</f>
        <v>-1.447414862041343</v>
      </c>
      <c r="I139" s="30">
        <f ca="1">H139-VLOOKUP(Settings!$K$8+Settings!$K$9,G$2:H$251,2,FALSE)</f>
        <v>-1.9427064022824803</v>
      </c>
    </row>
    <row r="140" spans="1:9" ht="20.100000000000001" customHeight="1">
      <c r="A140" s="25" t="s">
        <v>403</v>
      </c>
      <c r="B140" s="26" t="s">
        <v>158</v>
      </c>
      <c r="C140" s="35" t="s">
        <v>31</v>
      </c>
      <c r="D140" s="141">
        <f t="shared" ca="1" si="4"/>
        <v>138</v>
      </c>
      <c r="E140" s="30">
        <f ca="1">VLOOKUP(A140,Rankings!B1:H651,6,FALSE)+(RAND()*0.00001)</f>
        <v>239.27866883278233</v>
      </c>
      <c r="F140" s="30">
        <f ca="1">E140-VLOOKUP(Settings!$K$8+Settings!$K$9,D$2:E$251,2,FALSE)</f>
        <v>-79.782000398441596</v>
      </c>
      <c r="G140" s="141">
        <f t="shared" ca="1" si="5"/>
        <v>130</v>
      </c>
      <c r="H140" s="30">
        <f ca="1">VLOOKUP(A140,Rankings!B1:H651,7,FALSE)+(RAND()*0.00001)</f>
        <v>-0.83017182940721157</v>
      </c>
      <c r="I140" s="30">
        <f ca="1">H140-VLOOKUP(Settings!$K$8+Settings!$K$9,G$2:H$251,2,FALSE)</f>
        <v>-1.3254633696483489</v>
      </c>
    </row>
    <row r="141" spans="1:9" ht="18.600000000000001" customHeight="1">
      <c r="A141" s="25" t="s">
        <v>396</v>
      </c>
      <c r="B141" s="26" t="s">
        <v>101</v>
      </c>
      <c r="C141" s="35" t="s">
        <v>31</v>
      </c>
      <c r="D141" s="141">
        <f t="shared" ca="1" si="4"/>
        <v>132</v>
      </c>
      <c r="E141" s="30">
        <f ca="1">VLOOKUP(A141,Rankings!B1:H651,6,FALSE)+(RAND()*0.00001)</f>
        <v>256.55000663181204</v>
      </c>
      <c r="F141" s="30">
        <f ca="1">E141-VLOOKUP(Settings!$K$8+Settings!$K$9,D$2:E$251,2,FALSE)</f>
        <v>-62.510662599411887</v>
      </c>
      <c r="G141" s="141">
        <f t="shared" ca="1" si="5"/>
        <v>128</v>
      </c>
      <c r="H141" s="30">
        <f ca="1">VLOOKUP(A141,Rankings!B1:H651,7,FALSE)+(RAND()*0.00001)</f>
        <v>-0.7504059847955511</v>
      </c>
      <c r="I141" s="30">
        <f ca="1">H141-VLOOKUP(Settings!$K$8+Settings!$K$9,G$2:H$251,2,FALSE)</f>
        <v>-1.2456975250366884</v>
      </c>
    </row>
    <row r="142" spans="1:9" ht="18.600000000000001" customHeight="1">
      <c r="A142" s="25" t="s">
        <v>516</v>
      </c>
      <c r="B142" s="26" t="s">
        <v>116</v>
      </c>
      <c r="C142" s="41" t="s">
        <v>34</v>
      </c>
      <c r="D142" s="141">
        <f t="shared" ca="1" si="4"/>
        <v>158</v>
      </c>
      <c r="E142" s="30">
        <f ca="1">VLOOKUP(A142,Rankings!B1:H651,6,FALSE)+(RAND()*0.00001)</f>
        <v>218.01667621725616</v>
      </c>
      <c r="F142" s="30">
        <f ca="1">E142-VLOOKUP(Settings!$K$8+Settings!$K$9,D$2:E$251,2,FALSE)</f>
        <v>-101.04399301396776</v>
      </c>
      <c r="G142" s="141">
        <f t="shared" ca="1" si="5"/>
        <v>141</v>
      </c>
      <c r="H142" s="30">
        <f ca="1">VLOOKUP(A142,Rankings!B1:H651,7,FALSE)+(RAND()*0.00001)</f>
        <v>-1.1349997768277789</v>
      </c>
      <c r="I142" s="30">
        <f ca="1">H142-VLOOKUP(Settings!$K$8+Settings!$K$9,G$2:H$251,2,FALSE)</f>
        <v>-1.6302913170689162</v>
      </c>
    </row>
    <row r="143" spans="1:9" ht="20.100000000000001" customHeight="1">
      <c r="A143" s="25" t="s">
        <v>449</v>
      </c>
      <c r="B143" s="26" t="s">
        <v>219</v>
      </c>
      <c r="C143" s="41" t="s">
        <v>34</v>
      </c>
      <c r="D143" s="141">
        <f t="shared" ca="1" si="4"/>
        <v>159</v>
      </c>
      <c r="E143" s="30">
        <f ca="1">VLOOKUP(A143,Rankings!B1:H651,6,FALSE)+(RAND()*0.00001)</f>
        <v>217.56667624090537</v>
      </c>
      <c r="F143" s="30">
        <f ca="1">E143-VLOOKUP(Settings!$K$8+Settings!$K$9,D$2:E$251,2,FALSE)</f>
        <v>-101.49399299031856</v>
      </c>
      <c r="G143" s="141">
        <f t="shared" ca="1" si="5"/>
        <v>111</v>
      </c>
      <c r="H143" s="30">
        <f ca="1">VLOOKUP(A143,Rankings!B1:H651,7,FALSE)+(RAND()*0.00001)</f>
        <v>-0.32545627406666733</v>
      </c>
      <c r="I143" s="30">
        <f ca="1">H143-VLOOKUP(Settings!$K$8+Settings!$K$9,G$2:H$251,2,FALSE)</f>
        <v>-0.82074781430780464</v>
      </c>
    </row>
    <row r="144" spans="1:9" ht="20.100000000000001" customHeight="1">
      <c r="A144" s="25" t="s">
        <v>334</v>
      </c>
      <c r="B144" s="26" t="s">
        <v>125</v>
      </c>
      <c r="C144" s="41" t="s">
        <v>34</v>
      </c>
      <c r="D144" s="141">
        <f t="shared" ca="1" si="4"/>
        <v>162</v>
      </c>
      <c r="E144" s="30">
        <f ca="1">VLOOKUP(A144,Rankings!B1:H651,6,FALSE)+(RAND()*0.00001)</f>
        <v>213.95000626458673</v>
      </c>
      <c r="F144" s="30">
        <f ca="1">E144-VLOOKUP(Settings!$K$8+Settings!$K$9,D$2:E$251,2,FALSE)</f>
        <v>-105.11066296663719</v>
      </c>
      <c r="G144" s="141">
        <f t="shared" ca="1" si="5"/>
        <v>67</v>
      </c>
      <c r="H144" s="30">
        <f ca="1">VLOOKUP(A144,Rankings!B1:H651,7,FALSE)+(RAND()*0.00001)</f>
        <v>1.5710702147409854</v>
      </c>
      <c r="I144" s="30">
        <f ca="1">H144-VLOOKUP(Settings!$K$8+Settings!$K$9,G$2:H$251,2,FALSE)</f>
        <v>1.0757786744998481</v>
      </c>
    </row>
    <row r="145" spans="1:9" ht="20.100000000000001" customHeight="1">
      <c r="A145" s="25" t="s">
        <v>454</v>
      </c>
      <c r="B145" s="26" t="s">
        <v>160</v>
      </c>
      <c r="C145" s="41" t="s">
        <v>34</v>
      </c>
      <c r="D145" s="141">
        <f t="shared" ca="1" si="4"/>
        <v>163</v>
      </c>
      <c r="E145" s="30">
        <f ca="1">VLOOKUP(A145,Rankings!B1:H651,6,FALSE)+(RAND()*0.00001)</f>
        <v>213.43333751342706</v>
      </c>
      <c r="F145" s="30">
        <f ca="1">E145-VLOOKUP(Settings!$K$8+Settings!$K$9,D$2:E$251,2,FALSE)</f>
        <v>-105.62733171779686</v>
      </c>
      <c r="G145" s="141">
        <f t="shared" ca="1" si="5"/>
        <v>114</v>
      </c>
      <c r="H145" s="30">
        <f ca="1">VLOOKUP(A145,Rankings!B1:H651,7,FALSE)+(RAND()*0.00001)</f>
        <v>-0.38316898920475712</v>
      </c>
      <c r="I145" s="30">
        <f ca="1">H145-VLOOKUP(Settings!$K$8+Settings!$K$9,G$2:H$251,2,FALSE)</f>
        <v>-0.87846052944589437</v>
      </c>
    </row>
    <row r="146" spans="1:9" ht="18.600000000000001" customHeight="1">
      <c r="A146" s="25" t="s">
        <v>544</v>
      </c>
      <c r="B146" s="26" t="s">
        <v>119</v>
      </c>
      <c r="C146" s="35" t="s">
        <v>31</v>
      </c>
      <c r="D146" s="141">
        <f t="shared" ca="1" si="4"/>
        <v>149</v>
      </c>
      <c r="E146" s="30">
        <f ca="1">VLOOKUP(A146,Rankings!B1:H651,6,FALSE)+(RAND()*0.00001)</f>
        <v>227.21333742198343</v>
      </c>
      <c r="F146" s="30">
        <f ca="1">E146-VLOOKUP(Settings!$K$8+Settings!$K$9,D$2:E$251,2,FALSE)</f>
        <v>-91.847331809240501</v>
      </c>
      <c r="G146" s="141">
        <f t="shared" ca="1" si="5"/>
        <v>216</v>
      </c>
      <c r="H146" s="30">
        <f ca="1">VLOOKUP(A146,Rankings!B1:H651,7,FALSE)+(RAND()*0.00001)</f>
        <v>-2.8009971964281593</v>
      </c>
      <c r="I146" s="30">
        <f ca="1">H146-VLOOKUP(Settings!$K$8+Settings!$K$9,G$2:H$251,2,FALSE)</f>
        <v>-3.2962887366692963</v>
      </c>
    </row>
    <row r="147" spans="1:9" ht="18.600000000000001" customHeight="1">
      <c r="A147" s="25" t="s">
        <v>561</v>
      </c>
      <c r="B147" s="26" t="s">
        <v>309</v>
      </c>
      <c r="C147" s="41" t="s">
        <v>34</v>
      </c>
      <c r="D147" s="141">
        <f t="shared" ca="1" si="4"/>
        <v>165</v>
      </c>
      <c r="E147" s="30">
        <f ca="1">VLOOKUP(A147,Rankings!B1:H651,6,FALSE)+(RAND()*0.00001)</f>
        <v>211.03333333784136</v>
      </c>
      <c r="F147" s="30">
        <f ca="1">E147-VLOOKUP(Settings!$K$8+Settings!$K$9,D$2:E$251,2,FALSE)</f>
        <v>-108.02733589338257</v>
      </c>
      <c r="G147" s="141">
        <f t="shared" ca="1" si="5"/>
        <v>159</v>
      </c>
      <c r="H147" s="30">
        <f ca="1">VLOOKUP(A147,Rankings!B1:H651,7,FALSE)+(RAND()*0.00001)</f>
        <v>-1.5254602771547185</v>
      </c>
      <c r="I147" s="30">
        <f ca="1">H147-VLOOKUP(Settings!$K$8+Settings!$K$9,G$2:H$251,2,FALSE)</f>
        <v>-2.0207518173958556</v>
      </c>
    </row>
    <row r="148" spans="1:9" ht="20.100000000000001" customHeight="1">
      <c r="A148" s="25" t="s">
        <v>444</v>
      </c>
      <c r="B148" s="26" t="s">
        <v>260</v>
      </c>
      <c r="C148" s="35" t="s">
        <v>31</v>
      </c>
      <c r="D148" s="141">
        <f t="shared" ca="1" si="4"/>
        <v>135</v>
      </c>
      <c r="E148" s="30">
        <f ca="1">VLOOKUP(A148,Rankings!B1:H651,6,FALSE)+(RAND()*0.00001)</f>
        <v>248.46200658248176</v>
      </c>
      <c r="F148" s="30">
        <f ca="1">E148-VLOOKUP(Settings!$K$8+Settings!$K$9,D$2:E$251,2,FALSE)</f>
        <v>-70.598662648742163</v>
      </c>
      <c r="G148" s="141">
        <f t="shared" ca="1" si="5"/>
        <v>167</v>
      </c>
      <c r="H148" s="30">
        <f ca="1">VLOOKUP(A148,Rankings!B1:H651,7,FALSE)+(RAND()*0.00001)</f>
        <v>-1.6818980990970609</v>
      </c>
      <c r="I148" s="30">
        <f ca="1">H148-VLOOKUP(Settings!$K$8+Settings!$K$9,G$2:H$251,2,FALSE)</f>
        <v>-2.1771896393381982</v>
      </c>
    </row>
    <row r="149" spans="1:9" ht="18.600000000000001" customHeight="1">
      <c r="A149" s="25" t="s">
        <v>678</v>
      </c>
      <c r="B149" s="26" t="s">
        <v>122</v>
      </c>
      <c r="C149" s="35" t="s">
        <v>31</v>
      </c>
      <c r="D149" s="141">
        <f t="shared" ca="1" si="4"/>
        <v>139</v>
      </c>
      <c r="E149" s="30">
        <f ca="1">VLOOKUP(A149,Rankings!B1:H651,6,FALSE)+(RAND()*0.00001)</f>
        <v>238.77200173639542</v>
      </c>
      <c r="F149" s="30">
        <f ca="1">E149-VLOOKUP(Settings!$K$8+Settings!$K$9,D$2:E$251,2,FALSE)</f>
        <v>-80.288667494828502</v>
      </c>
      <c r="G149" s="141">
        <f t="shared" ca="1" si="5"/>
        <v>248</v>
      </c>
      <c r="H149" s="30">
        <f ca="1">VLOOKUP(A149,Rankings!B1:H651,7,FALSE)+(RAND()*0.00001)</f>
        <v>-4.7223595589985754</v>
      </c>
      <c r="I149" s="30">
        <f ca="1">H149-VLOOKUP(Settings!$K$8+Settings!$K$9,G$2:H$251,2,FALSE)</f>
        <v>-5.2176510992397125</v>
      </c>
    </row>
    <row r="150" spans="1:9" ht="18.600000000000001" customHeight="1">
      <c r="A150" s="25" t="s">
        <v>462</v>
      </c>
      <c r="B150" s="26" t="s">
        <v>125</v>
      </c>
      <c r="C150" s="35" t="s">
        <v>31</v>
      </c>
      <c r="D150" s="141">
        <f t="shared" ca="1" si="4"/>
        <v>141</v>
      </c>
      <c r="E150" s="30">
        <f ca="1">VLOOKUP(A150,Rankings!B1:H651,6,FALSE)+(RAND()*0.00001)</f>
        <v>235.2846724801804</v>
      </c>
      <c r="F150" s="30">
        <f ca="1">E150-VLOOKUP(Settings!$K$8+Settings!$K$9,D$2:E$251,2,FALSE)</f>
        <v>-83.775996751043522</v>
      </c>
      <c r="G150" s="141">
        <f t="shared" ca="1" si="5"/>
        <v>176</v>
      </c>
      <c r="H150" s="30">
        <f ca="1">VLOOKUP(A150,Rankings!B1:H651,7,FALSE)+(RAND()*0.00001)</f>
        <v>-1.8591881024320469</v>
      </c>
      <c r="I150" s="30">
        <f ca="1">H150-VLOOKUP(Settings!$K$8+Settings!$K$9,G$2:H$251,2,FALSE)</f>
        <v>-2.354479642673184</v>
      </c>
    </row>
    <row r="151" spans="1:9" ht="20.100000000000001" customHeight="1">
      <c r="A151" s="25" t="s">
        <v>441</v>
      </c>
      <c r="B151" s="26" t="s">
        <v>116</v>
      </c>
      <c r="C151" s="35" t="s">
        <v>31</v>
      </c>
      <c r="D151" s="141">
        <f t="shared" ca="1" si="4"/>
        <v>140</v>
      </c>
      <c r="E151" s="30">
        <f ca="1">VLOOKUP(A151,Rankings!B1:H651,6,FALSE)+(RAND()*0.00001)</f>
        <v>238.14534165168939</v>
      </c>
      <c r="F151" s="30">
        <f ca="1">E151-VLOOKUP(Settings!$K$8+Settings!$K$9,D$2:E$251,2,FALSE)</f>
        <v>-80.915327579534534</v>
      </c>
      <c r="G151" s="141">
        <f t="shared" ca="1" si="5"/>
        <v>166</v>
      </c>
      <c r="H151" s="30">
        <f ca="1">VLOOKUP(A151,Rankings!B1:H651,7,FALSE)+(RAND()*0.00001)</f>
        <v>-1.6132748457265156</v>
      </c>
      <c r="I151" s="30">
        <f ca="1">H151-VLOOKUP(Settings!$K$8+Settings!$K$9,G$2:H$251,2,FALSE)</f>
        <v>-2.1085663859676527</v>
      </c>
    </row>
    <row r="152" spans="1:9" ht="20.100000000000001" customHeight="1">
      <c r="A152" s="25" t="s">
        <v>543</v>
      </c>
      <c r="B152" s="26" t="s">
        <v>136</v>
      </c>
      <c r="C152" s="41" t="s">
        <v>34</v>
      </c>
      <c r="D152" s="141">
        <f t="shared" ca="1" si="4"/>
        <v>168</v>
      </c>
      <c r="E152" s="30">
        <f ca="1">VLOOKUP(A152,Rankings!B1:H651,6,FALSE)+(RAND()*0.00001)</f>
        <v>205.22533994611018</v>
      </c>
      <c r="F152" s="30">
        <f ca="1">E152-VLOOKUP(Settings!$K$8+Settings!$K$9,D$2:E$251,2,FALSE)</f>
        <v>-113.83532928511374</v>
      </c>
      <c r="G152" s="141">
        <f t="shared" ca="1" si="5"/>
        <v>153</v>
      </c>
      <c r="H152" s="30">
        <f ca="1">VLOOKUP(A152,Rankings!B1:H651,7,FALSE)+(RAND()*0.00001)</f>
        <v>-1.3761617917149309</v>
      </c>
      <c r="I152" s="30">
        <f ca="1">H152-VLOOKUP(Settings!$K$8+Settings!$K$9,G$2:H$251,2,FALSE)</f>
        <v>-1.8714533319560682</v>
      </c>
    </row>
    <row r="153" spans="1:9" ht="20.100000000000001" customHeight="1">
      <c r="A153" s="25" t="s">
        <v>445</v>
      </c>
      <c r="B153" s="26" t="s">
        <v>69</v>
      </c>
      <c r="C153" s="35" t="s">
        <v>31</v>
      </c>
      <c r="D153" s="141">
        <f t="shared" ca="1" si="4"/>
        <v>144</v>
      </c>
      <c r="E153" s="30">
        <f ca="1">VLOOKUP(A153,Rankings!B1:H651,6,FALSE)+(RAND()*0.00001)</f>
        <v>232.17667647270045</v>
      </c>
      <c r="F153" s="30">
        <f ca="1">E153-VLOOKUP(Settings!$K$8+Settings!$K$9,D$2:E$251,2,FALSE)</f>
        <v>-86.883992758523476</v>
      </c>
      <c r="G153" s="141">
        <f t="shared" ca="1" si="5"/>
        <v>168</v>
      </c>
      <c r="H153" s="30">
        <f ca="1">VLOOKUP(A153,Rankings!B1:H651,7,FALSE)+(RAND()*0.00001)</f>
        <v>-1.6851246330301783</v>
      </c>
      <c r="I153" s="30">
        <f ca="1">H153-VLOOKUP(Settings!$K$8+Settings!$K$9,G$2:H$251,2,FALSE)</f>
        <v>-2.1804161732713156</v>
      </c>
    </row>
    <row r="154" spans="1:9" ht="20.100000000000001" customHeight="1">
      <c r="A154" s="25" t="s">
        <v>560</v>
      </c>
      <c r="B154" s="26" t="s">
        <v>85</v>
      </c>
      <c r="C154" s="35" t="s">
        <v>31</v>
      </c>
      <c r="D154" s="141">
        <f t="shared" ca="1" si="4"/>
        <v>142</v>
      </c>
      <c r="E154" s="30">
        <f ca="1">VLOOKUP(A154,Rankings!B1:H651,6,FALSE)+(RAND()*0.00001)</f>
        <v>234.24400711573946</v>
      </c>
      <c r="F154" s="30">
        <f ca="1">E154-VLOOKUP(Settings!$K$8+Settings!$K$9,D$2:E$251,2,FALSE)</f>
        <v>-84.816662115484462</v>
      </c>
      <c r="G154" s="141">
        <f t="shared" ca="1" si="5"/>
        <v>224</v>
      </c>
      <c r="H154" s="30">
        <f ca="1">VLOOKUP(A154,Rankings!B1:H651,7,FALSE)+(RAND()*0.00001)</f>
        <v>-2.9414567169475987</v>
      </c>
      <c r="I154" s="30">
        <f ca="1">H154-VLOOKUP(Settings!$K$8+Settings!$K$9,G$2:H$251,2,FALSE)</f>
        <v>-3.4367482571887358</v>
      </c>
    </row>
    <row r="155" spans="1:9" ht="18.600000000000001" customHeight="1">
      <c r="A155" s="25" t="s">
        <v>446</v>
      </c>
      <c r="B155" s="26" t="s">
        <v>142</v>
      </c>
      <c r="C155" s="35" t="s">
        <v>31</v>
      </c>
      <c r="D155" s="141">
        <f t="shared" ca="1" si="4"/>
        <v>109</v>
      </c>
      <c r="E155" s="30">
        <f ca="1">VLOOKUP(A155,Rankings!B1:H651,6,FALSE)+(RAND()*0.00001)</f>
        <v>286.17800697100319</v>
      </c>
      <c r="F155" s="30">
        <f ca="1">E155-VLOOKUP(Settings!$K$8+Settings!$K$9,D$2:E$251,2,FALSE)</f>
        <v>-32.882662260220741</v>
      </c>
      <c r="G155" s="141">
        <f t="shared" ca="1" si="5"/>
        <v>115</v>
      </c>
      <c r="H155" s="30">
        <f ca="1">VLOOKUP(A155,Rankings!B1:H651,7,FALSE)+(RAND()*0.00001)</f>
        <v>-0.46069204216630544</v>
      </c>
      <c r="I155" s="30">
        <f ca="1">H155-VLOOKUP(Settings!$K$8+Settings!$K$9,G$2:H$251,2,FALSE)</f>
        <v>-0.95598358240744274</v>
      </c>
    </row>
    <row r="156" spans="1:9" ht="20.100000000000001" customHeight="1">
      <c r="A156" s="25" t="s">
        <v>488</v>
      </c>
      <c r="B156" s="26" t="s">
        <v>105</v>
      </c>
      <c r="C156" s="35" t="s">
        <v>31</v>
      </c>
      <c r="D156" s="141">
        <f t="shared" ca="1" si="4"/>
        <v>147</v>
      </c>
      <c r="E156" s="30">
        <f ca="1">VLOOKUP(A156,Rankings!B1:H651,6,FALSE)+(RAND()*0.00001)</f>
        <v>229.12867642328609</v>
      </c>
      <c r="F156" s="30">
        <f ca="1">E156-VLOOKUP(Settings!$K$8+Settings!$K$9,D$2:E$251,2,FALSE)</f>
        <v>-89.931992807937831</v>
      </c>
      <c r="G156" s="141">
        <f t="shared" ca="1" si="5"/>
        <v>198</v>
      </c>
      <c r="H156" s="30">
        <f ca="1">VLOOKUP(A156,Rankings!B1:H651,7,FALSE)+(RAND()*0.00001)</f>
        <v>-2.1719206306751335</v>
      </c>
      <c r="I156" s="30">
        <f ca="1">H156-VLOOKUP(Settings!$K$8+Settings!$K$9,G$2:H$251,2,FALSE)</f>
        <v>-2.6672121709162706</v>
      </c>
    </row>
    <row r="157" spans="1:9" ht="20.100000000000001" customHeight="1">
      <c r="A157" s="25" t="s">
        <v>239</v>
      </c>
      <c r="B157" s="26" t="s">
        <v>72</v>
      </c>
      <c r="C157" s="41" t="s">
        <v>34</v>
      </c>
      <c r="D157" s="141">
        <f t="shared" ca="1" si="4"/>
        <v>172</v>
      </c>
      <c r="E157" s="30">
        <f ca="1">VLOOKUP(A157,Rankings!B1:H651,6,FALSE)+(RAND()*0.00001)</f>
        <v>201.03333753312265</v>
      </c>
      <c r="F157" s="30">
        <f ca="1">E157-VLOOKUP(Settings!$K$8+Settings!$K$9,D$2:E$251,2,FALSE)</f>
        <v>-118.02733169810128</v>
      </c>
      <c r="G157" s="141">
        <f t="shared" ca="1" si="5"/>
        <v>41</v>
      </c>
      <c r="H157" s="30">
        <f ca="1">VLOOKUP(A157,Rankings!B1:H651,7,FALSE)+(RAND()*0.00001)</f>
        <v>3.2464952053120593</v>
      </c>
      <c r="I157" s="30">
        <f ca="1">H157-VLOOKUP(Settings!$K$8+Settings!$K$9,G$2:H$251,2,FALSE)</f>
        <v>2.7512036650709222</v>
      </c>
    </row>
    <row r="158" spans="1:9" ht="20.100000000000001" customHeight="1">
      <c r="A158" s="25" t="s">
        <v>558</v>
      </c>
      <c r="B158" s="26" t="s">
        <v>139</v>
      </c>
      <c r="C158" s="35" t="s">
        <v>31</v>
      </c>
      <c r="D158" s="141">
        <f t="shared" ca="1" si="4"/>
        <v>153</v>
      </c>
      <c r="E158" s="30">
        <f ca="1">VLOOKUP(A158,Rankings!B1:H651,6,FALSE)+(RAND()*0.00001)</f>
        <v>224.64734227201953</v>
      </c>
      <c r="F158" s="30">
        <f ca="1">E158-VLOOKUP(Settings!$K$8+Settings!$K$9,D$2:E$251,2,FALSE)</f>
        <v>-94.413326959204397</v>
      </c>
      <c r="G158" s="141">
        <f t="shared" ca="1" si="5"/>
        <v>222</v>
      </c>
      <c r="H158" s="30">
        <f ca="1">VLOOKUP(A158,Rankings!B1:H651,7,FALSE)+(RAND()*0.00001)</f>
        <v>-2.9274353052130131</v>
      </c>
      <c r="I158" s="30">
        <f ca="1">H158-VLOOKUP(Settings!$K$8+Settings!$K$9,G$2:H$251,2,FALSE)</f>
        <v>-3.4227268454541502</v>
      </c>
    </row>
    <row r="159" spans="1:9" ht="18.600000000000001" customHeight="1">
      <c r="A159" s="25" t="s">
        <v>542</v>
      </c>
      <c r="B159" s="26" t="s">
        <v>116</v>
      </c>
      <c r="C159" s="35" t="s">
        <v>31</v>
      </c>
      <c r="D159" s="141">
        <f t="shared" ca="1" si="4"/>
        <v>150</v>
      </c>
      <c r="E159" s="30">
        <f ca="1">VLOOKUP(A159,Rankings!B1:H651,6,FALSE)+(RAND()*0.00001)</f>
        <v>226.30400033553559</v>
      </c>
      <c r="F159" s="30">
        <f ca="1">E159-VLOOKUP(Settings!$K$8+Settings!$K$9,D$2:E$251,2,FALSE)</f>
        <v>-92.756668895688335</v>
      </c>
      <c r="G159" s="141">
        <f t="shared" ca="1" si="5"/>
        <v>215</v>
      </c>
      <c r="H159" s="30">
        <f ca="1">VLOOKUP(A159,Rankings!B1:H651,7,FALSE)+(RAND()*0.00001)</f>
        <v>-2.7818777216248742</v>
      </c>
      <c r="I159" s="30">
        <f ca="1">H159-VLOOKUP(Settings!$K$8+Settings!$K$9,G$2:H$251,2,FALSE)</f>
        <v>-3.2771692618660113</v>
      </c>
    </row>
    <row r="160" spans="1:9" ht="18.600000000000001" customHeight="1">
      <c r="A160" s="25" t="s">
        <v>567</v>
      </c>
      <c r="B160" s="26" t="s">
        <v>95</v>
      </c>
      <c r="C160" s="35" t="s">
        <v>31</v>
      </c>
      <c r="D160" s="141">
        <f t="shared" ca="1" si="4"/>
        <v>157</v>
      </c>
      <c r="E160" s="30">
        <f ca="1">VLOOKUP(A160,Rankings!B1:H651,6,FALSE)+(RAND()*0.00001)</f>
        <v>220.00000787737389</v>
      </c>
      <c r="F160" s="30">
        <f ca="1">E160-VLOOKUP(Settings!$K$8+Settings!$K$9,D$2:E$251,2,FALSE)</f>
        <v>-99.060661353850037</v>
      </c>
      <c r="G160" s="141">
        <f t="shared" ca="1" si="5"/>
        <v>227</v>
      </c>
      <c r="H160" s="30">
        <f ca="1">VLOOKUP(A160,Rankings!B1:H651,7,FALSE)+(RAND()*0.00001)</f>
        <v>-3.0793041955579699</v>
      </c>
      <c r="I160" s="30">
        <f ca="1">H160-VLOOKUP(Settings!$K$8+Settings!$K$9,G$2:H$251,2,FALSE)</f>
        <v>-3.5745957357991069</v>
      </c>
    </row>
    <row r="161" spans="1:9" ht="18.600000000000001" customHeight="1">
      <c r="A161" s="25" t="s">
        <v>613</v>
      </c>
      <c r="B161" s="26" t="s">
        <v>160</v>
      </c>
      <c r="C161" s="35" t="s">
        <v>31</v>
      </c>
      <c r="D161" s="141">
        <f t="shared" ca="1" si="4"/>
        <v>152</v>
      </c>
      <c r="E161" s="30">
        <f ca="1">VLOOKUP(A161,Rankings!B1:H651,6,FALSE)+(RAND()*0.00001)</f>
        <v>224.87333687387434</v>
      </c>
      <c r="F161" s="30">
        <f ca="1">E161-VLOOKUP(Settings!$K$8+Settings!$K$9,D$2:E$251,2,FALSE)</f>
        <v>-94.18733235734959</v>
      </c>
      <c r="G161" s="141">
        <f t="shared" ca="1" si="5"/>
        <v>234</v>
      </c>
      <c r="H161" s="30">
        <f ca="1">VLOOKUP(A161,Rankings!B1:H651,7,FALSE)+(RAND()*0.00001)</f>
        <v>-3.621482954938763</v>
      </c>
      <c r="I161" s="30">
        <f ca="1">H161-VLOOKUP(Settings!$K$8+Settings!$K$9,G$2:H$251,2,FALSE)</f>
        <v>-4.1167744951799001</v>
      </c>
    </row>
    <row r="162" spans="1:9" ht="20.100000000000001" customHeight="1">
      <c r="A162" s="25" t="s">
        <v>682</v>
      </c>
      <c r="B162" s="26" t="s">
        <v>122</v>
      </c>
      <c r="C162" s="35" t="s">
        <v>31</v>
      </c>
      <c r="D162" s="141">
        <f t="shared" ca="1" si="4"/>
        <v>160</v>
      </c>
      <c r="E162" s="30">
        <f ca="1">VLOOKUP(A162,Rankings!B1:H651,6,FALSE)+(RAND()*0.00001)</f>
        <v>216.05400828131496</v>
      </c>
      <c r="F162" s="30">
        <f ca="1">E162-VLOOKUP(Settings!$K$8+Settings!$K$9,D$2:E$251,2,FALSE)</f>
        <v>-103.00666094990896</v>
      </c>
      <c r="G162" s="141">
        <f t="shared" ca="1" si="5"/>
        <v>249</v>
      </c>
      <c r="H162" s="30">
        <f ca="1">VLOOKUP(A162,Rankings!B1:H651,7,FALSE)+(RAND()*0.00001)</f>
        <v>-4.7475299734257073</v>
      </c>
      <c r="I162" s="30">
        <f ca="1">H162-VLOOKUP(Settings!$K$8+Settings!$K$9,G$2:H$251,2,FALSE)</f>
        <v>-5.2428215136668443</v>
      </c>
    </row>
    <row r="163" spans="1:9" ht="20.100000000000001" customHeight="1">
      <c r="A163" s="25" t="s">
        <v>646</v>
      </c>
      <c r="B163" s="26" t="s">
        <v>142</v>
      </c>
      <c r="C163" s="35" t="s">
        <v>31</v>
      </c>
      <c r="D163" s="141">
        <f t="shared" ca="1" si="4"/>
        <v>154</v>
      </c>
      <c r="E163" s="30">
        <f ca="1">VLOOKUP(A163,Rankings!B1:H651,6,FALSE)+(RAND()*0.00001)</f>
        <v>223.38200888986245</v>
      </c>
      <c r="F163" s="30">
        <f ca="1">E163-VLOOKUP(Settings!$K$8+Settings!$K$9,D$2:E$251,2,FALSE)</f>
        <v>-95.678660341361478</v>
      </c>
      <c r="G163" s="141">
        <f t="shared" ca="1" si="5"/>
        <v>242</v>
      </c>
      <c r="H163" s="30">
        <f ca="1">VLOOKUP(A163,Rankings!B1:H651,7,FALSE)+(RAND()*0.00001)</f>
        <v>-4.1332974548736994</v>
      </c>
      <c r="I163" s="30">
        <f ca="1">H163-VLOOKUP(Settings!$K$8+Settings!$K$9,G$2:H$251,2,FALSE)</f>
        <v>-4.6285889951148365</v>
      </c>
    </row>
    <row r="164" spans="1:9" ht="20.100000000000001" customHeight="1">
      <c r="A164" s="25" t="s">
        <v>485</v>
      </c>
      <c r="B164" s="26" t="s">
        <v>101</v>
      </c>
      <c r="C164" s="35" t="s">
        <v>31</v>
      </c>
      <c r="D164" s="141">
        <f t="shared" ca="1" si="4"/>
        <v>167</v>
      </c>
      <c r="E164" s="30">
        <f ca="1">VLOOKUP(A164,Rankings!B1:H651,6,FALSE)+(RAND()*0.00001)</f>
        <v>207.39667647206164</v>
      </c>
      <c r="F164" s="30">
        <f ca="1">E164-VLOOKUP(Settings!$K$8+Settings!$K$9,D$2:E$251,2,FALSE)</f>
        <v>-111.66399275916228</v>
      </c>
      <c r="G164" s="141">
        <f t="shared" ca="1" si="5"/>
        <v>196</v>
      </c>
      <c r="H164" s="30">
        <f ca="1">VLOOKUP(A164,Rankings!B1:H651,7,FALSE)+(RAND()*0.00001)</f>
        <v>-2.1450603259677332</v>
      </c>
      <c r="I164" s="30">
        <f ca="1">H164-VLOOKUP(Settings!$K$8+Settings!$K$9,G$2:H$251,2,FALSE)</f>
        <v>-2.6403518662088703</v>
      </c>
    </row>
    <row r="165" spans="1:9" ht="20.100000000000001" customHeight="1">
      <c r="A165" s="25" t="s">
        <v>529</v>
      </c>
      <c r="B165" s="26" t="s">
        <v>160</v>
      </c>
      <c r="C165" s="35" t="s">
        <v>31</v>
      </c>
      <c r="D165" s="141">
        <f t="shared" ca="1" si="4"/>
        <v>164</v>
      </c>
      <c r="E165" s="30">
        <f ca="1">VLOOKUP(A165,Rankings!B1:H651,6,FALSE)+(RAND()*0.00001)</f>
        <v>213.28600109176264</v>
      </c>
      <c r="F165" s="30">
        <f ca="1">E165-VLOOKUP(Settings!$K$8+Settings!$K$9,D$2:E$251,2,FALSE)</f>
        <v>-105.77466813946128</v>
      </c>
      <c r="G165" s="141">
        <f t="shared" ca="1" si="5"/>
        <v>212</v>
      </c>
      <c r="H165" s="30">
        <f ca="1">VLOOKUP(A165,Rankings!B1:H651,7,FALSE)+(RAND()*0.00001)</f>
        <v>-2.6392540696621802</v>
      </c>
      <c r="I165" s="30">
        <f ca="1">H165-VLOOKUP(Settings!$K$8+Settings!$K$9,G$2:H$251,2,FALSE)</f>
        <v>-3.1345456099033173</v>
      </c>
    </row>
    <row r="166" spans="1:9" ht="18.600000000000001" customHeight="1">
      <c r="A166" s="25" t="s">
        <v>431</v>
      </c>
      <c r="B166" s="26" t="s">
        <v>158</v>
      </c>
      <c r="C166" s="35" t="s">
        <v>31</v>
      </c>
      <c r="D166" s="141">
        <f t="shared" ca="1" si="4"/>
        <v>155</v>
      </c>
      <c r="E166" s="30">
        <f ca="1">VLOOKUP(A166,Rankings!B1:H651,6,FALSE)+(RAND()*0.00001)</f>
        <v>222.5080023563209</v>
      </c>
      <c r="F166" s="30">
        <f ca="1">E166-VLOOKUP(Settings!$K$8+Settings!$K$9,D$2:E$251,2,FALSE)</f>
        <v>-96.552666874903025</v>
      </c>
      <c r="G166" s="141">
        <f t="shared" ca="1" si="5"/>
        <v>158</v>
      </c>
      <c r="H166" s="30">
        <f ca="1">VLOOKUP(A166,Rankings!B1:H651,7,FALSE)+(RAND()*0.00001)</f>
        <v>-1.4926451630164812</v>
      </c>
      <c r="I166" s="30">
        <f ca="1">H166-VLOOKUP(Settings!$K$8+Settings!$K$9,G$2:H$251,2,FALSE)</f>
        <v>-1.9879367032576185</v>
      </c>
    </row>
    <row r="167" spans="1:9" ht="18.600000000000001" customHeight="1">
      <c r="A167" s="25" t="s">
        <v>712</v>
      </c>
      <c r="B167" s="26" t="s">
        <v>309</v>
      </c>
      <c r="C167" s="35" t="s">
        <v>31</v>
      </c>
      <c r="D167" s="141">
        <f t="shared" ca="1" si="4"/>
        <v>151</v>
      </c>
      <c r="E167" s="30">
        <f ca="1">VLOOKUP(A167,Rankings!B1:H651,6,FALSE)+(RAND()*0.00001)</f>
        <v>225.0126745542276</v>
      </c>
      <c r="F167" s="30">
        <f ca="1">E167-VLOOKUP(Settings!$K$8+Settings!$K$9,D$2:E$251,2,FALSE)</f>
        <v>-94.047994676996325</v>
      </c>
      <c r="G167" s="141">
        <f t="shared" ca="1" si="5"/>
        <v>250</v>
      </c>
      <c r="H167" s="30">
        <f ca="1">VLOOKUP(A167,Rankings!B1:H651,7,FALSE)+(RAND()*0.00001)</f>
        <v>-5.8307546475838841</v>
      </c>
      <c r="I167" s="30">
        <f ca="1">H167-VLOOKUP(Settings!$K$8+Settings!$K$9,G$2:H$251,2,FALSE)</f>
        <v>-6.3260461878250211</v>
      </c>
    </row>
    <row r="168" spans="1:9" ht="18.600000000000001" customHeight="1">
      <c r="A168" s="25" t="s">
        <v>618</v>
      </c>
      <c r="B168" s="26" t="s">
        <v>92</v>
      </c>
      <c r="C168" s="41" t="s">
        <v>34</v>
      </c>
      <c r="D168" s="141">
        <f t="shared" ca="1" si="4"/>
        <v>175</v>
      </c>
      <c r="E168" s="30">
        <f ca="1">VLOOKUP(A168,Rankings!B1:H651,6,FALSE)+(RAND()*0.00001)</f>
        <v>188.76667159294493</v>
      </c>
      <c r="F168" s="30">
        <f ca="1">E168-VLOOKUP(Settings!$K$8+Settings!$K$9,D$2:E$251,2,FALSE)</f>
        <v>-130.293997638279</v>
      </c>
      <c r="G168" s="141">
        <f t="shared" ca="1" si="5"/>
        <v>200</v>
      </c>
      <c r="H168" s="30">
        <f ca="1">VLOOKUP(A168,Rankings!B1:H651,7,FALSE)+(RAND()*0.00001)</f>
        <v>-2.2330918377505231</v>
      </c>
      <c r="I168" s="30">
        <f ca="1">H168-VLOOKUP(Settings!$K$8+Settings!$K$9,G$2:H$251,2,FALSE)</f>
        <v>-2.7283833779916602</v>
      </c>
    </row>
    <row r="169" spans="1:9" ht="20.100000000000001" customHeight="1">
      <c r="A169" s="25" t="s">
        <v>420</v>
      </c>
      <c r="B169" s="26" t="s">
        <v>82</v>
      </c>
      <c r="C169" s="41" t="s">
        <v>34</v>
      </c>
      <c r="D169" s="141">
        <f t="shared" ca="1" si="4"/>
        <v>177</v>
      </c>
      <c r="E169" s="30">
        <f ca="1">VLOOKUP(A169,Rankings!B1:H651,6,FALSE)+(RAND()*0.00001)</f>
        <v>186.45000193928885</v>
      </c>
      <c r="F169" s="30">
        <f ca="1">E169-VLOOKUP(Settings!$K$8+Settings!$K$9,D$2:E$251,2,FALSE)</f>
        <v>-132.61066729193507</v>
      </c>
      <c r="G169" s="141">
        <f t="shared" ca="1" si="5"/>
        <v>98</v>
      </c>
      <c r="H169" s="30">
        <f ca="1">VLOOKUP(A169,Rankings!B1:H651,7,FALSE)+(RAND()*0.00001)</f>
        <v>7.9601219073191537E-2</v>
      </c>
      <c r="I169" s="30">
        <f ca="1">H169-VLOOKUP(Settings!$K$8+Settings!$K$9,G$2:H$251,2,FALSE)</f>
        <v>-0.41569032116794569</v>
      </c>
    </row>
    <row r="170" spans="1:9" ht="18.600000000000001" customHeight="1">
      <c r="A170" s="25" t="s">
        <v>642</v>
      </c>
      <c r="B170" s="26" t="s">
        <v>142</v>
      </c>
      <c r="C170" s="35" t="s">
        <v>31</v>
      </c>
      <c r="D170" s="141">
        <f t="shared" ca="1" si="4"/>
        <v>156</v>
      </c>
      <c r="E170" s="30">
        <f ca="1">VLOOKUP(A170,Rankings!B1:H651,6,FALSE)+(RAND()*0.00001)</f>
        <v>221.90000651062238</v>
      </c>
      <c r="F170" s="30">
        <f ca="1">E170-VLOOKUP(Settings!$K$8+Settings!$K$9,D$2:E$251,2,FALSE)</f>
        <v>-97.16066272060155</v>
      </c>
      <c r="G170" s="141">
        <f t="shared" ca="1" si="5"/>
        <v>240</v>
      </c>
      <c r="H170" s="30">
        <f ca="1">VLOOKUP(A170,Rankings!B1:H651,7,FALSE)+(RAND()*0.00001)</f>
        <v>-4.0663653655641996</v>
      </c>
      <c r="I170" s="30">
        <f ca="1">H170-VLOOKUP(Settings!$K$8+Settings!$K$9,G$2:H$251,2,FALSE)</f>
        <v>-4.5616569058053367</v>
      </c>
    </row>
    <row r="171" spans="1:9" ht="20.100000000000001" customHeight="1">
      <c r="A171" s="25" t="s">
        <v>530</v>
      </c>
      <c r="B171" s="26" t="s">
        <v>79</v>
      </c>
      <c r="C171" s="41" t="s">
        <v>34</v>
      </c>
      <c r="D171" s="141">
        <f t="shared" ca="1" si="4"/>
        <v>178</v>
      </c>
      <c r="E171" s="30">
        <f ca="1">VLOOKUP(A171,Rankings!B1:H651,6,FALSE)+(RAND()*0.00001)</f>
        <v>185.60000653855263</v>
      </c>
      <c r="F171" s="30">
        <f ca="1">E171-VLOOKUP(Settings!$K$8+Settings!$K$9,D$2:E$251,2,FALSE)</f>
        <v>-133.46066269267129</v>
      </c>
      <c r="G171" s="141">
        <f t="shared" ca="1" si="5"/>
        <v>146</v>
      </c>
      <c r="H171" s="30">
        <f ca="1">VLOOKUP(A171,Rankings!B1:H651,7,FALSE)+(RAND()*0.00001)</f>
        <v>-1.2403992534309369</v>
      </c>
      <c r="I171" s="30">
        <f ca="1">H171-VLOOKUP(Settings!$K$8+Settings!$K$9,G$2:H$251,2,FALSE)</f>
        <v>-1.7356907936720742</v>
      </c>
    </row>
    <row r="172" spans="1:9" ht="20.100000000000001" customHeight="1">
      <c r="A172" s="25" t="s">
        <v>557</v>
      </c>
      <c r="B172" s="26" t="s">
        <v>105</v>
      </c>
      <c r="C172" s="35" t="s">
        <v>31</v>
      </c>
      <c r="D172" s="141">
        <f t="shared" ca="1" si="4"/>
        <v>161</v>
      </c>
      <c r="E172" s="30">
        <f ca="1">VLOOKUP(A172,Rankings!B1:H651,6,FALSE)+(RAND()*0.00001)</f>
        <v>214.6750038480503</v>
      </c>
      <c r="F172" s="30">
        <f ca="1">E172-VLOOKUP(Settings!$K$8+Settings!$K$9,D$2:E$251,2,FALSE)</f>
        <v>-104.38566538317363</v>
      </c>
      <c r="G172" s="141">
        <f t="shared" ca="1" si="5"/>
        <v>221</v>
      </c>
      <c r="H172" s="30">
        <f ca="1">VLOOKUP(A172,Rankings!B1:H651,7,FALSE)+(RAND()*0.00001)</f>
        <v>-2.9147675986976602</v>
      </c>
      <c r="I172" s="30">
        <f ca="1">H172-VLOOKUP(Settings!$K$8+Settings!$K$9,G$2:H$251,2,FALSE)</f>
        <v>-3.4100591389387973</v>
      </c>
    </row>
    <row r="173" spans="1:9" ht="20.100000000000001" customHeight="1">
      <c r="A173" s="25" t="s">
        <v>531</v>
      </c>
      <c r="B173" s="26" t="s">
        <v>92</v>
      </c>
      <c r="C173" s="41" t="s">
        <v>34</v>
      </c>
      <c r="D173" s="141">
        <f t="shared" ca="1" si="4"/>
        <v>179</v>
      </c>
      <c r="E173" s="30">
        <f ca="1">VLOOKUP(A173,Rankings!B1:H651,6,FALSE)+(RAND()*0.00001)</f>
        <v>184.23334092985641</v>
      </c>
      <c r="F173" s="30">
        <f ca="1">E173-VLOOKUP(Settings!$K$8+Settings!$K$9,D$2:E$251,2,FALSE)</f>
        <v>-134.82732830136752</v>
      </c>
      <c r="G173" s="141">
        <f t="shared" ca="1" si="5"/>
        <v>147</v>
      </c>
      <c r="H173" s="30">
        <f ca="1">VLOOKUP(A173,Rankings!B1:H651,7,FALSE)+(RAND()*0.00001)</f>
        <v>-1.2438327635964324</v>
      </c>
      <c r="I173" s="30">
        <f ca="1">H173-VLOOKUP(Settings!$K$8+Settings!$K$9,G$2:H$251,2,FALSE)</f>
        <v>-1.7391243038375697</v>
      </c>
    </row>
    <row r="174" spans="1:9" ht="18.600000000000001" customHeight="1">
      <c r="A174" s="25" t="s">
        <v>591</v>
      </c>
      <c r="B174" s="26" t="s">
        <v>72</v>
      </c>
      <c r="C174" s="35" t="s">
        <v>31</v>
      </c>
      <c r="D174" s="141">
        <f t="shared" ca="1" si="4"/>
        <v>174</v>
      </c>
      <c r="E174" s="30">
        <f ca="1">VLOOKUP(A174,Rankings!B1:H651,6,FALSE)+(RAND()*0.00001)</f>
        <v>190.82466852945061</v>
      </c>
      <c r="F174" s="30">
        <f ca="1">E174-VLOOKUP(Settings!$K$8+Settings!$K$9,D$2:E$251,2,FALSE)</f>
        <v>-128.23600070177332</v>
      </c>
      <c r="G174" s="141">
        <f t="shared" ca="1" si="5"/>
        <v>231</v>
      </c>
      <c r="H174" s="30">
        <f ca="1">VLOOKUP(A174,Rankings!B1:H651,7,FALSE)+(RAND()*0.00001)</f>
        <v>-3.3748512608085788</v>
      </c>
      <c r="I174" s="30">
        <f ca="1">H174-VLOOKUP(Settings!$K$8+Settings!$K$9,G$2:H$251,2,FALSE)</f>
        <v>-3.8701428010497159</v>
      </c>
    </row>
    <row r="175" spans="1:9" ht="20.100000000000001" customHeight="1">
      <c r="A175" s="25" t="s">
        <v>528</v>
      </c>
      <c r="B175" s="26" t="s">
        <v>64</v>
      </c>
      <c r="C175" s="35" t="s">
        <v>31</v>
      </c>
      <c r="D175" s="141">
        <f t="shared" ca="1" si="4"/>
        <v>173</v>
      </c>
      <c r="E175" s="30">
        <f ca="1">VLOOKUP(A175,Rankings!B1:H651,6,FALSE)+(RAND()*0.00001)</f>
        <v>199.40000698051495</v>
      </c>
      <c r="F175" s="30">
        <f ca="1">E175-VLOOKUP(Settings!$K$8+Settings!$K$9,D$2:E$251,2,FALSE)</f>
        <v>-119.66066225070898</v>
      </c>
      <c r="G175" s="141">
        <f t="shared" ca="1" si="5"/>
        <v>211</v>
      </c>
      <c r="H175" s="30">
        <f ca="1">VLOOKUP(A175,Rankings!B1:H651,7,FALSE)+(RAND()*0.00001)</f>
        <v>-2.6359226915141365</v>
      </c>
      <c r="I175" s="30">
        <f ca="1">H175-VLOOKUP(Settings!$K$8+Settings!$K$9,G$2:H$251,2,FALSE)</f>
        <v>-3.1312142317552736</v>
      </c>
    </row>
    <row r="176" spans="1:9" ht="18.600000000000001" customHeight="1">
      <c r="A176" s="25" t="s">
        <v>638</v>
      </c>
      <c r="B176" s="26" t="s">
        <v>260</v>
      </c>
      <c r="C176" s="35" t="s">
        <v>31</v>
      </c>
      <c r="D176" s="141">
        <f t="shared" ca="1" si="4"/>
        <v>166</v>
      </c>
      <c r="E176" s="30">
        <f ca="1">VLOOKUP(A176,Rankings!B1:H651,6,FALSE)+(RAND()*0.00001)</f>
        <v>210.98867238274394</v>
      </c>
      <c r="F176" s="30">
        <f ca="1">E176-VLOOKUP(Settings!$K$8+Settings!$K$9,D$2:E$251,2,FALSE)</f>
        <v>-108.07199684847998</v>
      </c>
      <c r="G176" s="141">
        <f t="shared" ca="1" si="5"/>
        <v>239</v>
      </c>
      <c r="H176" s="30">
        <f ca="1">VLOOKUP(A176,Rankings!B1:H651,7,FALSE)+(RAND()*0.00001)</f>
        <v>-3.9901022624689699</v>
      </c>
      <c r="I176" s="30">
        <f ca="1">H176-VLOOKUP(Settings!$K$8+Settings!$K$9,G$2:H$251,2,FALSE)</f>
        <v>-4.4853938027101075</v>
      </c>
    </row>
    <row r="177" spans="1:9" ht="18.600000000000001" customHeight="1">
      <c r="A177" s="25" t="s">
        <v>559</v>
      </c>
      <c r="B177" s="26" t="s">
        <v>136</v>
      </c>
      <c r="C177" s="35" t="s">
        <v>31</v>
      </c>
      <c r="D177" s="141">
        <f t="shared" ca="1" si="4"/>
        <v>170</v>
      </c>
      <c r="E177" s="30">
        <f ca="1">VLOOKUP(A177,Rankings!B1:H651,6,FALSE)+(RAND()*0.00001)</f>
        <v>201.92700328505626</v>
      </c>
      <c r="F177" s="30">
        <f ca="1">E177-VLOOKUP(Settings!$K$8+Settings!$K$9,D$2:E$251,2,FALSE)</f>
        <v>-117.13366594616767</v>
      </c>
      <c r="G177" s="141">
        <f t="shared" ca="1" si="5"/>
        <v>223</v>
      </c>
      <c r="H177" s="30">
        <f ca="1">VLOOKUP(A177,Rankings!B1:H651,7,FALSE)+(RAND()*0.00001)</f>
        <v>-2.9294157736714315</v>
      </c>
      <c r="I177" s="30">
        <f ca="1">H177-VLOOKUP(Settings!$K$8+Settings!$K$9,G$2:H$251,2,FALSE)</f>
        <v>-3.4247073139125686</v>
      </c>
    </row>
    <row r="178" spans="1:9" ht="18.600000000000001" customHeight="1">
      <c r="A178" s="25" t="s">
        <v>361</v>
      </c>
      <c r="B178" s="26" t="s">
        <v>82</v>
      </c>
      <c r="C178" s="41" t="s">
        <v>34</v>
      </c>
      <c r="D178" s="141">
        <f t="shared" ca="1" si="4"/>
        <v>182</v>
      </c>
      <c r="E178" s="30">
        <f ca="1">VLOOKUP(A178,Rankings!B1:H651,6,FALSE)+(RAND()*0.00001)</f>
        <v>180.33333441489776</v>
      </c>
      <c r="F178" s="30">
        <f ca="1">E178-VLOOKUP(Settings!$K$8+Settings!$K$9,D$2:E$251,2,FALSE)</f>
        <v>-138.72733481632616</v>
      </c>
      <c r="G178" s="141">
        <f t="shared" ca="1" si="5"/>
        <v>74</v>
      </c>
      <c r="H178" s="30">
        <f ca="1">VLOOKUP(A178,Rankings!B1:H651,7,FALSE)+(RAND()*0.00001)</f>
        <v>1.2396936091619495</v>
      </c>
      <c r="I178" s="30">
        <f ca="1">H178-VLOOKUP(Settings!$K$8+Settings!$K$9,G$2:H$251,2,FALSE)</f>
        <v>0.74440206892081218</v>
      </c>
    </row>
    <row r="179" spans="1:9" ht="20.100000000000001" customHeight="1">
      <c r="A179" s="25" t="s">
        <v>658</v>
      </c>
      <c r="B179" s="26" t="s">
        <v>136</v>
      </c>
      <c r="C179" s="41" t="s">
        <v>34</v>
      </c>
      <c r="D179" s="141">
        <f t="shared" ca="1" si="4"/>
        <v>183</v>
      </c>
      <c r="E179" s="30">
        <f ca="1">VLOOKUP(A179,Rankings!B1:H651,6,FALSE)+(RAND()*0.00001)</f>
        <v>180.03333392169228</v>
      </c>
      <c r="F179" s="30">
        <f ca="1">E179-VLOOKUP(Settings!$K$8+Settings!$K$9,D$2:E$251,2,FALSE)</f>
        <v>-139.02733530953165</v>
      </c>
      <c r="G179" s="141">
        <f t="shared" ca="1" si="5"/>
        <v>225</v>
      </c>
      <c r="H179" s="30">
        <f ca="1">VLOOKUP(A179,Rankings!B1:H651,7,FALSE)+(RAND()*0.00001)</f>
        <v>-3.0220752308043961</v>
      </c>
      <c r="I179" s="30">
        <f ca="1">H179-VLOOKUP(Settings!$K$8+Settings!$K$9,G$2:H$251,2,FALSE)</f>
        <v>-3.5173667710455332</v>
      </c>
    </row>
    <row r="180" spans="1:9" ht="20.100000000000001" customHeight="1">
      <c r="A180" s="25" t="s">
        <v>355</v>
      </c>
      <c r="B180" s="26" t="s">
        <v>103</v>
      </c>
      <c r="C180" s="41" t="s">
        <v>34</v>
      </c>
      <c r="D180" s="141">
        <f t="shared" ca="1" si="4"/>
        <v>184</v>
      </c>
      <c r="E180" s="30">
        <f ca="1">VLOOKUP(A180,Rankings!B1:H651,6,FALSE)+(RAND()*0.00001)</f>
        <v>178.45000289730402</v>
      </c>
      <c r="F180" s="30">
        <f ca="1">E180-VLOOKUP(Settings!$K$8+Settings!$K$9,D$2:E$251,2,FALSE)</f>
        <v>-140.61066633391991</v>
      </c>
      <c r="G180" s="141">
        <f t="shared" ca="1" si="5"/>
        <v>72</v>
      </c>
      <c r="H180" s="30">
        <f ca="1">VLOOKUP(A180,Rankings!B1:H651,7,FALSE)+(RAND()*0.00001)</f>
        <v>1.3527411928615516</v>
      </c>
      <c r="I180" s="30">
        <f ca="1">H180-VLOOKUP(Settings!$K$8+Settings!$K$9,G$2:H$251,2,FALSE)</f>
        <v>0.85744965262041428</v>
      </c>
    </row>
    <row r="181" spans="1:9" ht="20.100000000000001" customHeight="1">
      <c r="A181" s="25" t="s">
        <v>756</v>
      </c>
      <c r="B181" s="26" t="s">
        <v>260</v>
      </c>
      <c r="C181" s="35" t="s">
        <v>31</v>
      </c>
      <c r="D181" s="141">
        <f t="shared" ca="1" si="4"/>
        <v>242</v>
      </c>
      <c r="E181" s="30">
        <f ca="1">VLOOKUP(A181,Rankings!B1:H651,6,FALSE)+(RAND()*0.00001)</f>
        <v>126.16267058953547</v>
      </c>
      <c r="F181" s="30">
        <f ca="1">E181-VLOOKUP(Settings!$K$8+Settings!$K$9,D$2:E$251,2,FALSE)</f>
        <v>-192.89799864168845</v>
      </c>
      <c r="G181" s="141">
        <f t="shared" ca="1" si="5"/>
        <v>247</v>
      </c>
      <c r="H181" s="30">
        <f ca="1">VLOOKUP(A181,Rankings!B1:H651,7,FALSE)+(RAND()*0.00001)</f>
        <v>-4.632926828233864</v>
      </c>
      <c r="I181" s="30">
        <f ca="1">H181-VLOOKUP(Settings!$K$8+Settings!$K$9,G$2:H$251,2,FALSE)</f>
        <v>-5.1282183684750011</v>
      </c>
    </row>
    <row r="182" spans="1:9" ht="20.100000000000001" customHeight="1">
      <c r="A182" s="25" t="s">
        <v>659</v>
      </c>
      <c r="B182" s="26" t="s">
        <v>309</v>
      </c>
      <c r="C182" s="35" t="s">
        <v>31</v>
      </c>
      <c r="D182" s="141">
        <f t="shared" ca="1" si="4"/>
        <v>169</v>
      </c>
      <c r="E182" s="30">
        <f ca="1">VLOOKUP(A182,Rankings!B1:H651,6,FALSE)+(RAND()*0.00001)</f>
        <v>204.69066725479948</v>
      </c>
      <c r="F182" s="30">
        <f ca="1">E182-VLOOKUP(Settings!$K$8+Settings!$K$9,D$2:E$251,2,FALSE)</f>
        <v>-114.37000197642445</v>
      </c>
      <c r="G182" s="141">
        <f t="shared" ca="1" si="5"/>
        <v>245</v>
      </c>
      <c r="H182" s="30">
        <f ca="1">VLOOKUP(A182,Rankings!B1:H651,7,FALSE)+(RAND()*0.00001)</f>
        <v>-4.4459580706163315</v>
      </c>
      <c r="I182" s="30">
        <f ca="1">H182-VLOOKUP(Settings!$K$8+Settings!$K$9,G$2:H$251,2,FALSE)</f>
        <v>-4.9412496108574686</v>
      </c>
    </row>
    <row r="183" spans="1:9" ht="20.100000000000001" customHeight="1">
      <c r="A183" s="25" t="s">
        <v>484</v>
      </c>
      <c r="B183" s="26" t="s">
        <v>72</v>
      </c>
      <c r="C183" s="41" t="s">
        <v>34</v>
      </c>
      <c r="D183" s="141">
        <f t="shared" ca="1" si="4"/>
        <v>187</v>
      </c>
      <c r="E183" s="30">
        <f ca="1">VLOOKUP(A183,Rankings!B1:H651,6,FALSE)+(RAND()*0.00001)</f>
        <v>174.40000573404961</v>
      </c>
      <c r="F183" s="30">
        <f ca="1">E183-VLOOKUP(Settings!$K$8+Settings!$K$9,D$2:E$251,2,FALSE)</f>
        <v>-144.66066349717431</v>
      </c>
      <c r="G183" s="141">
        <f t="shared" ca="1" si="5"/>
        <v>127</v>
      </c>
      <c r="H183" s="30">
        <f ca="1">VLOOKUP(A183,Rankings!B1:H651,7,FALSE)+(RAND()*0.00001)</f>
        <v>-0.70736616370983785</v>
      </c>
      <c r="I183" s="30">
        <f ca="1">H183-VLOOKUP(Settings!$K$8+Settings!$K$9,G$2:H$251,2,FALSE)</f>
        <v>-1.2026577039509752</v>
      </c>
    </row>
    <row r="184" spans="1:9" ht="18.600000000000001" customHeight="1">
      <c r="A184" s="25" t="s">
        <v>685</v>
      </c>
      <c r="B184" s="26" t="s">
        <v>85</v>
      </c>
      <c r="C184" s="41" t="s">
        <v>34</v>
      </c>
      <c r="D184" s="141">
        <f t="shared" ca="1" si="4"/>
        <v>189</v>
      </c>
      <c r="E184" s="30">
        <f ca="1">VLOOKUP(A184,Rankings!B1:H651,6,FALSE)+(RAND()*0.00001)</f>
        <v>173.01667073031228</v>
      </c>
      <c r="F184" s="30">
        <f ca="1">E184-VLOOKUP(Settings!$K$8+Settings!$K$9,D$2:E$251,2,FALSE)</f>
        <v>-146.04399850091164</v>
      </c>
      <c r="G184" s="141">
        <f t="shared" ca="1" si="5"/>
        <v>233</v>
      </c>
      <c r="H184" s="30">
        <f ca="1">VLOOKUP(A184,Rankings!B1:H651,7,FALSE)+(RAND()*0.00001)</f>
        <v>-3.4678607235026702</v>
      </c>
      <c r="I184" s="30">
        <f ca="1">H184-VLOOKUP(Settings!$K$8+Settings!$K$9,G$2:H$251,2,FALSE)</f>
        <v>-3.9631522637438072</v>
      </c>
    </row>
    <row r="185" spans="1:9" ht="20.100000000000001" customHeight="1">
      <c r="A185" s="25" t="s">
        <v>436</v>
      </c>
      <c r="B185" s="26" t="s">
        <v>74</v>
      </c>
      <c r="C185" s="41" t="s">
        <v>34</v>
      </c>
      <c r="D185" s="141">
        <f t="shared" ca="1" si="4"/>
        <v>190</v>
      </c>
      <c r="E185" s="30">
        <f ca="1">VLOOKUP(A185,Rankings!B1:H651,6,FALSE)+(RAND()*0.00001)</f>
        <v>172.70000090181176</v>
      </c>
      <c r="F185" s="30">
        <f ca="1">E185-VLOOKUP(Settings!$K$8+Settings!$K$9,D$2:E$251,2,FALSE)</f>
        <v>-146.36066832941216</v>
      </c>
      <c r="G185" s="141">
        <f t="shared" ca="1" si="5"/>
        <v>107</v>
      </c>
      <c r="H185" s="30">
        <f ca="1">VLOOKUP(A185,Rankings!B1:H651,7,FALSE)+(RAND()*0.00001)</f>
        <v>-0.1623497183763698</v>
      </c>
      <c r="I185" s="30">
        <f ca="1">H185-VLOOKUP(Settings!$K$8+Settings!$K$9,G$2:H$251,2,FALSE)</f>
        <v>-0.65764125861750711</v>
      </c>
    </row>
    <row r="186" spans="1:9" ht="18.600000000000001" customHeight="1">
      <c r="A186" s="25" t="s">
        <v>540</v>
      </c>
      <c r="B186" s="26" t="s">
        <v>142</v>
      </c>
      <c r="C186" s="41" t="s">
        <v>34</v>
      </c>
      <c r="D186" s="141">
        <f t="shared" ca="1" si="4"/>
        <v>192</v>
      </c>
      <c r="E186" s="30">
        <f ca="1">VLOOKUP(A186,Rankings!B1:H651,6,FALSE)+(RAND()*0.00001)</f>
        <v>171.8000095368879</v>
      </c>
      <c r="F186" s="30">
        <f ca="1">E186-VLOOKUP(Settings!$K$8+Settings!$K$9,D$2:E$251,2,FALSE)</f>
        <v>-147.26065969433603</v>
      </c>
      <c r="G186" s="141">
        <f t="shared" ca="1" si="5"/>
        <v>152</v>
      </c>
      <c r="H186" s="30">
        <f ca="1">VLOOKUP(A186,Rankings!B1:H651,7,FALSE)+(RAND()*0.00001)</f>
        <v>-1.3609908422872941</v>
      </c>
      <c r="I186" s="30">
        <f ca="1">H186-VLOOKUP(Settings!$K$8+Settings!$K$9,G$2:H$251,2,FALSE)</f>
        <v>-1.8562823825284314</v>
      </c>
    </row>
    <row r="187" spans="1:9" ht="20.100000000000001" customHeight="1">
      <c r="A187" s="25" t="s">
        <v>653</v>
      </c>
      <c r="B187" s="26" t="s">
        <v>309</v>
      </c>
      <c r="C187" s="35" t="s">
        <v>31</v>
      </c>
      <c r="D187" s="141">
        <f t="shared" ca="1" si="4"/>
        <v>171</v>
      </c>
      <c r="E187" s="30">
        <f ca="1">VLOOKUP(A187,Rankings!B1:H651,6,FALSE)+(RAND()*0.00001)</f>
        <v>201.19400323271569</v>
      </c>
      <c r="F187" s="30">
        <f ca="1">E187-VLOOKUP(Settings!$K$8+Settings!$K$9,D$2:E$251,2,FALSE)</f>
        <v>-117.86666599850824</v>
      </c>
      <c r="G187" s="141">
        <f t="shared" ca="1" si="5"/>
        <v>243</v>
      </c>
      <c r="H187" s="30">
        <f ca="1">VLOOKUP(A187,Rankings!B1:H651,7,FALSE)+(RAND()*0.00001)</f>
        <v>-4.2627812812057941</v>
      </c>
      <c r="I187" s="30">
        <f ca="1">H187-VLOOKUP(Settings!$K$8+Settings!$K$9,G$2:H$251,2,FALSE)</f>
        <v>-4.7580728214469312</v>
      </c>
    </row>
    <row r="188" spans="1:9" ht="20.100000000000001" customHeight="1">
      <c r="A188" s="25" t="s">
        <v>601</v>
      </c>
      <c r="B188" s="26" t="s">
        <v>119</v>
      </c>
      <c r="C188" s="41" t="s">
        <v>34</v>
      </c>
      <c r="D188" s="141">
        <f t="shared" ca="1" si="4"/>
        <v>194</v>
      </c>
      <c r="E188" s="30">
        <f ca="1">VLOOKUP(A188,Rankings!B1:H651,6,FALSE)+(RAND()*0.00001)</f>
        <v>170.43333951767812</v>
      </c>
      <c r="F188" s="30">
        <f ca="1">E188-VLOOKUP(Settings!$K$8+Settings!$K$9,D$2:E$251,2,FALSE)</f>
        <v>-148.62732971354581</v>
      </c>
      <c r="G188" s="141">
        <f t="shared" ca="1" si="5"/>
        <v>188</v>
      </c>
      <c r="H188" s="30">
        <f ca="1">VLOOKUP(A188,Rankings!B1:H651,7,FALSE)+(RAND()*0.00001)</f>
        <v>-2.0187937610510485</v>
      </c>
      <c r="I188" s="30">
        <f ca="1">H188-VLOOKUP(Settings!$K$8+Settings!$K$9,G$2:H$251,2,FALSE)</f>
        <v>-2.5140853012921855</v>
      </c>
    </row>
    <row r="189" spans="1:9" ht="20.100000000000001" customHeight="1">
      <c r="A189" s="25" t="s">
        <v>243</v>
      </c>
      <c r="B189" s="26" t="s">
        <v>116</v>
      </c>
      <c r="C189" s="41" t="s">
        <v>34</v>
      </c>
      <c r="D189" s="141">
        <f t="shared" ca="1" si="4"/>
        <v>195</v>
      </c>
      <c r="E189" s="30">
        <f ca="1">VLOOKUP(A189,Rankings!B1:H651,6,FALSE)+(RAND()*0.00001)</f>
        <v>170.31666985932449</v>
      </c>
      <c r="F189" s="30">
        <f ca="1">E189-VLOOKUP(Settings!$K$8+Settings!$K$9,D$2:E$251,2,FALSE)</f>
        <v>-148.74399937189943</v>
      </c>
      <c r="G189" s="141">
        <f t="shared" ca="1" si="5"/>
        <v>42</v>
      </c>
      <c r="H189" s="30">
        <f ca="1">VLOOKUP(A189,Rankings!B1:H651,7,FALSE)+(RAND()*0.00001)</f>
        <v>3.1802612465418418</v>
      </c>
      <c r="I189" s="30">
        <f ca="1">H189-VLOOKUP(Settings!$K$8+Settings!$K$9,G$2:H$251,2,FALSE)</f>
        <v>2.6849697063007048</v>
      </c>
    </row>
    <row r="190" spans="1:9" ht="20.100000000000001" customHeight="1">
      <c r="A190" s="25" t="s">
        <v>458</v>
      </c>
      <c r="B190" s="26" t="s">
        <v>260</v>
      </c>
      <c r="C190" s="35" t="s">
        <v>31</v>
      </c>
      <c r="D190" s="141">
        <f t="shared" ca="1" si="4"/>
        <v>176</v>
      </c>
      <c r="E190" s="30">
        <f ca="1">VLOOKUP(A190,Rankings!B1:H651,6,FALSE)+(RAND()*0.00001)</f>
        <v>188.11667325944154</v>
      </c>
      <c r="F190" s="30">
        <f ca="1">E190-VLOOKUP(Settings!$K$8+Settings!$K$9,D$2:E$251,2,FALSE)</f>
        <v>-130.94399597178239</v>
      </c>
      <c r="G190" s="141">
        <f t="shared" ca="1" si="5"/>
        <v>173</v>
      </c>
      <c r="H190" s="30">
        <f ca="1">VLOOKUP(A190,Rankings!B1:H651,7,FALSE)+(RAND()*0.00001)</f>
        <v>-1.8256811521923135</v>
      </c>
      <c r="I190" s="30">
        <f ca="1">H190-VLOOKUP(Settings!$K$8+Settings!$K$9,G$2:H$251,2,FALSE)</f>
        <v>-2.3209726924334508</v>
      </c>
    </row>
    <row r="191" spans="1:9" ht="20.100000000000001" customHeight="1">
      <c r="A191" s="25" t="s">
        <v>517</v>
      </c>
      <c r="B191" s="26" t="s">
        <v>79</v>
      </c>
      <c r="C191" s="41" t="s">
        <v>34</v>
      </c>
      <c r="D191" s="141">
        <f t="shared" ca="1" si="4"/>
        <v>196</v>
      </c>
      <c r="E191" s="30">
        <f ca="1">VLOOKUP(A191,Rankings!B1:H651,6,FALSE)+(RAND()*0.00001)</f>
        <v>169.81666826010792</v>
      </c>
      <c r="F191" s="30">
        <f ca="1">E191-VLOOKUP(Settings!$K$8+Settings!$K$9,D$2:E$251,2,FALSE)</f>
        <v>-149.24400097111601</v>
      </c>
      <c r="G191" s="141">
        <f t="shared" ca="1" si="5"/>
        <v>142</v>
      </c>
      <c r="H191" s="30">
        <f ca="1">VLOOKUP(A191,Rankings!B1:H651,7,FALSE)+(RAND()*0.00001)</f>
        <v>-1.1452918026401773</v>
      </c>
      <c r="I191" s="30">
        <f ca="1">H191-VLOOKUP(Settings!$K$8+Settings!$K$9,G$2:H$251,2,FALSE)</f>
        <v>-1.6405833428813146</v>
      </c>
    </row>
    <row r="192" spans="1:9" ht="20.100000000000001" customHeight="1">
      <c r="A192" s="25" t="s">
        <v>469</v>
      </c>
      <c r="B192" s="26" t="s">
        <v>72</v>
      </c>
      <c r="C192" s="41" t="s">
        <v>34</v>
      </c>
      <c r="D192" s="141">
        <f t="shared" ca="1" si="4"/>
        <v>197</v>
      </c>
      <c r="E192" s="30">
        <f ca="1">VLOOKUP(A192,Rankings!B1:H651,6,FALSE)+(RAND()*0.00001)</f>
        <v>169.46667319065551</v>
      </c>
      <c r="F192" s="30">
        <f ca="1">E192-VLOOKUP(Settings!$K$8+Settings!$K$9,D$2:E$251,2,FALSE)</f>
        <v>-149.59399604056841</v>
      </c>
      <c r="G192" s="141">
        <f t="shared" ca="1" si="5"/>
        <v>117</v>
      </c>
      <c r="H192" s="30">
        <f ca="1">VLOOKUP(A192,Rankings!B1:H651,7,FALSE)+(RAND()*0.00001)</f>
        <v>-0.51218337450727891</v>
      </c>
      <c r="I192" s="30">
        <f ca="1">H192-VLOOKUP(Settings!$K$8+Settings!$K$9,G$2:H$251,2,FALSE)</f>
        <v>-1.0074749147484161</v>
      </c>
    </row>
    <row r="193" spans="1:9" ht="20.100000000000001" customHeight="1">
      <c r="A193" s="25" t="s">
        <v>410</v>
      </c>
      <c r="B193" s="26" t="s">
        <v>64</v>
      </c>
      <c r="C193" s="41" t="s">
        <v>34</v>
      </c>
      <c r="D193" s="141">
        <f t="shared" ca="1" si="4"/>
        <v>198</v>
      </c>
      <c r="E193" s="30">
        <f ca="1">VLOOKUP(A193,Rankings!B1:H651,6,FALSE)+(RAND()*0.00001)</f>
        <v>169.35000450544527</v>
      </c>
      <c r="F193" s="30">
        <f ca="1">E193-VLOOKUP(Settings!$K$8+Settings!$K$9,D$2:E$251,2,FALSE)</f>
        <v>-149.71066472577866</v>
      </c>
      <c r="G193" s="141">
        <f t="shared" ca="1" si="5"/>
        <v>88</v>
      </c>
      <c r="H193" s="30">
        <f ca="1">VLOOKUP(A193,Rankings!B1:H651,7,FALSE)+(RAND()*0.00001)</f>
        <v>0.49529154024113725</v>
      </c>
      <c r="I193" s="30">
        <f ca="1">H193-VLOOKUP(Settings!$K$8+Settings!$K$9,G$2:H$251,2,FALSE)</f>
        <v>0</v>
      </c>
    </row>
    <row r="194" spans="1:9" ht="20.100000000000001" customHeight="1">
      <c r="A194" s="25" t="s">
        <v>545</v>
      </c>
      <c r="B194" s="26" t="s">
        <v>92</v>
      </c>
      <c r="C194" s="35" t="s">
        <v>31</v>
      </c>
      <c r="D194" s="141">
        <f t="shared" ref="D194:D251" ca="1" si="6">RANK(E194,E$2:E$251)</f>
        <v>180</v>
      </c>
      <c r="E194" s="30">
        <f ca="1">VLOOKUP(A194,Rankings!B1:H651,6,FALSE)+(RAND()*0.00001)</f>
        <v>183.62334330223544</v>
      </c>
      <c r="F194" s="30">
        <f ca="1">E194-VLOOKUP(Settings!$K$8+Settings!$K$9,D$2:E$251,2,FALSE)</f>
        <v>-135.43732592898849</v>
      </c>
      <c r="G194" s="141">
        <f t="shared" ref="G194:G251" ca="1" si="7">RANK(H194,H$2:H$251)</f>
        <v>217</v>
      </c>
      <c r="H194" s="30">
        <f ca="1">VLOOKUP(A194,Rankings!B1:H651,7,FALSE)+(RAND()*0.00001)</f>
        <v>-2.8225912294896944</v>
      </c>
      <c r="I194" s="30">
        <f ca="1">H194-VLOOKUP(Settings!$K$8+Settings!$K$9,G$2:H$251,2,FALSE)</f>
        <v>-3.3178827697308315</v>
      </c>
    </row>
    <row r="195" spans="1:9" ht="20.100000000000001" customHeight="1">
      <c r="A195" s="25" t="s">
        <v>474</v>
      </c>
      <c r="B195" s="26" t="s">
        <v>64</v>
      </c>
      <c r="C195" s="35" t="s">
        <v>31</v>
      </c>
      <c r="D195" s="141">
        <f t="shared" ca="1" si="6"/>
        <v>188</v>
      </c>
      <c r="E195" s="30">
        <f ca="1">VLOOKUP(A195,Rankings!B1:H651,6,FALSE)+(RAND()*0.00001)</f>
        <v>173.57700095553716</v>
      </c>
      <c r="F195" s="30">
        <f ca="1">E195-VLOOKUP(Settings!$K$8+Settings!$K$9,D$2:E$251,2,FALSE)</f>
        <v>-145.48366827568677</v>
      </c>
      <c r="G195" s="141">
        <f t="shared" ca="1" si="7"/>
        <v>186</v>
      </c>
      <c r="H195" s="30">
        <f ca="1">VLOOKUP(A195,Rankings!B1:H651,7,FALSE)+(RAND()*0.00001)</f>
        <v>-1.9981389017238786</v>
      </c>
      <c r="I195" s="30">
        <f ca="1">H195-VLOOKUP(Settings!$K$8+Settings!$K$9,G$2:H$251,2,FALSE)</f>
        <v>-2.4934304419650157</v>
      </c>
    </row>
    <row r="196" spans="1:9" ht="20.100000000000001" customHeight="1">
      <c r="A196" s="25" t="s">
        <v>577</v>
      </c>
      <c r="B196" s="26" t="s">
        <v>85</v>
      </c>
      <c r="C196" s="41" t="s">
        <v>34</v>
      </c>
      <c r="D196" s="141">
        <f t="shared" ca="1" si="6"/>
        <v>200</v>
      </c>
      <c r="E196" s="30">
        <f ca="1">VLOOKUP(A196,Rankings!B1:H651,6,FALSE)+(RAND()*0.00001)</f>
        <v>166.1460096121013</v>
      </c>
      <c r="F196" s="30">
        <f ca="1">E196-VLOOKUP(Settings!$K$8+Settings!$K$9,D$2:E$251,2,FALSE)</f>
        <v>-152.91465961912263</v>
      </c>
      <c r="G196" s="141">
        <f t="shared" ca="1" si="7"/>
        <v>175</v>
      </c>
      <c r="H196" s="30">
        <f ca="1">VLOOKUP(A196,Rankings!B1:H651,7,FALSE)+(RAND()*0.00001)</f>
        <v>-1.8424817740785031</v>
      </c>
      <c r="I196" s="30">
        <f ca="1">H196-VLOOKUP(Settings!$K$8+Settings!$K$9,G$2:H$251,2,FALSE)</f>
        <v>-2.3377733143196404</v>
      </c>
    </row>
    <row r="197" spans="1:9" ht="20.100000000000001" customHeight="1">
      <c r="A197" s="25" t="s">
        <v>533</v>
      </c>
      <c r="B197" s="26" t="s">
        <v>97</v>
      </c>
      <c r="C197" s="41" t="s">
        <v>34</v>
      </c>
      <c r="D197" s="141">
        <f t="shared" ca="1" si="6"/>
        <v>202</v>
      </c>
      <c r="E197" s="30">
        <f ca="1">VLOOKUP(A197,Rankings!B1:H651,6,FALSE)+(RAND()*0.00001)</f>
        <v>164.11666717420502</v>
      </c>
      <c r="F197" s="30">
        <f ca="1">E197-VLOOKUP(Settings!$K$8+Settings!$K$9,D$2:E$251,2,FALSE)</f>
        <v>-154.94400205701891</v>
      </c>
      <c r="G197" s="141">
        <f t="shared" ca="1" si="7"/>
        <v>148</v>
      </c>
      <c r="H197" s="30">
        <f ca="1">VLOOKUP(A197,Rankings!B1:H651,7,FALSE)+(RAND()*0.00001)</f>
        <v>-1.2811423730700435</v>
      </c>
      <c r="I197" s="30">
        <f ca="1">H197-VLOOKUP(Settings!$K$8+Settings!$K$9,G$2:H$251,2,FALSE)</f>
        <v>-1.7764339133111808</v>
      </c>
    </row>
    <row r="198" spans="1:9" ht="20.100000000000001" customHeight="1">
      <c r="A198" s="25" t="s">
        <v>579</v>
      </c>
      <c r="B198" s="26" t="s">
        <v>103</v>
      </c>
      <c r="C198" s="41" t="s">
        <v>34</v>
      </c>
      <c r="D198" s="141">
        <f t="shared" ca="1" si="6"/>
        <v>203</v>
      </c>
      <c r="E198" s="30">
        <f ca="1">VLOOKUP(A198,Rankings!B1:H651,6,FALSE)+(RAND()*0.00001)</f>
        <v>163.63334144193661</v>
      </c>
      <c r="F198" s="30">
        <f ca="1">E198-VLOOKUP(Settings!$K$8+Settings!$K$9,D$2:E$251,2,FALSE)</f>
        <v>-155.42732778928732</v>
      </c>
      <c r="G198" s="141">
        <f t="shared" ca="1" si="7"/>
        <v>177</v>
      </c>
      <c r="H198" s="30">
        <f ca="1">VLOOKUP(A198,Rankings!B1:H651,7,FALSE)+(RAND()*0.00001)</f>
        <v>-1.8631804866519448</v>
      </c>
      <c r="I198" s="30">
        <f ca="1">H198-VLOOKUP(Settings!$K$8+Settings!$K$9,G$2:H$251,2,FALSE)</f>
        <v>-2.3584720268930819</v>
      </c>
    </row>
    <row r="199" spans="1:9" ht="20.100000000000001" customHeight="1">
      <c r="A199" s="25" t="s">
        <v>580</v>
      </c>
      <c r="B199" s="26" t="s">
        <v>77</v>
      </c>
      <c r="C199" s="41" t="s">
        <v>34</v>
      </c>
      <c r="D199" s="141">
        <f t="shared" ca="1" si="6"/>
        <v>205</v>
      </c>
      <c r="E199" s="30">
        <f ca="1">VLOOKUP(A199,Rankings!B1:H651,6,FALSE)+(RAND()*0.00001)</f>
        <v>163.50000360057189</v>
      </c>
      <c r="F199" s="30">
        <f ca="1">E199-VLOOKUP(Settings!$K$8+Settings!$K$9,D$2:E$251,2,FALSE)</f>
        <v>-155.56066563065204</v>
      </c>
      <c r="G199" s="141">
        <f t="shared" ca="1" si="7"/>
        <v>178</v>
      </c>
      <c r="H199" s="30">
        <f ca="1">VLOOKUP(A199,Rankings!B1:H651,7,FALSE)+(RAND()*0.00001)</f>
        <v>-1.868511911563334</v>
      </c>
      <c r="I199" s="30">
        <f ca="1">H199-VLOOKUP(Settings!$K$8+Settings!$K$9,G$2:H$251,2,FALSE)</f>
        <v>-2.363803451804471</v>
      </c>
    </row>
    <row r="200" spans="1:9" ht="20.100000000000001" customHeight="1">
      <c r="A200" s="25" t="s">
        <v>538</v>
      </c>
      <c r="B200" s="26" t="s">
        <v>142</v>
      </c>
      <c r="C200" s="35" t="s">
        <v>31</v>
      </c>
      <c r="D200" s="141">
        <f t="shared" ca="1" si="6"/>
        <v>186</v>
      </c>
      <c r="E200" s="30">
        <f ca="1">VLOOKUP(A200,Rankings!B1:H651,6,FALSE)+(RAND()*0.00001)</f>
        <v>175.35800463186897</v>
      </c>
      <c r="F200" s="30">
        <f ca="1">E200-VLOOKUP(Settings!$K$8+Settings!$K$9,D$2:E$251,2,FALSE)</f>
        <v>-143.70266459935496</v>
      </c>
      <c r="G200" s="141">
        <f t="shared" ca="1" si="7"/>
        <v>213</v>
      </c>
      <c r="H200" s="30">
        <f ca="1">VLOOKUP(A200,Rankings!B1:H651,7,FALSE)+(RAND()*0.00001)</f>
        <v>-2.7309381438008575</v>
      </c>
      <c r="I200" s="30">
        <f ca="1">H200-VLOOKUP(Settings!$K$8+Settings!$K$9,G$2:H$251,2,FALSE)</f>
        <v>-3.2262296840419946</v>
      </c>
    </row>
    <row r="201" spans="1:9" ht="20.100000000000001" customHeight="1">
      <c r="A201" s="25" t="s">
        <v>662</v>
      </c>
      <c r="B201" s="26" t="s">
        <v>87</v>
      </c>
      <c r="C201" s="35" t="s">
        <v>31</v>
      </c>
      <c r="D201" s="141">
        <f t="shared" ca="1" si="6"/>
        <v>191</v>
      </c>
      <c r="E201" s="30">
        <f ca="1">VLOOKUP(A201,Rankings!B1:H651,6,FALSE)+(RAND()*0.00001)</f>
        <v>172.20934065965827</v>
      </c>
      <c r="F201" s="30">
        <f ca="1">E201-VLOOKUP(Settings!$K$8+Settings!$K$9,D$2:E$251,2,FALSE)</f>
        <v>-146.85132857156566</v>
      </c>
      <c r="G201" s="141">
        <f t="shared" ca="1" si="7"/>
        <v>246</v>
      </c>
      <c r="H201" s="30">
        <f ca="1">VLOOKUP(A201,Rankings!B1:H651,7,FALSE)+(RAND()*0.00001)</f>
        <v>-4.4706192010209502</v>
      </c>
      <c r="I201" s="30">
        <f ca="1">H201-VLOOKUP(Settings!$K$8+Settings!$K$9,G$2:H$251,2,FALSE)</f>
        <v>-4.9659107412620873</v>
      </c>
    </row>
    <row r="202" spans="1:9" ht="20.100000000000001" customHeight="1">
      <c r="A202" s="25" t="s">
        <v>367</v>
      </c>
      <c r="B202" s="26" t="s">
        <v>74</v>
      </c>
      <c r="C202" s="41" t="s">
        <v>34</v>
      </c>
      <c r="D202" s="141">
        <f t="shared" ca="1" si="6"/>
        <v>207</v>
      </c>
      <c r="E202" s="30">
        <f ca="1">VLOOKUP(A202,Rankings!B1:H651,6,FALSE)+(RAND()*0.00001)</f>
        <v>163.08334162882329</v>
      </c>
      <c r="F202" s="30">
        <f ca="1">E202-VLOOKUP(Settings!$K$8+Settings!$K$9,D$2:E$251,2,FALSE)</f>
        <v>-155.97732760240063</v>
      </c>
      <c r="G202" s="141">
        <f t="shared" ca="1" si="7"/>
        <v>78</v>
      </c>
      <c r="H202" s="30">
        <f ca="1">VLOOKUP(A202,Rankings!B1:H651,7,FALSE)+(RAND()*0.00001)</f>
        <v>1.0164808658518754</v>
      </c>
      <c r="I202" s="30">
        <f ca="1">H202-VLOOKUP(Settings!$K$8+Settings!$K$9,G$2:H$251,2,FALSE)</f>
        <v>0.52118932561073805</v>
      </c>
    </row>
    <row r="203" spans="1:9" ht="20.100000000000001" customHeight="1">
      <c r="A203" s="25" t="s">
        <v>510</v>
      </c>
      <c r="B203" s="26" t="s">
        <v>97</v>
      </c>
      <c r="C203" s="41" t="s">
        <v>34</v>
      </c>
      <c r="D203" s="141">
        <f t="shared" ca="1" si="6"/>
        <v>208</v>
      </c>
      <c r="E203" s="30">
        <f ca="1">VLOOKUP(A203,Rankings!B1:H651,6,FALSE)+(RAND()*0.00001)</f>
        <v>161.30000349351766</v>
      </c>
      <c r="F203" s="30">
        <f ca="1">E203-VLOOKUP(Settings!$K$8+Settings!$K$9,D$2:E$251,2,FALSE)</f>
        <v>-157.76066573770626</v>
      </c>
      <c r="G203" s="141">
        <f t="shared" ca="1" si="7"/>
        <v>138</v>
      </c>
      <c r="H203" s="30">
        <f ca="1">VLOOKUP(A203,Rankings!B1:H651,7,FALSE)+(RAND()*0.00001)</f>
        <v>-1.0547243391136969</v>
      </c>
      <c r="I203" s="30">
        <f ca="1">H203-VLOOKUP(Settings!$K$8+Settings!$K$9,G$2:H$251,2,FALSE)</f>
        <v>-1.5500158793548342</v>
      </c>
    </row>
    <row r="204" spans="1:9" ht="20.100000000000001" customHeight="1">
      <c r="A204" s="25" t="s">
        <v>492</v>
      </c>
      <c r="B204" s="26" t="s">
        <v>77</v>
      </c>
      <c r="C204" s="41" t="s">
        <v>34</v>
      </c>
      <c r="D204" s="141">
        <f t="shared" ca="1" si="6"/>
        <v>209</v>
      </c>
      <c r="E204" s="30">
        <f ca="1">VLOOKUP(A204,Rankings!B1:H651,6,FALSE)+(RAND()*0.00001)</f>
        <v>161.28334107420847</v>
      </c>
      <c r="F204" s="30">
        <f ca="1">E204-VLOOKUP(Settings!$K$8+Settings!$K$9,D$2:E$251,2,FALSE)</f>
        <v>-157.77732815701546</v>
      </c>
      <c r="G204" s="141">
        <f t="shared" ca="1" si="7"/>
        <v>129</v>
      </c>
      <c r="H204" s="30">
        <f ca="1">VLOOKUP(A204,Rankings!B1:H651,7,FALSE)+(RAND()*0.00001)</f>
        <v>-0.79855459298034914</v>
      </c>
      <c r="I204" s="30">
        <f ca="1">H204-VLOOKUP(Settings!$K$8+Settings!$K$9,G$2:H$251,2,FALSE)</f>
        <v>-1.2938461332214863</v>
      </c>
    </row>
    <row r="205" spans="1:9" ht="20.100000000000001" customHeight="1">
      <c r="A205" s="25" t="s">
        <v>471</v>
      </c>
      <c r="B205" s="26" t="s">
        <v>99</v>
      </c>
      <c r="C205" s="35" t="s">
        <v>31</v>
      </c>
      <c r="D205" s="141">
        <f t="shared" ca="1" si="6"/>
        <v>199</v>
      </c>
      <c r="E205" s="30">
        <f ca="1">VLOOKUP(A205,Rankings!B1:H651,6,FALSE)+(RAND()*0.00001)</f>
        <v>167.0583364368471</v>
      </c>
      <c r="F205" s="30">
        <f ca="1">E205-VLOOKUP(Settings!$K$8+Settings!$K$9,D$2:E$251,2,FALSE)</f>
        <v>-152.00233279437683</v>
      </c>
      <c r="G205" s="141">
        <f t="shared" ca="1" si="7"/>
        <v>185</v>
      </c>
      <c r="H205" s="30">
        <f ca="1">VLOOKUP(A205,Rankings!B1:H651,7,FALSE)+(RAND()*0.00001)</f>
        <v>-1.9525811445968138</v>
      </c>
      <c r="I205" s="30">
        <f ca="1">H205-VLOOKUP(Settings!$K$8+Settings!$K$9,G$2:H$251,2,FALSE)</f>
        <v>-2.4478726848379511</v>
      </c>
    </row>
    <row r="206" spans="1:9" ht="20.100000000000001" customHeight="1">
      <c r="A206" s="25" t="s">
        <v>588</v>
      </c>
      <c r="B206" s="26" t="s">
        <v>309</v>
      </c>
      <c r="C206" s="41" t="s">
        <v>34</v>
      </c>
      <c r="D206" s="141">
        <f t="shared" ca="1" si="6"/>
        <v>210</v>
      </c>
      <c r="E206" s="30">
        <f ca="1">VLOOKUP(A206,Rankings!B1:H651,6,FALSE)+(RAND()*0.00001)</f>
        <v>159.70000587304267</v>
      </c>
      <c r="F206" s="30">
        <f ca="1">E206-VLOOKUP(Settings!$K$8+Settings!$K$9,D$2:E$251,2,FALSE)</f>
        <v>-159.36066335818126</v>
      </c>
      <c r="G206" s="141">
        <f t="shared" ca="1" si="7"/>
        <v>183</v>
      </c>
      <c r="H206" s="30">
        <f ca="1">VLOOKUP(A206,Rankings!B1:H651,7,FALSE)+(RAND()*0.00001)</f>
        <v>-1.9428939452170966</v>
      </c>
      <c r="I206" s="30">
        <f ca="1">H206-VLOOKUP(Settings!$K$8+Settings!$K$9,G$2:H$251,2,FALSE)</f>
        <v>-2.4381854854582339</v>
      </c>
    </row>
    <row r="207" spans="1:9" ht="20.100000000000001" customHeight="1">
      <c r="A207" s="25" t="s">
        <v>526</v>
      </c>
      <c r="B207" s="26" t="s">
        <v>105</v>
      </c>
      <c r="C207" s="41" t="s">
        <v>34</v>
      </c>
      <c r="D207" s="141">
        <f t="shared" ca="1" si="6"/>
        <v>201</v>
      </c>
      <c r="E207" s="30">
        <f ca="1">VLOOKUP(A207,Rankings!B1:H651,6,FALSE)+(RAND()*0.00001)</f>
        <v>165.08333921788653</v>
      </c>
      <c r="F207" s="30">
        <f ca="1">E207-VLOOKUP(Settings!$K$8+Settings!$K$9,D$2:E$251,2,FALSE)</f>
        <v>-153.97733001333739</v>
      </c>
      <c r="G207" s="141">
        <f t="shared" ca="1" si="7"/>
        <v>145</v>
      </c>
      <c r="H207" s="30">
        <f ca="1">VLOOKUP(A207,Rankings!B1:H651,7,FALSE)+(RAND()*0.00001)</f>
        <v>-1.2028356539935012</v>
      </c>
      <c r="I207" s="30">
        <f ca="1">H207-VLOOKUP(Settings!$K$8+Settings!$K$9,G$2:H$251,2,FALSE)</f>
        <v>-1.6981271942346385</v>
      </c>
    </row>
    <row r="208" spans="1:9" ht="20.100000000000001" customHeight="1">
      <c r="A208" s="25" t="s">
        <v>494</v>
      </c>
      <c r="B208" s="26" t="s">
        <v>77</v>
      </c>
      <c r="C208" s="35" t="s">
        <v>31</v>
      </c>
      <c r="D208" s="141">
        <f t="shared" ca="1" si="6"/>
        <v>211</v>
      </c>
      <c r="E208" s="30">
        <f ca="1">VLOOKUP(A208,Rankings!B1:H651,6,FALSE)+(RAND()*0.00001)</f>
        <v>158.66667109943191</v>
      </c>
      <c r="F208" s="30">
        <f ca="1">E208-VLOOKUP(Settings!$K$8+Settings!$K$9,D$2:E$251,2,FALSE)</f>
        <v>-160.39399813179202</v>
      </c>
      <c r="G208" s="141">
        <f t="shared" ca="1" si="7"/>
        <v>201</v>
      </c>
      <c r="H208" s="30">
        <f ca="1">VLOOKUP(A208,Rankings!B1:H651,7,FALSE)+(RAND()*0.00001)</f>
        <v>-2.2362172369918043</v>
      </c>
      <c r="I208" s="30">
        <f ca="1">H208-VLOOKUP(Settings!$K$8+Settings!$K$9,G$2:H$251,2,FALSE)</f>
        <v>-2.7315087772329414</v>
      </c>
    </row>
    <row r="209" spans="1:9" ht="20.100000000000001" customHeight="1">
      <c r="A209" s="25" t="s">
        <v>506</v>
      </c>
      <c r="B209" s="26" t="s">
        <v>82</v>
      </c>
      <c r="C209" s="41" t="s">
        <v>34</v>
      </c>
      <c r="D209" s="141">
        <f t="shared" ca="1" si="6"/>
        <v>212</v>
      </c>
      <c r="E209" s="30">
        <f ca="1">VLOOKUP(A209,Rankings!B1:H651,6,FALSE)+(RAND()*0.00001)</f>
        <v>158.63800216319626</v>
      </c>
      <c r="F209" s="30">
        <f ca="1">E209-VLOOKUP(Settings!$K$8+Settings!$K$9,D$2:E$251,2,FALSE)</f>
        <v>-160.42266706802766</v>
      </c>
      <c r="G209" s="141">
        <f t="shared" ca="1" si="7"/>
        <v>135</v>
      </c>
      <c r="H209" s="30">
        <f ca="1">VLOOKUP(A209,Rankings!B1:H651,7,FALSE)+(RAND()*0.00001)</f>
        <v>-0.98404195496865754</v>
      </c>
      <c r="I209" s="30">
        <f ca="1">H209-VLOOKUP(Settings!$K$8+Settings!$K$9,G$2:H$251,2,FALSE)</f>
        <v>-1.4793334952097947</v>
      </c>
    </row>
    <row r="210" spans="1:9" ht="20.100000000000001" customHeight="1">
      <c r="A210" s="25" t="s">
        <v>623</v>
      </c>
      <c r="B210" s="26" t="s">
        <v>87</v>
      </c>
      <c r="C210" s="35" t="s">
        <v>31</v>
      </c>
      <c r="D210" s="141">
        <f t="shared" ca="1" si="6"/>
        <v>206</v>
      </c>
      <c r="E210" s="30">
        <f ca="1">VLOOKUP(A210,Rankings!B1:H651,6,FALSE)+(RAND()*0.00001)</f>
        <v>163.25934062678175</v>
      </c>
      <c r="F210" s="30">
        <f ca="1">E210-VLOOKUP(Settings!$K$8+Settings!$K$9,D$2:E$251,2,FALSE)</f>
        <v>-155.80132860444218</v>
      </c>
      <c r="G210" s="141">
        <f t="shared" ca="1" si="7"/>
        <v>237</v>
      </c>
      <c r="H210" s="30">
        <f ca="1">VLOOKUP(A210,Rankings!B1:H651,7,FALSE)+(RAND()*0.00001)</f>
        <v>-3.7235006443077872</v>
      </c>
      <c r="I210" s="30">
        <f ca="1">H210-VLOOKUP(Settings!$K$8+Settings!$K$9,G$2:H$251,2,FALSE)</f>
        <v>-4.2187921845489242</v>
      </c>
    </row>
    <row r="211" spans="1:9" ht="20.100000000000001" customHeight="1">
      <c r="A211" s="25" t="s">
        <v>598</v>
      </c>
      <c r="B211" s="26" t="s">
        <v>92</v>
      </c>
      <c r="C211" s="35" t="s">
        <v>31</v>
      </c>
      <c r="D211" s="141">
        <f t="shared" ca="1" si="6"/>
        <v>185</v>
      </c>
      <c r="E211" s="30">
        <f ca="1">VLOOKUP(A211,Rankings!B1:H651,6,FALSE)+(RAND()*0.00001)</f>
        <v>177.32300907036142</v>
      </c>
      <c r="F211" s="30">
        <f ca="1">E211-VLOOKUP(Settings!$K$8+Settings!$K$9,D$2:E$251,2,FALSE)</f>
        <v>-141.7376601608625</v>
      </c>
      <c r="G211" s="141">
        <f t="shared" ca="1" si="7"/>
        <v>232</v>
      </c>
      <c r="H211" s="30">
        <f ca="1">VLOOKUP(A211,Rankings!B1:H651,7,FALSE)+(RAND()*0.00001)</f>
        <v>-3.4044210104801427</v>
      </c>
      <c r="I211" s="30">
        <f ca="1">H211-VLOOKUP(Settings!$K$8+Settings!$K$9,G$2:H$251,2,FALSE)</f>
        <v>-3.8997125507212798</v>
      </c>
    </row>
    <row r="212" spans="1:9" ht="20.100000000000001" customHeight="1">
      <c r="A212" s="25" t="s">
        <v>633</v>
      </c>
      <c r="B212" s="26" t="s">
        <v>85</v>
      </c>
      <c r="C212" s="41" t="s">
        <v>34</v>
      </c>
      <c r="D212" s="141">
        <f t="shared" ca="1" si="6"/>
        <v>214</v>
      </c>
      <c r="E212" s="30">
        <f ca="1">VLOOKUP(A212,Rankings!B1:H651,6,FALSE)+(RAND()*0.00001)</f>
        <v>155.35867247358362</v>
      </c>
      <c r="F212" s="30">
        <f ca="1">E212-VLOOKUP(Settings!$K$8+Settings!$K$9,D$2:E$251,2,FALSE)</f>
        <v>-163.7019967576403</v>
      </c>
      <c r="G212" s="141">
        <f t="shared" ca="1" si="7"/>
        <v>206</v>
      </c>
      <c r="H212" s="30">
        <f ca="1">VLOOKUP(A212,Rankings!B1:H651,7,FALSE)+(RAND()*0.00001)</f>
        <v>-2.5030675507747242</v>
      </c>
      <c r="I212" s="30">
        <f ca="1">H212-VLOOKUP(Settings!$K$8+Settings!$K$9,G$2:H$251,2,FALSE)</f>
        <v>-2.9983590910158613</v>
      </c>
    </row>
    <row r="213" spans="1:9" ht="20.100000000000001" customHeight="1">
      <c r="A213" s="25" t="s">
        <v>614</v>
      </c>
      <c r="B213" s="26" t="s">
        <v>260</v>
      </c>
      <c r="C213" s="35" t="s">
        <v>31</v>
      </c>
      <c r="D213" s="141">
        <f t="shared" ca="1" si="6"/>
        <v>181</v>
      </c>
      <c r="E213" s="30">
        <f ca="1">VLOOKUP(A213,Rankings!B1:H651,6,FALSE)+(RAND()*0.00001)</f>
        <v>181.13000120714912</v>
      </c>
      <c r="F213" s="30">
        <f ca="1">E213-VLOOKUP(Settings!$K$8+Settings!$K$9,D$2:E$251,2,FALSE)</f>
        <v>-137.93066802407481</v>
      </c>
      <c r="G213" s="141">
        <f t="shared" ca="1" si="7"/>
        <v>235</v>
      </c>
      <c r="H213" s="30">
        <f ca="1">VLOOKUP(A213,Rankings!B1:H651,7,FALSE)+(RAND()*0.00001)</f>
        <v>-3.625498837250849</v>
      </c>
      <c r="I213" s="30">
        <f ca="1">H213-VLOOKUP(Settings!$K$8+Settings!$K$9,G$2:H$251,2,FALSE)</f>
        <v>-4.1207903774919865</v>
      </c>
    </row>
    <row r="214" spans="1:9" ht="20.100000000000001" customHeight="1">
      <c r="A214" s="25" t="s">
        <v>606</v>
      </c>
      <c r="B214" s="26" t="s">
        <v>103</v>
      </c>
      <c r="C214" s="41" t="s">
        <v>34</v>
      </c>
      <c r="D214" s="141">
        <f t="shared" ca="1" si="6"/>
        <v>215</v>
      </c>
      <c r="E214" s="30">
        <f ca="1">VLOOKUP(A214,Rankings!B1:H651,6,FALSE)+(RAND()*0.00001)</f>
        <v>153.5333337402927</v>
      </c>
      <c r="F214" s="30">
        <f ca="1">E214-VLOOKUP(Settings!$K$8+Settings!$K$9,D$2:E$251,2,FALSE)</f>
        <v>-165.52733549093122</v>
      </c>
      <c r="G214" s="141">
        <f t="shared" ca="1" si="7"/>
        <v>194</v>
      </c>
      <c r="H214" s="30">
        <f ca="1">VLOOKUP(A214,Rankings!B1:H651,7,FALSE)+(RAND()*0.00001)</f>
        <v>-2.1174071183181629</v>
      </c>
      <c r="I214" s="30">
        <f ca="1">H214-VLOOKUP(Settings!$K$8+Settings!$K$9,G$2:H$251,2,FALSE)</f>
        <v>-2.6126986585592999</v>
      </c>
    </row>
    <row r="215" spans="1:9" ht="20.100000000000001" customHeight="1">
      <c r="A215" s="25" t="s">
        <v>631</v>
      </c>
      <c r="B215" s="26" t="s">
        <v>160</v>
      </c>
      <c r="C215" s="35" t="s">
        <v>31</v>
      </c>
      <c r="D215" s="141">
        <f t="shared" ca="1" si="6"/>
        <v>213</v>
      </c>
      <c r="E215" s="30">
        <f ca="1">VLOOKUP(A215,Rankings!B1:H651,6,FALSE)+(RAND()*0.00001)</f>
        <v>155.44800276392274</v>
      </c>
      <c r="F215" s="30">
        <f ca="1">E215-VLOOKUP(Settings!$K$8+Settings!$K$9,D$2:E$251,2,FALSE)</f>
        <v>-163.61266646730118</v>
      </c>
      <c r="G215" s="141">
        <f t="shared" ca="1" si="7"/>
        <v>238</v>
      </c>
      <c r="H215" s="30">
        <f ca="1">VLOOKUP(A215,Rankings!B1:H651,7,FALSE)+(RAND()*0.00001)</f>
        <v>-3.8806104426527264</v>
      </c>
      <c r="I215" s="30">
        <f ca="1">H215-VLOOKUP(Settings!$K$8+Settings!$K$9,G$2:H$251,2,FALSE)</f>
        <v>-4.3759019828938639</v>
      </c>
    </row>
    <row r="216" spans="1:9" ht="20.100000000000001" customHeight="1">
      <c r="A216" s="25" t="s">
        <v>546</v>
      </c>
      <c r="B216" s="26" t="s">
        <v>97</v>
      </c>
      <c r="C216" s="35" t="s">
        <v>31</v>
      </c>
      <c r="D216" s="141">
        <f t="shared" ca="1" si="6"/>
        <v>204</v>
      </c>
      <c r="E216" s="30">
        <f ca="1">VLOOKUP(A216,Rankings!B1:H651,6,FALSE)+(RAND()*0.00001)</f>
        <v>163.58333540029298</v>
      </c>
      <c r="F216" s="30">
        <f ca="1">E216-VLOOKUP(Settings!$K$8+Settings!$K$9,D$2:E$251,2,FALSE)</f>
        <v>-155.47733383093095</v>
      </c>
      <c r="G216" s="141">
        <f t="shared" ca="1" si="7"/>
        <v>218</v>
      </c>
      <c r="H216" s="30">
        <f ca="1">VLOOKUP(A216,Rankings!B1:H651,7,FALSE)+(RAND()*0.00001)</f>
        <v>-2.8233059819755781</v>
      </c>
      <c r="I216" s="30">
        <f ca="1">H216-VLOOKUP(Settings!$K$8+Settings!$K$9,G$2:H$251,2,FALSE)</f>
        <v>-3.3185975222167152</v>
      </c>
    </row>
    <row r="217" spans="1:9" ht="20.100000000000001" customHeight="1">
      <c r="A217" s="25" t="s">
        <v>535</v>
      </c>
      <c r="B217" s="26" t="s">
        <v>87</v>
      </c>
      <c r="C217" s="41" t="s">
        <v>34</v>
      </c>
      <c r="D217" s="141">
        <f t="shared" ca="1" si="6"/>
        <v>216</v>
      </c>
      <c r="E217" s="30">
        <f ca="1">VLOOKUP(A217,Rankings!B1:H651,6,FALSE)+(RAND()*0.00001)</f>
        <v>149.08333504787953</v>
      </c>
      <c r="F217" s="30">
        <f ca="1">E217-VLOOKUP(Settings!$K$8+Settings!$K$9,D$2:E$251,2,FALSE)</f>
        <v>-169.9773341833444</v>
      </c>
      <c r="G217" s="141">
        <f t="shared" ca="1" si="7"/>
        <v>150</v>
      </c>
      <c r="H217" s="30">
        <f ca="1">VLOOKUP(A217,Rankings!B1:H651,7,FALSE)+(RAND()*0.00001)</f>
        <v>-1.3046312961960889</v>
      </c>
      <c r="I217" s="30">
        <f ca="1">H217-VLOOKUP(Settings!$K$8+Settings!$K$9,G$2:H$251,2,FALSE)</f>
        <v>-1.7999228364372262</v>
      </c>
    </row>
    <row r="218" spans="1:9" ht="20.100000000000001" customHeight="1">
      <c r="A218" s="25" t="s">
        <v>576</v>
      </c>
      <c r="B218" s="26" t="s">
        <v>92</v>
      </c>
      <c r="C218" s="41" t="s">
        <v>34</v>
      </c>
      <c r="D218" s="141">
        <f t="shared" ca="1" si="6"/>
        <v>217</v>
      </c>
      <c r="E218" s="30">
        <f ca="1">VLOOKUP(A218,Rankings!B1:H651,6,FALSE)+(RAND()*0.00001)</f>
        <v>148.20000540446392</v>
      </c>
      <c r="F218" s="30">
        <f ca="1">E218-VLOOKUP(Settings!$K$8+Settings!$K$9,D$2:E$251,2,FALSE)</f>
        <v>-170.86066382676</v>
      </c>
      <c r="G218" s="141">
        <f t="shared" ca="1" si="7"/>
        <v>174</v>
      </c>
      <c r="H218" s="30">
        <f ca="1">VLOOKUP(A218,Rankings!B1:H651,7,FALSE)+(RAND()*0.00001)</f>
        <v>-1.8317617317263797</v>
      </c>
      <c r="I218" s="30">
        <f ca="1">H218-VLOOKUP(Settings!$K$8+Settings!$K$9,G$2:H$251,2,FALSE)</f>
        <v>-2.3270532719675168</v>
      </c>
    </row>
    <row r="219" spans="1:9" ht="20.100000000000001" customHeight="1">
      <c r="A219" s="25" t="s">
        <v>663</v>
      </c>
      <c r="B219" s="26" t="s">
        <v>158</v>
      </c>
      <c r="C219" s="41" t="s">
        <v>34</v>
      </c>
      <c r="D219" s="141">
        <f t="shared" ca="1" si="6"/>
        <v>218</v>
      </c>
      <c r="E219" s="30">
        <f ca="1">VLOOKUP(A219,Rankings!B1:H651,6,FALSE)+(RAND()*0.00001)</f>
        <v>147.833340648416</v>
      </c>
      <c r="F219" s="30">
        <f ca="1">E219-VLOOKUP(Settings!$K$8+Settings!$K$9,D$2:E$251,2,FALSE)</f>
        <v>-171.22732858280793</v>
      </c>
      <c r="G219" s="141">
        <f t="shared" ca="1" si="7"/>
        <v>226</v>
      </c>
      <c r="H219" s="30">
        <f ca="1">VLOOKUP(A219,Rankings!B1:H651,7,FALSE)+(RAND()*0.00001)</f>
        <v>-3.07165971367872</v>
      </c>
      <c r="I219" s="30">
        <f ca="1">H219-VLOOKUP(Settings!$K$8+Settings!$K$9,G$2:H$251,2,FALSE)</f>
        <v>-3.5669512539198571</v>
      </c>
    </row>
    <row r="220" spans="1:9" ht="20.100000000000001" customHeight="1">
      <c r="A220" s="25" t="s">
        <v>573</v>
      </c>
      <c r="B220" s="26" t="s">
        <v>142</v>
      </c>
      <c r="C220" s="41" t="s">
        <v>34</v>
      </c>
      <c r="D220" s="141">
        <f t="shared" ca="1" si="6"/>
        <v>219</v>
      </c>
      <c r="E220" s="30">
        <f ca="1">VLOOKUP(A220,Rankings!B1:H651,6,FALSE)+(RAND()*0.00001)</f>
        <v>147.55000634221645</v>
      </c>
      <c r="F220" s="30">
        <f ca="1">E220-VLOOKUP(Settings!$K$8+Settings!$K$9,D$2:E$251,2,FALSE)</f>
        <v>-171.51066288900748</v>
      </c>
      <c r="G220" s="141">
        <f t="shared" ca="1" si="7"/>
        <v>171</v>
      </c>
      <c r="H220" s="30">
        <f ca="1">VLOOKUP(A220,Rankings!B1:H651,7,FALSE)+(RAND()*0.00001)</f>
        <v>-1.7764713806024728</v>
      </c>
      <c r="I220" s="30">
        <f ca="1">H220-VLOOKUP(Settings!$K$8+Settings!$K$9,G$2:H$251,2,FALSE)</f>
        <v>-2.2717629208436101</v>
      </c>
    </row>
    <row r="221" spans="1:9" ht="20.100000000000001" customHeight="1">
      <c r="A221" s="25" t="s">
        <v>616</v>
      </c>
      <c r="B221" s="26" t="s">
        <v>142</v>
      </c>
      <c r="C221" s="35" t="s">
        <v>31</v>
      </c>
      <c r="D221" s="141">
        <f t="shared" ca="1" si="6"/>
        <v>193</v>
      </c>
      <c r="E221" s="30">
        <f ca="1">VLOOKUP(A221,Rankings!B1:H651,6,FALSE)+(RAND()*0.00001)</f>
        <v>171.50900861485457</v>
      </c>
      <c r="F221" s="30">
        <f ca="1">E221-VLOOKUP(Settings!$K$8+Settings!$K$9,D$2:E$251,2,FALSE)</f>
        <v>-147.55166061636936</v>
      </c>
      <c r="G221" s="141">
        <f t="shared" ca="1" si="7"/>
        <v>236</v>
      </c>
      <c r="H221" s="30">
        <f ca="1">VLOOKUP(A221,Rankings!B1:H651,7,FALSE)+(RAND()*0.00001)</f>
        <v>-3.6466280831997526</v>
      </c>
      <c r="I221" s="30">
        <f ca="1">H221-VLOOKUP(Settings!$K$8+Settings!$K$9,G$2:H$251,2,FALSE)</f>
        <v>-4.1419196234408897</v>
      </c>
    </row>
    <row r="222" spans="1:9" ht="20.100000000000001" customHeight="1">
      <c r="A222" s="25" t="s">
        <v>564</v>
      </c>
      <c r="B222" s="26" t="s">
        <v>95</v>
      </c>
      <c r="C222" s="41" t="s">
        <v>34</v>
      </c>
      <c r="D222" s="141">
        <f t="shared" ca="1" si="6"/>
        <v>220</v>
      </c>
      <c r="E222" s="30">
        <f ca="1">VLOOKUP(A222,Rankings!B1:H651,6,FALSE)+(RAND()*0.00001)</f>
        <v>146.62333987216107</v>
      </c>
      <c r="F222" s="30">
        <f ca="1">E222-VLOOKUP(Settings!$K$8+Settings!$K$9,D$2:E$251,2,FALSE)</f>
        <v>-172.43732935906286</v>
      </c>
      <c r="G222" s="141">
        <f t="shared" ca="1" si="7"/>
        <v>164</v>
      </c>
      <c r="H222" s="30">
        <f ca="1">VLOOKUP(A222,Rankings!B1:H651,7,FALSE)+(RAND()*0.00001)</f>
        <v>-1.5931278891921361</v>
      </c>
      <c r="I222" s="30">
        <f ca="1">H222-VLOOKUP(Settings!$K$8+Settings!$K$9,G$2:H$251,2,FALSE)</f>
        <v>-2.0884194294332734</v>
      </c>
    </row>
    <row r="223" spans="1:9" ht="20.100000000000001" customHeight="1">
      <c r="A223" s="25" t="s">
        <v>509</v>
      </c>
      <c r="B223" s="26" t="s">
        <v>116</v>
      </c>
      <c r="C223" s="41" t="s">
        <v>34</v>
      </c>
      <c r="D223" s="141">
        <f t="shared" ca="1" si="6"/>
        <v>221</v>
      </c>
      <c r="E223" s="30">
        <f ca="1">VLOOKUP(A223,Rankings!B1:H651,6,FALSE)+(RAND()*0.00001)</f>
        <v>146.45000594456459</v>
      </c>
      <c r="F223" s="30">
        <f ca="1">E223-VLOOKUP(Settings!$K$8+Settings!$K$9,D$2:E$251,2,FALSE)</f>
        <v>-172.61066328665933</v>
      </c>
      <c r="G223" s="141">
        <f t="shared" ca="1" si="7"/>
        <v>137</v>
      </c>
      <c r="H223" s="30">
        <f ca="1">VLOOKUP(A223,Rankings!B1:H651,7,FALSE)+(RAND()*0.00001)</f>
        <v>-1.0500326546696941</v>
      </c>
      <c r="I223" s="30">
        <f ca="1">H223-VLOOKUP(Settings!$K$8+Settings!$K$9,G$2:H$251,2,FALSE)</f>
        <v>-1.5453241949108314</v>
      </c>
    </row>
    <row r="224" spans="1:9" ht="20.100000000000001" customHeight="1">
      <c r="A224" s="25" t="s">
        <v>600</v>
      </c>
      <c r="B224" s="26" t="s">
        <v>69</v>
      </c>
      <c r="C224" s="41" t="s">
        <v>34</v>
      </c>
      <c r="D224" s="141">
        <f t="shared" ca="1" si="6"/>
        <v>222</v>
      </c>
      <c r="E224" s="30">
        <f ca="1">VLOOKUP(A224,Rankings!B1:H651,6,FALSE)+(RAND()*0.00001)</f>
        <v>146.06266807911487</v>
      </c>
      <c r="F224" s="30">
        <f ca="1">E224-VLOOKUP(Settings!$K$8+Settings!$K$9,D$2:E$251,2,FALSE)</f>
        <v>-172.99800115210905</v>
      </c>
      <c r="G224" s="141">
        <f t="shared" ca="1" si="7"/>
        <v>187</v>
      </c>
      <c r="H224" s="30">
        <f ca="1">VLOOKUP(A224,Rankings!B1:H651,7,FALSE)+(RAND()*0.00001)</f>
        <v>-2.0020578091947745</v>
      </c>
      <c r="I224" s="30">
        <f ca="1">H224-VLOOKUP(Settings!$K$8+Settings!$K$9,G$2:H$251,2,FALSE)</f>
        <v>-2.4973493494359116</v>
      </c>
    </row>
    <row r="225" spans="1:9" ht="20.100000000000001" customHeight="1">
      <c r="A225" s="25" t="s">
        <v>499</v>
      </c>
      <c r="B225" s="26" t="s">
        <v>82</v>
      </c>
      <c r="C225" s="41" t="s">
        <v>34</v>
      </c>
      <c r="D225" s="141">
        <f t="shared" ca="1" si="6"/>
        <v>223</v>
      </c>
      <c r="E225" s="30">
        <f ca="1">VLOOKUP(A225,Rankings!B1:H651,6,FALSE)+(RAND()*0.00001)</f>
        <v>145.81666740069048</v>
      </c>
      <c r="F225" s="30">
        <f ca="1">E225-VLOOKUP(Settings!$K$8+Settings!$K$9,D$2:E$251,2,FALSE)</f>
        <v>-173.24400183053345</v>
      </c>
      <c r="G225" s="141">
        <f t="shared" ca="1" si="7"/>
        <v>132</v>
      </c>
      <c r="H225" s="30">
        <f ca="1">VLOOKUP(A225,Rankings!B1:H651,7,FALSE)+(RAND()*0.00001)</f>
        <v>-0.87960041633568919</v>
      </c>
      <c r="I225" s="30">
        <f ca="1">H225-VLOOKUP(Settings!$K$8+Settings!$K$9,G$2:H$251,2,FALSE)</f>
        <v>-1.3748919565768265</v>
      </c>
    </row>
    <row r="226" spans="1:9" ht="20.100000000000001" customHeight="1">
      <c r="A226" s="25" t="s">
        <v>551</v>
      </c>
      <c r="B226" s="26" t="s">
        <v>79</v>
      </c>
      <c r="C226" s="41" t="s">
        <v>34</v>
      </c>
      <c r="D226" s="141">
        <f t="shared" ca="1" si="6"/>
        <v>224</v>
      </c>
      <c r="E226" s="30">
        <f ca="1">VLOOKUP(A226,Rankings!B1:H651,6,FALSE)+(RAND()*0.00001)</f>
        <v>145.73334266418277</v>
      </c>
      <c r="F226" s="30">
        <f ca="1">E226-VLOOKUP(Settings!$K$8+Settings!$K$9,D$2:E$251,2,FALSE)</f>
        <v>-173.32732656704115</v>
      </c>
      <c r="G226" s="141">
        <f t="shared" ca="1" si="7"/>
        <v>155</v>
      </c>
      <c r="H226" s="30">
        <f ca="1">VLOOKUP(A226,Rankings!B1:H651,7,FALSE)+(RAND()*0.00001)</f>
        <v>-1.4453008424985698</v>
      </c>
      <c r="I226" s="30">
        <f ca="1">H226-VLOOKUP(Settings!$K$8+Settings!$K$9,G$2:H$251,2,FALSE)</f>
        <v>-1.9405923827397071</v>
      </c>
    </row>
    <row r="227" spans="1:9" ht="20.100000000000001" customHeight="1">
      <c r="A227" s="25" t="s">
        <v>612</v>
      </c>
      <c r="B227" s="26" t="s">
        <v>72</v>
      </c>
      <c r="C227" s="41" t="s">
        <v>34</v>
      </c>
      <c r="D227" s="141">
        <f t="shared" ca="1" si="6"/>
        <v>225</v>
      </c>
      <c r="E227" s="30">
        <f ca="1">VLOOKUP(A227,Rankings!B1:H651,6,FALSE)+(RAND()*0.00001)</f>
        <v>144.85000760048919</v>
      </c>
      <c r="F227" s="30">
        <f ca="1">E227-VLOOKUP(Settings!$K$8+Settings!$K$9,D$2:E$251,2,FALSE)</f>
        <v>-174.21066163073473</v>
      </c>
      <c r="G227" s="141">
        <f t="shared" ca="1" si="7"/>
        <v>199</v>
      </c>
      <c r="H227" s="30">
        <f ca="1">VLOOKUP(A227,Rankings!B1:H651,7,FALSE)+(RAND()*0.00001)</f>
        <v>-2.1987666267223229</v>
      </c>
      <c r="I227" s="30">
        <f ca="1">H227-VLOOKUP(Settings!$K$8+Settings!$K$9,G$2:H$251,2,FALSE)</f>
        <v>-2.69405816696346</v>
      </c>
    </row>
    <row r="228" spans="1:9" ht="20.100000000000001" customHeight="1">
      <c r="A228" s="25" t="s">
        <v>555</v>
      </c>
      <c r="B228" s="26" t="s">
        <v>105</v>
      </c>
      <c r="C228" s="41" t="s">
        <v>34</v>
      </c>
      <c r="D228" s="141">
        <f t="shared" ca="1" si="6"/>
        <v>226</v>
      </c>
      <c r="E228" s="30">
        <f ca="1">VLOOKUP(A228,Rankings!B1:H651,6,FALSE)+(RAND()*0.00001)</f>
        <v>143.95000452525426</v>
      </c>
      <c r="F228" s="30">
        <f ca="1">E228-VLOOKUP(Settings!$K$8+Settings!$K$9,D$2:E$251,2,FALSE)</f>
        <v>-175.11066470596967</v>
      </c>
      <c r="G228" s="141">
        <f t="shared" ca="1" si="7"/>
        <v>157</v>
      </c>
      <c r="H228" s="30">
        <f ca="1">VLOOKUP(A228,Rankings!B1:H651,7,FALSE)+(RAND()*0.00001)</f>
        <v>-1.4793855940485048</v>
      </c>
      <c r="I228" s="30">
        <f ca="1">H228-VLOOKUP(Settings!$K$8+Settings!$K$9,G$2:H$251,2,FALSE)</f>
        <v>-1.9746771342896421</v>
      </c>
    </row>
    <row r="229" spans="1:9" ht="20.100000000000001" customHeight="1">
      <c r="A229" s="25" t="s">
        <v>497</v>
      </c>
      <c r="B229" s="26" t="s">
        <v>158</v>
      </c>
      <c r="C229" s="41" t="s">
        <v>34</v>
      </c>
      <c r="D229" s="141">
        <f t="shared" ca="1" si="6"/>
        <v>227</v>
      </c>
      <c r="E229" s="30">
        <f ca="1">VLOOKUP(A229,Rankings!B1:H651,6,FALSE)+(RAND()*0.00001)</f>
        <v>143.18333507423853</v>
      </c>
      <c r="F229" s="30">
        <f ca="1">E229-VLOOKUP(Settings!$K$8+Settings!$K$9,D$2:E$251,2,FALSE)</f>
        <v>-175.8773341569854</v>
      </c>
      <c r="G229" s="141">
        <f t="shared" ca="1" si="7"/>
        <v>131</v>
      </c>
      <c r="H229" s="30">
        <f ca="1">VLOOKUP(A229,Rankings!B1:H651,7,FALSE)+(RAND()*0.00001)</f>
        <v>-0.85537579124155527</v>
      </c>
      <c r="I229" s="30">
        <f ca="1">H229-VLOOKUP(Settings!$K$8+Settings!$K$9,G$2:H$251,2,FALSE)</f>
        <v>-1.3506673314826925</v>
      </c>
    </row>
    <row r="230" spans="1:9" ht="20.100000000000001" customHeight="1">
      <c r="A230" s="25" t="s">
        <v>537</v>
      </c>
      <c r="B230" s="26" t="s">
        <v>95</v>
      </c>
      <c r="C230" s="41" t="s">
        <v>34</v>
      </c>
      <c r="D230" s="141">
        <f t="shared" ca="1" si="6"/>
        <v>228</v>
      </c>
      <c r="E230" s="30">
        <f ca="1">VLOOKUP(A230,Rankings!B1:H651,6,FALSE)+(RAND()*0.00001)</f>
        <v>139.83267348714591</v>
      </c>
      <c r="F230" s="30">
        <f ca="1">E230-VLOOKUP(Settings!$K$8+Settings!$K$9,D$2:E$251,2,FALSE)</f>
        <v>-179.22799574407802</v>
      </c>
      <c r="G230" s="141">
        <f t="shared" ca="1" si="7"/>
        <v>151</v>
      </c>
      <c r="H230" s="30">
        <f ca="1">VLOOKUP(A230,Rankings!B1:H651,7,FALSE)+(RAND()*0.00001)</f>
        <v>-1.3127621952900028</v>
      </c>
      <c r="I230" s="30">
        <f ca="1">H230-VLOOKUP(Settings!$K$8+Settings!$K$9,G$2:H$251,2,FALSE)</f>
        <v>-1.8080537355311401</v>
      </c>
    </row>
    <row r="231" spans="1:9" ht="20.100000000000001" customHeight="1">
      <c r="A231" s="25" t="s">
        <v>521</v>
      </c>
      <c r="B231" s="26" t="s">
        <v>69</v>
      </c>
      <c r="C231" s="41" t="s">
        <v>34</v>
      </c>
      <c r="D231" s="141">
        <f t="shared" ca="1" si="6"/>
        <v>229</v>
      </c>
      <c r="E231" s="30">
        <f ca="1">VLOOKUP(A231,Rankings!B1:H651,6,FALSE)+(RAND()*0.00001)</f>
        <v>138.68333662712007</v>
      </c>
      <c r="F231" s="30">
        <f ca="1">E231-VLOOKUP(Settings!$K$8+Settings!$K$9,D$2:E$251,2,FALSE)</f>
        <v>-180.37733260410386</v>
      </c>
      <c r="G231" s="141">
        <f t="shared" ca="1" si="7"/>
        <v>144</v>
      </c>
      <c r="H231" s="30">
        <f ca="1">VLOOKUP(A231,Rankings!B1:H651,7,FALSE)+(RAND()*0.00001)</f>
        <v>-1.1786257380006262</v>
      </c>
      <c r="I231" s="30">
        <f ca="1">H231-VLOOKUP(Settings!$K$8+Settings!$K$9,G$2:H$251,2,FALSE)</f>
        <v>-1.6739172782417635</v>
      </c>
    </row>
    <row r="232" spans="1:9" ht="20.100000000000001" customHeight="1">
      <c r="A232" s="25" t="s">
        <v>581</v>
      </c>
      <c r="B232" s="26" t="s">
        <v>160</v>
      </c>
      <c r="C232" s="41" t="s">
        <v>34</v>
      </c>
      <c r="D232" s="141">
        <f t="shared" ca="1" si="6"/>
        <v>230</v>
      </c>
      <c r="E232" s="30">
        <f ca="1">VLOOKUP(A232,Rankings!B1:H651,6,FALSE)+(RAND()*0.00001)</f>
        <v>138.65000793771492</v>
      </c>
      <c r="F232" s="30">
        <f ca="1">E232-VLOOKUP(Settings!$K$8+Settings!$K$9,D$2:E$251,2,FALSE)</f>
        <v>-180.41066129350901</v>
      </c>
      <c r="G232" s="141">
        <f t="shared" ca="1" si="7"/>
        <v>179</v>
      </c>
      <c r="H232" s="30">
        <f ca="1">VLOOKUP(A232,Rankings!B1:H651,7,FALSE)+(RAND()*0.00001)</f>
        <v>-1.8717196485371554</v>
      </c>
      <c r="I232" s="30">
        <f ca="1">H232-VLOOKUP(Settings!$K$8+Settings!$K$9,G$2:H$251,2,FALSE)</f>
        <v>-2.3670111887782928</v>
      </c>
    </row>
    <row r="233" spans="1:9" ht="20.100000000000001" customHeight="1">
      <c r="A233" s="25" t="s">
        <v>443</v>
      </c>
      <c r="B233" s="26" t="s">
        <v>95</v>
      </c>
      <c r="C233" s="41" t="s">
        <v>34</v>
      </c>
      <c r="D233" s="141">
        <f t="shared" ca="1" si="6"/>
        <v>231</v>
      </c>
      <c r="E233" s="30">
        <f ca="1">VLOOKUP(A233,Rankings!B1:H651,6,FALSE)+(RAND()*0.00001)</f>
        <v>138.46666965185361</v>
      </c>
      <c r="F233" s="30">
        <f ca="1">E233-VLOOKUP(Settings!$K$8+Settings!$K$9,D$2:E$251,2,FALSE)</f>
        <v>-180.59399957937032</v>
      </c>
      <c r="G233" s="141">
        <f t="shared" ca="1" si="7"/>
        <v>109</v>
      </c>
      <c r="H233" s="30">
        <f ca="1">VLOOKUP(A233,Rankings!B1:H651,7,FALSE)+(RAND()*0.00001)</f>
        <v>-0.25365989813350698</v>
      </c>
      <c r="I233" s="30">
        <f ca="1">H233-VLOOKUP(Settings!$K$8+Settings!$K$9,G$2:H$251,2,FALSE)</f>
        <v>-0.74895143837464428</v>
      </c>
    </row>
    <row r="234" spans="1:9" ht="20.100000000000001" customHeight="1">
      <c r="A234" s="25" t="s">
        <v>482</v>
      </c>
      <c r="B234" s="26" t="s">
        <v>105</v>
      </c>
      <c r="C234" s="41" t="s">
        <v>34</v>
      </c>
      <c r="D234" s="141">
        <f t="shared" ca="1" si="6"/>
        <v>233</v>
      </c>
      <c r="E234" s="30">
        <f ca="1">VLOOKUP(A234,Rankings!B1:H651,6,FALSE)+(RAND()*0.00001)</f>
        <v>137.01667598194217</v>
      </c>
      <c r="F234" s="30">
        <f ca="1">E234-VLOOKUP(Settings!$K$8+Settings!$K$9,D$2:E$251,2,FALSE)</f>
        <v>-182.04399324928175</v>
      </c>
      <c r="G234" s="141">
        <f t="shared" ca="1" si="7"/>
        <v>124</v>
      </c>
      <c r="H234" s="30">
        <f ca="1">VLOOKUP(A234,Rankings!B1:H651,7,FALSE)+(RAND()*0.00001)</f>
        <v>-0.66612346283454171</v>
      </c>
      <c r="I234" s="30">
        <f ca="1">H234-VLOOKUP(Settings!$K$8+Settings!$K$9,G$2:H$251,2,FALSE)</f>
        <v>-1.1614150030756789</v>
      </c>
    </row>
    <row r="235" spans="1:9" ht="20.100000000000001" customHeight="1">
      <c r="A235" s="25" t="s">
        <v>571</v>
      </c>
      <c r="B235" s="26" t="s">
        <v>64</v>
      </c>
      <c r="C235" s="41" t="s">
        <v>34</v>
      </c>
      <c r="D235" s="141">
        <f t="shared" ca="1" si="6"/>
        <v>234</v>
      </c>
      <c r="E235" s="30">
        <f ca="1">VLOOKUP(A235,Rankings!B1:H651,6,FALSE)+(RAND()*0.00001)</f>
        <v>136.41666718843274</v>
      </c>
      <c r="F235" s="30">
        <f ca="1">E235-VLOOKUP(Settings!$K$8+Settings!$K$9,D$2:E$251,2,FALSE)</f>
        <v>-182.64400204279119</v>
      </c>
      <c r="G235" s="141">
        <f t="shared" ca="1" si="7"/>
        <v>169</v>
      </c>
      <c r="H235" s="30">
        <f ca="1">VLOOKUP(A235,Rankings!B1:H651,7,FALSE)+(RAND()*0.00001)</f>
        <v>-1.7278121223054974</v>
      </c>
      <c r="I235" s="30">
        <f ca="1">H235-VLOOKUP(Settings!$K$8+Settings!$K$9,G$2:H$251,2,FALSE)</f>
        <v>-2.2231036625466345</v>
      </c>
    </row>
    <row r="236" spans="1:9" ht="20.100000000000001" customHeight="1">
      <c r="A236" s="25" t="s">
        <v>541</v>
      </c>
      <c r="B236" s="26" t="s">
        <v>87</v>
      </c>
      <c r="C236" s="35" t="s">
        <v>31</v>
      </c>
      <c r="D236" s="141">
        <f t="shared" ca="1" si="6"/>
        <v>232</v>
      </c>
      <c r="E236" s="30">
        <f ca="1">VLOOKUP(A236,Rankings!B1:H651,6,FALSE)+(RAND()*0.00001)</f>
        <v>138.12500884844903</v>
      </c>
      <c r="F236" s="30">
        <f ca="1">E236-VLOOKUP(Settings!$K$8+Settings!$K$9,D$2:E$251,2,FALSE)</f>
        <v>-180.9356603827749</v>
      </c>
      <c r="G236" s="141">
        <f t="shared" ca="1" si="7"/>
        <v>214</v>
      </c>
      <c r="H236" s="30">
        <f ca="1">VLOOKUP(A236,Rankings!B1:H651,7,FALSE)+(RAND()*0.00001)</f>
        <v>-2.7783136331354816</v>
      </c>
      <c r="I236" s="30">
        <f ca="1">H236-VLOOKUP(Settings!$K$8+Settings!$K$9,G$2:H$251,2,FALSE)</f>
        <v>-3.2736051733766187</v>
      </c>
    </row>
    <row r="237" spans="1:9" ht="20.100000000000001" customHeight="1">
      <c r="A237" s="25" t="s">
        <v>534</v>
      </c>
      <c r="B237" s="26" t="s">
        <v>122</v>
      </c>
      <c r="C237" s="41" t="s">
        <v>34</v>
      </c>
      <c r="D237" s="141">
        <f t="shared" ca="1" si="6"/>
        <v>235</v>
      </c>
      <c r="E237" s="30">
        <f ca="1">VLOOKUP(A237,Rankings!B1:H651,6,FALSE)+(RAND()*0.00001)</f>
        <v>134.21667493475263</v>
      </c>
      <c r="F237" s="30">
        <f ca="1">E237-VLOOKUP(Settings!$K$8+Settings!$K$9,D$2:E$251,2,FALSE)</f>
        <v>-184.84399429647129</v>
      </c>
      <c r="G237" s="141">
        <f t="shared" ca="1" si="7"/>
        <v>149</v>
      </c>
      <c r="H237" s="30">
        <f ca="1">VLOOKUP(A237,Rankings!B1:H651,7,FALSE)+(RAND()*0.00001)</f>
        <v>-1.2827414187202584</v>
      </c>
      <c r="I237" s="30">
        <f ca="1">H237-VLOOKUP(Settings!$K$8+Settings!$K$9,G$2:H$251,2,FALSE)</f>
        <v>-1.7780329589613957</v>
      </c>
    </row>
    <row r="238" spans="1:9" ht="20.100000000000001" customHeight="1">
      <c r="A238" s="25" t="s">
        <v>584</v>
      </c>
      <c r="B238" s="26" t="s">
        <v>158</v>
      </c>
      <c r="C238" s="41" t="s">
        <v>34</v>
      </c>
      <c r="D238" s="141">
        <f t="shared" ca="1" si="6"/>
        <v>237</v>
      </c>
      <c r="E238" s="30">
        <f ca="1">VLOOKUP(A238,Rankings!B1:H651,6,FALSE)+(RAND()*0.00001)</f>
        <v>130.7250024569534</v>
      </c>
      <c r="F238" s="30">
        <f ca="1">E238-VLOOKUP(Settings!$K$8+Settings!$K$9,D$2:E$251,2,FALSE)</f>
        <v>-188.33566677427052</v>
      </c>
      <c r="G238" s="141">
        <f t="shared" ca="1" si="7"/>
        <v>182</v>
      </c>
      <c r="H238" s="30">
        <f ca="1">VLOOKUP(A238,Rankings!B1:H651,7,FALSE)+(RAND()*0.00001)</f>
        <v>-1.9335017786822852</v>
      </c>
      <c r="I238" s="30">
        <f ca="1">H238-VLOOKUP(Settings!$K$8+Settings!$K$9,G$2:H$251,2,FALSE)</f>
        <v>-2.4287933189234225</v>
      </c>
    </row>
    <row r="239" spans="1:9" ht="20.100000000000001" customHeight="1">
      <c r="A239" s="25" t="s">
        <v>636</v>
      </c>
      <c r="B239" s="26" t="s">
        <v>77</v>
      </c>
      <c r="C239" s="41" t="s">
        <v>34</v>
      </c>
      <c r="D239" s="141">
        <f t="shared" ca="1" si="6"/>
        <v>238</v>
      </c>
      <c r="E239" s="30">
        <f ca="1">VLOOKUP(A239,Rankings!B1:H651,6,FALSE)+(RAND()*0.00001)</f>
        <v>130.15000703724417</v>
      </c>
      <c r="F239" s="30">
        <f ca="1">E239-VLOOKUP(Settings!$K$8+Settings!$K$9,D$2:E$251,2,FALSE)</f>
        <v>-188.91066219397976</v>
      </c>
      <c r="G239" s="141">
        <f t="shared" ca="1" si="7"/>
        <v>208</v>
      </c>
      <c r="H239" s="30">
        <f ca="1">VLOOKUP(A239,Rankings!B1:H651,7,FALSE)+(RAND()*0.00001)</f>
        <v>-2.5520934177233729</v>
      </c>
      <c r="I239" s="30">
        <f ca="1">H239-VLOOKUP(Settings!$K$8+Settings!$K$9,G$2:H$251,2,FALSE)</f>
        <v>-3.04738495796451</v>
      </c>
    </row>
    <row r="240" spans="1:9" ht="20.100000000000001" customHeight="1">
      <c r="A240" s="25" t="s">
        <v>519</v>
      </c>
      <c r="B240" s="26" t="s">
        <v>69</v>
      </c>
      <c r="C240" s="41" t="s">
        <v>34</v>
      </c>
      <c r="D240" s="141">
        <f t="shared" ca="1" si="6"/>
        <v>239</v>
      </c>
      <c r="E240" s="30">
        <f ca="1">VLOOKUP(A240,Rankings!B1:H651,6,FALSE)+(RAND()*0.00001)</f>
        <v>129.56667103686348</v>
      </c>
      <c r="F240" s="30">
        <f ca="1">E240-VLOOKUP(Settings!$K$8+Settings!$K$9,D$2:E$251,2,FALSE)</f>
        <v>-189.49399819436044</v>
      </c>
      <c r="G240" s="141">
        <f t="shared" ca="1" si="7"/>
        <v>143</v>
      </c>
      <c r="H240" s="30">
        <f ca="1">VLOOKUP(A240,Rankings!B1:H651,7,FALSE)+(RAND()*0.00001)</f>
        <v>-1.1597108110105601</v>
      </c>
      <c r="I240" s="30">
        <f ca="1">H240-VLOOKUP(Settings!$K$8+Settings!$K$9,G$2:H$251,2,FALSE)</f>
        <v>-1.6550023512516974</v>
      </c>
    </row>
    <row r="241" spans="1:9" ht="20.100000000000001" customHeight="1">
      <c r="A241" s="25" t="s">
        <v>603</v>
      </c>
      <c r="B241" s="26" t="s">
        <v>97</v>
      </c>
      <c r="C241" s="41" t="s">
        <v>34</v>
      </c>
      <c r="D241" s="141">
        <f t="shared" ca="1" si="6"/>
        <v>240</v>
      </c>
      <c r="E241" s="30">
        <f ca="1">VLOOKUP(A241,Rankings!B1:H651,6,FALSE)+(RAND()*0.00001)</f>
        <v>129.55000807470012</v>
      </c>
      <c r="F241" s="30">
        <f ca="1">E241-VLOOKUP(Settings!$K$8+Settings!$K$9,D$2:E$251,2,FALSE)</f>
        <v>-189.51066115652381</v>
      </c>
      <c r="G241" s="141">
        <f t="shared" ca="1" si="7"/>
        <v>192</v>
      </c>
      <c r="H241" s="30">
        <f ca="1">VLOOKUP(A241,Rankings!B1:H651,7,FALSE)+(RAND()*0.00001)</f>
        <v>-2.0508674535652371</v>
      </c>
      <c r="I241" s="30">
        <f ca="1">H241-VLOOKUP(Settings!$K$8+Settings!$K$9,G$2:H$251,2,FALSE)</f>
        <v>-2.5461589938063742</v>
      </c>
    </row>
    <row r="242" spans="1:9" ht="20.100000000000001" customHeight="1">
      <c r="A242" s="25" t="s">
        <v>621</v>
      </c>
      <c r="B242" s="26" t="s">
        <v>119</v>
      </c>
      <c r="C242" s="41" t="s">
        <v>34</v>
      </c>
      <c r="D242" s="141">
        <f t="shared" ca="1" si="6"/>
        <v>241</v>
      </c>
      <c r="E242" s="30">
        <f ca="1">VLOOKUP(A242,Rankings!B1:H651,6,FALSE)+(RAND()*0.00001)</f>
        <v>129.31667476257402</v>
      </c>
      <c r="F242" s="30">
        <f ca="1">E242-VLOOKUP(Settings!$K$8+Settings!$K$9,D$2:E$251,2,FALSE)</f>
        <v>-189.7439944686499</v>
      </c>
      <c r="G242" s="141">
        <f t="shared" ca="1" si="7"/>
        <v>202</v>
      </c>
      <c r="H242" s="30">
        <f ca="1">VLOOKUP(A242,Rankings!B1:H651,7,FALSE)+(RAND()*0.00001)</f>
        <v>-2.2612488350933844</v>
      </c>
      <c r="I242" s="30">
        <f ca="1">H242-VLOOKUP(Settings!$K$8+Settings!$K$9,G$2:H$251,2,FALSE)</f>
        <v>-2.7565403753345215</v>
      </c>
    </row>
    <row r="243" spans="1:9" ht="20.100000000000001" customHeight="1">
      <c r="A243" s="25" t="s">
        <v>590</v>
      </c>
      <c r="B243" s="26" t="s">
        <v>95</v>
      </c>
      <c r="C243" s="35" t="s">
        <v>31</v>
      </c>
      <c r="D243" s="141">
        <f t="shared" ca="1" si="6"/>
        <v>236</v>
      </c>
      <c r="E243" s="30">
        <f ca="1">VLOOKUP(A243,Rankings!B1:H651,6,FALSE)+(RAND()*0.00001)</f>
        <v>132.95000755465063</v>
      </c>
      <c r="F243" s="30">
        <f ca="1">E243-VLOOKUP(Settings!$K$8+Settings!$K$9,D$2:E$251,2,FALSE)</f>
        <v>-186.1106616765733</v>
      </c>
      <c r="G243" s="141">
        <f t="shared" ca="1" si="7"/>
        <v>230</v>
      </c>
      <c r="H243" s="30">
        <f ca="1">VLOOKUP(A243,Rankings!B1:H651,7,FALSE)+(RAND()*0.00001)</f>
        <v>-3.3676916788052389</v>
      </c>
      <c r="I243" s="30">
        <f ca="1">H243-VLOOKUP(Settings!$K$8+Settings!$K$9,G$2:H$251,2,FALSE)</f>
        <v>-3.862983219046376</v>
      </c>
    </row>
    <row r="244" spans="1:9" ht="20.100000000000001" customHeight="1">
      <c r="A244" s="25" t="s">
        <v>607</v>
      </c>
      <c r="B244" s="26" t="s">
        <v>99</v>
      </c>
      <c r="C244" s="41" t="s">
        <v>34</v>
      </c>
      <c r="D244" s="141">
        <f t="shared" ca="1" si="6"/>
        <v>243</v>
      </c>
      <c r="E244" s="30">
        <f ca="1">VLOOKUP(A244,Rankings!B1:H651,6,FALSE)+(RAND()*0.00001)</f>
        <v>123.88334277283946</v>
      </c>
      <c r="F244" s="30">
        <f ca="1">E244-VLOOKUP(Settings!$K$8+Settings!$K$9,D$2:E$251,2,FALSE)</f>
        <v>-195.17732645838447</v>
      </c>
      <c r="G244" s="141">
        <f t="shared" ca="1" si="7"/>
        <v>195</v>
      </c>
      <c r="H244" s="30">
        <f ca="1">VLOOKUP(A244,Rankings!B1:H651,7,FALSE)+(RAND()*0.00001)</f>
        <v>-2.1426866427404105</v>
      </c>
      <c r="I244" s="30">
        <f ca="1">H244-VLOOKUP(Settings!$K$8+Settings!$K$9,G$2:H$251,2,FALSE)</f>
        <v>-2.6379781829815476</v>
      </c>
    </row>
    <row r="245" spans="1:9" ht="20.100000000000001" customHeight="1">
      <c r="A245" s="25" t="s">
        <v>602</v>
      </c>
      <c r="B245" s="26" t="s">
        <v>74</v>
      </c>
      <c r="C245" s="41" t="s">
        <v>34</v>
      </c>
      <c r="D245" s="141">
        <f t="shared" ca="1" si="6"/>
        <v>244</v>
      </c>
      <c r="E245" s="30">
        <f ca="1">VLOOKUP(A245,Rankings!B1:H651,6,FALSE)+(RAND()*0.00001)</f>
        <v>122.75000429603612</v>
      </c>
      <c r="F245" s="30">
        <f ca="1">E245-VLOOKUP(Settings!$K$8+Settings!$K$9,D$2:E$251,2,FALSE)</f>
        <v>-196.31066493518779</v>
      </c>
      <c r="G245" s="141">
        <f t="shared" ca="1" si="7"/>
        <v>190</v>
      </c>
      <c r="H245" s="30">
        <f ca="1">VLOOKUP(A245,Rankings!B1:H651,7,FALSE)+(RAND()*0.00001)</f>
        <v>-2.0445342802701862</v>
      </c>
      <c r="I245" s="30">
        <f ca="1">H245-VLOOKUP(Settings!$K$8+Settings!$K$9,G$2:H$251,2,FALSE)</f>
        <v>-2.5398258205113233</v>
      </c>
    </row>
    <row r="246" spans="1:9" ht="20.100000000000001" customHeight="1">
      <c r="A246" s="25" t="s">
        <v>608</v>
      </c>
      <c r="B246" s="26" t="s">
        <v>103</v>
      </c>
      <c r="C246" s="41" t="s">
        <v>34</v>
      </c>
      <c r="D246" s="141">
        <f t="shared" ca="1" si="6"/>
        <v>246</v>
      </c>
      <c r="E246" s="30">
        <f ca="1">VLOOKUP(A246,Rankings!B1:H651,6,FALSE)+(RAND()*0.00001)</f>
        <v>118.40000588875043</v>
      </c>
      <c r="F246" s="30">
        <f ca="1">E246-VLOOKUP(Settings!$K$8+Settings!$K$9,D$2:E$251,2,FALSE)</f>
        <v>-200.6606633424735</v>
      </c>
      <c r="G246" s="141">
        <f t="shared" ca="1" si="7"/>
        <v>197</v>
      </c>
      <c r="H246" s="30">
        <f ca="1">VLOOKUP(A246,Rankings!B1:H651,7,FALSE)+(RAND()*0.00001)</f>
        <v>-2.1595322870351077</v>
      </c>
      <c r="I246" s="30">
        <f ca="1">H246-VLOOKUP(Settings!$K$8+Settings!$K$9,G$2:H$251,2,FALSE)</f>
        <v>-2.6548238272762448</v>
      </c>
    </row>
    <row r="247" spans="1:9" ht="20.100000000000001" customHeight="1">
      <c r="A247" s="25" t="s">
        <v>589</v>
      </c>
      <c r="B247" s="26" t="s">
        <v>136</v>
      </c>
      <c r="C247" s="41" t="s">
        <v>34</v>
      </c>
      <c r="D247" s="141">
        <f t="shared" ca="1" si="6"/>
        <v>247</v>
      </c>
      <c r="E247" s="30">
        <f ca="1">VLOOKUP(A247,Rankings!B1:H651,6,FALSE)+(RAND()*0.00001)</f>
        <v>118.2166721633029</v>
      </c>
      <c r="F247" s="30">
        <f ca="1">E247-VLOOKUP(Settings!$K$8+Settings!$K$9,D$2:E$251,2,FALSE)</f>
        <v>-200.84399706792101</v>
      </c>
      <c r="G247" s="141">
        <f t="shared" ca="1" si="7"/>
        <v>184</v>
      </c>
      <c r="H247" s="30">
        <f ca="1">VLOOKUP(A247,Rankings!B1:H651,7,FALSE)+(RAND()*0.00001)</f>
        <v>-1.9485658222379409</v>
      </c>
      <c r="I247" s="30">
        <f ca="1">H247-VLOOKUP(Settings!$K$8+Settings!$K$9,G$2:H$251,2,FALSE)</f>
        <v>-2.4438573624790783</v>
      </c>
    </row>
    <row r="248" spans="1:9" ht="20.100000000000001" customHeight="1">
      <c r="A248" s="25" t="s">
        <v>604</v>
      </c>
      <c r="B248" s="26" t="s">
        <v>101</v>
      </c>
      <c r="C248" s="41" t="s">
        <v>34</v>
      </c>
      <c r="D248" s="141">
        <f t="shared" ca="1" si="6"/>
        <v>245</v>
      </c>
      <c r="E248" s="30">
        <f ca="1">VLOOKUP(A248,Rankings!B1:H651,6,FALSE)+(RAND()*0.00001)</f>
        <v>122.52500126927801</v>
      </c>
      <c r="F248" s="30">
        <f ca="1">E248-VLOOKUP(Settings!$K$8+Settings!$K$9,D$2:E$251,2,FALSE)</f>
        <v>-196.53566796194593</v>
      </c>
      <c r="G248" s="141">
        <f t="shared" ca="1" si="7"/>
        <v>193</v>
      </c>
      <c r="H248" s="30">
        <f ca="1">VLOOKUP(A248,Rankings!B1:H651,7,FALSE)+(RAND()*0.00001)</f>
        <v>-2.0638286038229952</v>
      </c>
      <c r="I248" s="30">
        <f ca="1">H248-VLOOKUP(Settings!$K$8+Settings!$K$9,G$2:H$251,2,FALSE)</f>
        <v>-2.5591201440641322</v>
      </c>
    </row>
    <row r="249" spans="1:9" ht="20.100000000000001" customHeight="1">
      <c r="A249" s="25" t="s">
        <v>511</v>
      </c>
      <c r="B249" s="26" t="s">
        <v>74</v>
      </c>
      <c r="C249" s="41" t="s">
        <v>34</v>
      </c>
      <c r="D249" s="141">
        <f t="shared" ca="1" si="6"/>
        <v>248</v>
      </c>
      <c r="E249" s="30">
        <f ca="1">VLOOKUP(A249,Rankings!B1:H651,6,FALSE)+(RAND()*0.00001)</f>
        <v>110.93334192322922</v>
      </c>
      <c r="F249" s="30">
        <f ca="1">E249-VLOOKUP(Settings!$K$8+Settings!$K$9,D$2:E$251,2,FALSE)</f>
        <v>-208.1273273079947</v>
      </c>
      <c r="G249" s="141">
        <f t="shared" ca="1" si="7"/>
        <v>139</v>
      </c>
      <c r="H249" s="30">
        <f ca="1">VLOOKUP(A249,Rankings!B1:H651,7,FALSE)+(RAND()*0.00001)</f>
        <v>-1.0810340964684737</v>
      </c>
      <c r="I249" s="30">
        <f ca="1">H249-VLOOKUP(Settings!$K$8+Settings!$K$9,G$2:H$251,2,FALSE)</f>
        <v>-1.576325636709611</v>
      </c>
    </row>
    <row r="250" spans="1:9" ht="20.100000000000001" customHeight="1">
      <c r="A250" s="25" t="s">
        <v>483</v>
      </c>
      <c r="B250" s="26" t="s">
        <v>95</v>
      </c>
      <c r="C250" s="41" t="s">
        <v>34</v>
      </c>
      <c r="D250" s="141">
        <f t="shared" ca="1" si="6"/>
        <v>249</v>
      </c>
      <c r="E250" s="30">
        <f ca="1">VLOOKUP(A250,Rankings!B1:H651,6,FALSE)+(RAND()*0.00001)</f>
        <v>101.3833343737806</v>
      </c>
      <c r="F250" s="30">
        <f ca="1">E250-VLOOKUP(Settings!$K$8+Settings!$K$9,D$2:E$251,2,FALSE)</f>
        <v>-217.67733485744333</v>
      </c>
      <c r="G250" s="141">
        <f t="shared" ca="1" si="7"/>
        <v>125</v>
      </c>
      <c r="H250" s="30">
        <f ca="1">VLOOKUP(A250,Rankings!B1:H651,7,FALSE)+(RAND()*0.00001)</f>
        <v>-0.68061053301438834</v>
      </c>
      <c r="I250" s="30">
        <f ca="1">H250-VLOOKUP(Settings!$K$8+Settings!$K$9,G$2:H$251,2,FALSE)</f>
        <v>-1.1759020732555256</v>
      </c>
    </row>
    <row r="251" spans="1:9" ht="20.100000000000001" customHeight="1">
      <c r="A251" s="25" t="s">
        <v>501</v>
      </c>
      <c r="B251" s="26" t="s">
        <v>77</v>
      </c>
      <c r="C251" s="35" t="s">
        <v>31</v>
      </c>
      <c r="D251" s="141">
        <f t="shared" ca="1" si="6"/>
        <v>250</v>
      </c>
      <c r="E251" s="30">
        <f ca="1">VLOOKUP(A251,Rankings!B1:H651,6,FALSE)+(RAND()*0.00001)</f>
        <v>98.166672042992928</v>
      </c>
      <c r="F251" s="30">
        <f ca="1">E251-VLOOKUP(Settings!$K$8+Settings!$K$9,D$2:E$251,2,FALSE)</f>
        <v>-220.893997188231</v>
      </c>
      <c r="G251" s="141">
        <f t="shared" ca="1" si="7"/>
        <v>204</v>
      </c>
      <c r="H251" s="30">
        <f ca="1">VLOOKUP(A251,Rankings!B1:H651,7,FALSE)+(RAND()*0.00001)</f>
        <v>-2.3279082811512444</v>
      </c>
      <c r="I251" s="30">
        <f ca="1">H251-VLOOKUP(Settings!$K$8+Settings!$K$9,G$2:H$251,2,FALSE)</f>
        <v>-2.8231998213923815</v>
      </c>
    </row>
  </sheetData>
  <autoFilter ref="A1:I251" xr:uid="{00000000-0001-0000-1000-000000000000}">
    <sortState xmlns:xlrd2="http://schemas.microsoft.com/office/spreadsheetml/2017/richdata2" ref="A2:I251">
      <sortCondition ref="D1:D251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651"/>
  <sheetViews>
    <sheetView showGridLines="0" workbookViewId="0">
      <selection activeCell="G2" sqref="G2"/>
    </sheetView>
  </sheetViews>
  <sheetFormatPr defaultColWidth="16.28515625" defaultRowHeight="20.100000000000001" customHeight="1"/>
  <cols>
    <col min="1" max="1" width="7.140625" style="1" customWidth="1"/>
    <col min="2" max="2" width="23.7109375" style="1" customWidth="1"/>
    <col min="3" max="4" width="7.140625" style="1" customWidth="1"/>
    <col min="5" max="6" width="6" style="1" customWidth="1"/>
    <col min="7" max="9" width="9.42578125" style="1" customWidth="1"/>
    <col min="10" max="11" width="7.140625" style="1" customWidth="1"/>
    <col min="12" max="12" width="2.28515625" style="1" customWidth="1"/>
    <col min="13" max="27" width="7.140625" style="1" customWidth="1"/>
    <col min="28" max="28" width="2.28515625" style="1" customWidth="1"/>
    <col min="29" max="44" width="7.140625" style="1" customWidth="1"/>
    <col min="45" max="45" width="16.28515625" style="1" customWidth="1"/>
    <col min="46" max="16384" width="16.28515625" style="1"/>
  </cols>
  <sheetData>
    <row r="1" spans="1:44" s="149" customFormat="1" ht="36" customHeight="1">
      <c r="A1" s="144" t="s">
        <v>58</v>
      </c>
      <c r="B1" s="145" t="s">
        <v>59</v>
      </c>
      <c r="C1" s="144" t="s">
        <v>60</v>
      </c>
      <c r="D1" s="146" t="s">
        <v>61</v>
      </c>
      <c r="E1" s="155" t="s">
        <v>62</v>
      </c>
      <c r="F1" s="156"/>
      <c r="G1" s="147" t="s">
        <v>63</v>
      </c>
      <c r="H1" s="144" t="s">
        <v>64</v>
      </c>
      <c r="I1" s="144" t="s">
        <v>65</v>
      </c>
      <c r="J1" s="144" t="s">
        <v>66</v>
      </c>
      <c r="K1" s="144" t="s">
        <v>67</v>
      </c>
      <c r="L1" s="148"/>
      <c r="M1" s="144" t="s">
        <v>5</v>
      </c>
      <c r="N1" s="144" t="s">
        <v>9</v>
      </c>
      <c r="O1" s="144" t="s">
        <v>13</v>
      </c>
      <c r="P1" s="144" t="s">
        <v>17</v>
      </c>
      <c r="Q1" s="144" t="s">
        <v>21</v>
      </c>
      <c r="R1" s="144" t="s">
        <v>25</v>
      </c>
      <c r="S1" s="144" t="s">
        <v>29</v>
      </c>
      <c r="T1" s="144" t="s">
        <v>33</v>
      </c>
      <c r="U1" s="144" t="s">
        <v>11</v>
      </c>
      <c r="V1" s="144" t="s">
        <v>15</v>
      </c>
      <c r="W1" s="144" t="s">
        <v>36</v>
      </c>
      <c r="X1" s="144" t="s">
        <v>40</v>
      </c>
      <c r="Y1" s="144" t="s">
        <v>45</v>
      </c>
      <c r="Z1" s="144" t="s">
        <v>47</v>
      </c>
      <c r="AA1" s="144" t="s">
        <v>52</v>
      </c>
      <c r="AB1" s="148"/>
      <c r="AC1" s="144" t="s">
        <v>6</v>
      </c>
      <c r="AD1" s="144" t="s">
        <v>10</v>
      </c>
      <c r="AE1" s="144" t="s">
        <v>14</v>
      </c>
      <c r="AF1" s="144" t="s">
        <v>18</v>
      </c>
      <c r="AG1" s="144" t="s">
        <v>22</v>
      </c>
      <c r="AH1" s="144" t="s">
        <v>26</v>
      </c>
      <c r="AI1" s="144" t="s">
        <v>30</v>
      </c>
      <c r="AJ1" s="144" t="s">
        <v>33</v>
      </c>
      <c r="AK1" s="144" t="s">
        <v>36</v>
      </c>
      <c r="AL1" s="144" t="s">
        <v>13</v>
      </c>
      <c r="AM1" s="144" t="s">
        <v>39</v>
      </c>
      <c r="AN1" s="144" t="s">
        <v>41</v>
      </c>
      <c r="AO1" s="144" t="s">
        <v>46</v>
      </c>
      <c r="AP1" s="144" t="s">
        <v>48</v>
      </c>
      <c r="AQ1" s="144" t="s">
        <v>53</v>
      </c>
      <c r="AR1" s="144" t="s">
        <v>56</v>
      </c>
    </row>
    <row r="2" spans="1:44" ht="18.600000000000001" customHeight="1">
      <c r="A2" s="17">
        <f ca="1">RANK(I2,I$2:I$651)</f>
        <v>4</v>
      </c>
      <c r="B2" s="18" t="s">
        <v>76</v>
      </c>
      <c r="C2" s="19" t="s">
        <v>77</v>
      </c>
      <c r="D2" s="19" t="s">
        <v>70</v>
      </c>
      <c r="E2" s="159" t="s">
        <v>15</v>
      </c>
      <c r="F2" s="160">
        <f ca="1">VLOOKUP(B2,'3B'!A1:I55,IF(Settings!$J$13="points",4,7),FALSE)</f>
        <v>1</v>
      </c>
      <c r="G2" s="20">
        <f>(M2*Settings!$B$2)+(N2*Settings!$B$3)+(O2*Settings!$B$4)+(P2*Settings!$B$5)+(Q2*Settings!$B$6)+(T2*Settings!$B$9)+(U2*Settings!$B$10)+(V2*Settings!$B$11)+(W2*Settings!$B$12)+(X2*Settings!$B$13)+(AA2*Settings!$B$16)</f>
        <v>639.91666666666663</v>
      </c>
      <c r="H2" s="21">
        <f>VLOOKUP(B2,'Standard Deviations'!$A1:$D651,4,FALSE)</f>
        <v>10.34741803384531</v>
      </c>
      <c r="I2" s="22">
        <f ca="1">IF(Settings!$J$15="no",VLOOKUP(B2,'3B'!A1:I55,IF(Settings!$J$13="points",6,9),FALSE),VLOOKUP(B2,'1B+3B'!$A1:$I104,IF(Settings!$J$13="points",6,9),FALSE))</f>
        <v>9.6197401524948987</v>
      </c>
      <c r="J2" s="21"/>
      <c r="K2" s="21">
        <f ca="1">J2-A2</f>
        <v>-4</v>
      </c>
      <c r="L2" s="21"/>
      <c r="M2" s="21">
        <f>VLOOKUP($B2,Hitters!$A1:$R401,4,FALSE)</f>
        <v>566.66666666666697</v>
      </c>
      <c r="N2" s="21">
        <f>VLOOKUP($B2,Hitters!$A1:$R401,5,FALSE)</f>
        <v>95.1666666666667</v>
      </c>
      <c r="O2" s="21">
        <f>VLOOKUP($B2,Hitters!$A1:$R401,6,FALSE)</f>
        <v>30.766666666666701</v>
      </c>
      <c r="P2" s="21">
        <f>VLOOKUP($B2,Hitters!$A1:$R401,7,FALSE)</f>
        <v>103.866666666667</v>
      </c>
      <c r="Q2" s="21">
        <f>VLOOKUP($B2,Hitters!$A1:$R401,8,FALSE)</f>
        <v>23.933333333333302</v>
      </c>
      <c r="R2" s="23">
        <f>VLOOKUP($B2,Hitters!$A1:$R401,9,FALSE)</f>
        <v>0.27411764705882402</v>
      </c>
      <c r="S2" s="23">
        <f>VLOOKUP($B2,Hitters!$A1:$R401,10,FALSE)</f>
        <v>0.35060215946843898</v>
      </c>
      <c r="T2" s="21">
        <f>VLOOKUP($B2,Hitters!$A1:$R401,11,FALSE)</f>
        <v>155.333333333333</v>
      </c>
      <c r="U2" s="21">
        <f>VLOOKUP($B2,Hitters!$A1:$R401,12,FALSE)</f>
        <v>37.933333333333302</v>
      </c>
      <c r="V2" s="21">
        <f>VLOOKUP($B2,Hitters!$A1:$R401,13,FALSE)</f>
        <v>4.0999999999999996</v>
      </c>
      <c r="W2" s="21">
        <f>VLOOKUP($B2,Hitters!$A1:$R401,14,FALSE)</f>
        <v>69.8</v>
      </c>
      <c r="X2" s="21">
        <f>VLOOKUP($B2,Hitters!$A1:$R401,15,FALSE)</f>
        <v>86.7</v>
      </c>
      <c r="Y2" s="23">
        <f>VLOOKUP($B2,Hitters!$A1:$R401,16,FALSE)</f>
        <v>0.51841176470588202</v>
      </c>
      <c r="Z2" s="23">
        <f>VLOOKUP($B2,Hitters!$A1:$R401,17,FALSE)</f>
        <v>0.869013924174321</v>
      </c>
      <c r="AA2" s="21">
        <f>VLOOKUP($B2,Hitters!$A1:$R401,18,FALSE)</f>
        <v>0</v>
      </c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</row>
    <row r="3" spans="1:44" ht="18.600000000000001" customHeight="1">
      <c r="A3" s="24">
        <f ca="1">RANK(I3,I$2:I$651)</f>
        <v>8</v>
      </c>
      <c r="B3" s="25" t="s">
        <v>83</v>
      </c>
      <c r="C3" s="26" t="s">
        <v>64</v>
      </c>
      <c r="D3" s="26" t="s">
        <v>75</v>
      </c>
      <c r="E3" s="27" t="s">
        <v>23</v>
      </c>
      <c r="F3" s="28">
        <f ca="1">VLOOKUP(B3,OF!A1:I139,IF(Settings!$J$13="points",4,7),FALSE)</f>
        <v>7</v>
      </c>
      <c r="G3" s="29">
        <f>(M3*Settings!$B$2)+(N3*Settings!$B$3)+(O3*Settings!$B$4)+(P3*Settings!$B$5)+(Q3*Settings!$B$6)+(T3*Settings!$B$9)+(U3*Settings!$B$10)+(V3*Settings!$B$11)+(W3*Settings!$B$12)+(X3*Settings!$B$13)+(AA3*Settings!$B$16)</f>
        <v>637.05000000000018</v>
      </c>
      <c r="H3" s="30">
        <f>VLOOKUP(B3,'Standard Deviations'!$A1:$D651,4,FALSE)</f>
        <v>8.4907363589293556</v>
      </c>
      <c r="I3" s="31">
        <f ca="1">VLOOKUP(B3,OF!A1:I139,IF(Settings!$J$13="points",6,9),FALSE)</f>
        <v>8.3720180105421758</v>
      </c>
      <c r="J3" s="30"/>
      <c r="K3" s="30">
        <f ca="1">J3-A3</f>
        <v>-8</v>
      </c>
      <c r="L3" s="30"/>
      <c r="M3" s="30">
        <f>VLOOKUP($B3,Hitters!$A1:$R401,4,FALSE)</f>
        <v>520.33333333333303</v>
      </c>
      <c r="N3" s="30">
        <f>VLOOKUP($B3,Hitters!$A1:$R401,5,FALSE)</f>
        <v>110.066666666667</v>
      </c>
      <c r="O3" s="30">
        <f>VLOOKUP($B3,Hitters!$A1:$R401,6,FALSE)</f>
        <v>31.133333333333301</v>
      </c>
      <c r="P3" s="30">
        <f>VLOOKUP($B3,Hitters!$A1:$R401,7,FALSE)</f>
        <v>87.633333333333297</v>
      </c>
      <c r="Q3" s="30">
        <f>VLOOKUP($B3,Hitters!$A1:$R401,8,FALSE)</f>
        <v>8.93333333333333</v>
      </c>
      <c r="R3" s="32">
        <f>VLOOKUP($B3,Hitters!$A1:$R401,9,FALSE)</f>
        <v>0.28289557975656598</v>
      </c>
      <c r="S3" s="32">
        <f>VLOOKUP($B3,Hitters!$A1:$R401,10,FALSE)</f>
        <v>0.42835342053175302</v>
      </c>
      <c r="T3" s="30">
        <f>VLOOKUP($B3,Hitters!$A1:$R401,11,FALSE)</f>
        <v>147.19999999999999</v>
      </c>
      <c r="U3" s="30">
        <f>VLOOKUP($B3,Hitters!$A1:$R401,12,FALSE)</f>
        <v>27.266666666666701</v>
      </c>
      <c r="V3" s="30">
        <f>VLOOKUP($B3,Hitters!$A1:$R401,13,FALSE)</f>
        <v>2.0333333333333301</v>
      </c>
      <c r="W3" s="30">
        <f>VLOOKUP($B3,Hitters!$A1:$R401,14,FALSE)</f>
        <v>136.30000000000001</v>
      </c>
      <c r="X3" s="30">
        <f>VLOOKUP($B3,Hitters!$A1:$R401,15,FALSE)</f>
        <v>94.366666666666703</v>
      </c>
      <c r="Y3" s="32">
        <f>VLOOKUP($B3,Hitters!$A1:$R401,16,FALSE)</f>
        <v>0.52261370916079397</v>
      </c>
      <c r="Z3" s="32">
        <f>VLOOKUP($B3,Hitters!$A1:$R401,17,FALSE)</f>
        <v>0.95096712969254704</v>
      </c>
      <c r="AA3" s="30">
        <f>VLOOKUP($B3,Hitters!$A1:$R401,18,FALSE)</f>
        <v>0</v>
      </c>
      <c r="AB3" s="30"/>
      <c r="AC3" s="30"/>
      <c r="AD3" s="32"/>
      <c r="AE3" s="32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</row>
    <row r="4" spans="1:44" ht="18.600000000000001" customHeight="1">
      <c r="A4" s="24">
        <f ca="1">RANK(I4,I$2:I$651)</f>
        <v>1</v>
      </c>
      <c r="B4" s="25" t="s">
        <v>68</v>
      </c>
      <c r="C4" s="26" t="s">
        <v>69</v>
      </c>
      <c r="D4" s="26" t="s">
        <v>70</v>
      </c>
      <c r="E4" s="27" t="s">
        <v>23</v>
      </c>
      <c r="F4" s="28">
        <f ca="1">VLOOKUP(B4,OF!A1:I139,IF(Settings!$J$13="points",4,7),FALSE)</f>
        <v>1</v>
      </c>
      <c r="G4" s="29">
        <f>(M4*Settings!$B$2)+(N4*Settings!$B$3)+(O4*Settings!$B$4)+(P4*Settings!$B$5)+(Q4*Settings!$B$6)+(T4*Settings!$B$9)+(U4*Settings!$B$10)+(V4*Settings!$B$11)+(W4*Settings!$B$12)+(X4*Settings!$B$13)+(AA4*Settings!$B$16)</f>
        <v>623.6166666666669</v>
      </c>
      <c r="H4" s="30">
        <f>VLOOKUP(B4,'Standard Deviations'!$A1:$D651,4,FALSE)</f>
        <v>11.328384419477226</v>
      </c>
      <c r="I4" s="31">
        <f ca="1">VLOOKUP(B4,OF!A1:I139,IF(Settings!$J$13="points",6,9),FALSE)</f>
        <v>11.209668971047435</v>
      </c>
      <c r="J4" s="30"/>
      <c r="K4" s="30">
        <f ca="1">J4-A4</f>
        <v>-1</v>
      </c>
      <c r="L4" s="30"/>
      <c r="M4" s="30">
        <f>VLOOKUP($B4,Hitters!$A1:$R401,4,FALSE)</f>
        <v>534.33333333333303</v>
      </c>
      <c r="N4" s="30">
        <f>VLOOKUP($B4,Hitters!$A1:$R401,5,FALSE)</f>
        <v>108.73333333333299</v>
      </c>
      <c r="O4" s="30">
        <f>VLOOKUP($B4,Hitters!$A1:$R401,6,FALSE)</f>
        <v>44.8</v>
      </c>
      <c r="P4" s="30">
        <f>VLOOKUP($B4,Hitters!$A1:$R401,7,FALSE)</f>
        <v>104.8</v>
      </c>
      <c r="Q4" s="30">
        <f>VLOOKUP($B4,Hitters!$A1:$R401,8,FALSE)</f>
        <v>9.8333333333333304</v>
      </c>
      <c r="R4" s="32">
        <f>VLOOKUP($B4,Hitters!$A1:$R401,9,FALSE)</f>
        <v>0.28814722395508402</v>
      </c>
      <c r="S4" s="32">
        <f>VLOOKUP($B4,Hitters!$A1:$R401,10,FALSE)</f>
        <v>0.38546308147408598</v>
      </c>
      <c r="T4" s="30">
        <f>VLOOKUP($B4,Hitters!$A1:$R401,11,FALSE)</f>
        <v>153.96666666666701</v>
      </c>
      <c r="U4" s="30">
        <f>VLOOKUP($B4,Hitters!$A1:$R401,12,FALSE)</f>
        <v>23.8</v>
      </c>
      <c r="V4" s="30">
        <f>VLOOKUP($B4,Hitters!$A1:$R401,13,FALSE)</f>
        <v>0.53333333333333299</v>
      </c>
      <c r="W4" s="30">
        <f>VLOOKUP($B4,Hitters!$A1:$R401,14,FALSE)</f>
        <v>87.966666666666697</v>
      </c>
      <c r="X4" s="30">
        <f>VLOOKUP($B4,Hitters!$A1:$R401,15,FALSE)</f>
        <v>159.833333333333</v>
      </c>
      <c r="Y4" s="32">
        <f>VLOOKUP($B4,Hitters!$A1:$R401,16,FALSE)</f>
        <v>0.58621334996880803</v>
      </c>
      <c r="Z4" s="32">
        <f>VLOOKUP($B4,Hitters!$A1:$R401,17,FALSE)</f>
        <v>0.97167643144289395</v>
      </c>
      <c r="AA4" s="30">
        <f>VLOOKUP($B4,Hitters!$A1:$R401,18,FALSE)</f>
        <v>0</v>
      </c>
      <c r="AB4" s="30"/>
      <c r="AC4" s="30"/>
      <c r="AD4" s="32"/>
      <c r="AE4" s="32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</row>
    <row r="5" spans="1:44" ht="18.600000000000001" customHeight="1">
      <c r="A5" s="24">
        <f ca="1">RANK(I5,I$2:I$651)</f>
        <v>16</v>
      </c>
      <c r="B5" s="25" t="s">
        <v>94</v>
      </c>
      <c r="C5" s="26" t="s">
        <v>95</v>
      </c>
      <c r="D5" s="26" t="s">
        <v>70</v>
      </c>
      <c r="E5" s="39" t="s">
        <v>7</v>
      </c>
      <c r="F5" s="40">
        <f ca="1">VLOOKUP(B5,'1B'!A1:I63,IF(Settings!$J$13="points",4,7),FALSE)</f>
        <v>1</v>
      </c>
      <c r="G5" s="29">
        <f>(M5*Settings!$B$2)+(N5*Settings!$B$3)+(O5*Settings!$B$4)+(P5*Settings!$B$5)+(Q5*Settings!$B$6)+(T5*Settings!$B$9)+(U5*Settings!$B$10)+(V5*Settings!$B$11)+(W5*Settings!$B$12)+(X5*Settings!$B$13)+(AA5*Settings!$B$16)</f>
        <v>613.89999999999986</v>
      </c>
      <c r="H5" s="30">
        <f>VLOOKUP(B5,'Standard Deviations'!$A1:$D651,4,FALSE)</f>
        <v>9.4681026225587495</v>
      </c>
      <c r="I5" s="31">
        <f ca="1">IF(Settings!$J$15="no",VLOOKUP(B5,'1B'!A1:I63,IF(Settings!$J$13="points",6,9),FALSE),VLOOKUP(B5,'1B+3B'!$A1:$I104,IF(Settings!$J$13="points",6,9),FALSE))</f>
        <v>6.8885759713139345</v>
      </c>
      <c r="J5" s="30"/>
      <c r="K5" s="30">
        <f ca="1">J5-A5</f>
        <v>-16</v>
      </c>
      <c r="L5" s="30"/>
      <c r="M5" s="30">
        <f>VLOOKUP($B5,Hitters!$A1:$R401,4,FALSE)</f>
        <v>582.66666666666697</v>
      </c>
      <c r="N5" s="30">
        <f>VLOOKUP($B5,Hitters!$A1:$R401,5,FALSE)</f>
        <v>100.9</v>
      </c>
      <c r="O5" s="30">
        <f>VLOOKUP($B5,Hitters!$A1:$R401,6,FALSE)</f>
        <v>36.5</v>
      </c>
      <c r="P5" s="30">
        <f>VLOOKUP($B5,Hitters!$A1:$R401,7,FALSE)</f>
        <v>104</v>
      </c>
      <c r="Q5" s="30">
        <f>VLOOKUP($B5,Hitters!$A1:$R401,8,FALSE)</f>
        <v>6.0333333333333297</v>
      </c>
      <c r="R5" s="32">
        <f>VLOOKUP($B5,Hitters!$A1:$R401,9,FALSE)</f>
        <v>0.29113272311212801</v>
      </c>
      <c r="S5" s="32">
        <f>VLOOKUP($B5,Hitters!$A1:$R401,10,FALSE)</f>
        <v>0.359697933227345</v>
      </c>
      <c r="T5" s="30">
        <f>VLOOKUP($B5,Hitters!$A1:$R401,11,FALSE)</f>
        <v>169.63333333333301</v>
      </c>
      <c r="U5" s="30">
        <f>VLOOKUP($B5,Hitters!$A1:$R401,12,FALSE)</f>
        <v>32.5</v>
      </c>
      <c r="V5" s="30">
        <f>VLOOKUP($B5,Hitters!$A1:$R401,13,FALSE)</f>
        <v>0.93333333333333302</v>
      </c>
      <c r="W5" s="30">
        <f>VLOOKUP($B5,Hitters!$A1:$R401,14,FALSE)</f>
        <v>65.6666666666667</v>
      </c>
      <c r="X5" s="30">
        <f>VLOOKUP($B5,Hitters!$A1:$R401,15,FALSE)</f>
        <v>104.333333333333</v>
      </c>
      <c r="Y5" s="32">
        <f>VLOOKUP($B5,Hitters!$A1:$R401,16,FALSE)</f>
        <v>0.53804347826086996</v>
      </c>
      <c r="Z5" s="32">
        <f>VLOOKUP($B5,Hitters!$A1:$R401,17,FALSE)</f>
        <v>0.89774141148821496</v>
      </c>
      <c r="AA5" s="30">
        <f>VLOOKUP($B5,Hitters!$A1:$R401,18,FALSE)</f>
        <v>0</v>
      </c>
      <c r="AB5" s="30"/>
      <c r="AC5" s="30"/>
      <c r="AD5" s="32"/>
      <c r="AE5" s="32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</row>
    <row r="6" spans="1:44" ht="18.600000000000001" customHeight="1">
      <c r="A6" s="24">
        <f ca="1">RANK(I6,I$2:I$651)</f>
        <v>23</v>
      </c>
      <c r="B6" s="25" t="s">
        <v>107</v>
      </c>
      <c r="C6" s="26" t="s">
        <v>82</v>
      </c>
      <c r="D6" s="26" t="s">
        <v>75</v>
      </c>
      <c r="E6" s="39" t="s">
        <v>7</v>
      </c>
      <c r="F6" s="40">
        <f ca="1">VLOOKUP(B6,'1B'!A1:I63,IF(Settings!$J$13="points",4,7),FALSE)</f>
        <v>2</v>
      </c>
      <c r="G6" s="29">
        <f>(M6*Settings!$B$2)+(N6*Settings!$B$3)+(O6*Settings!$B$4)+(P6*Settings!$B$5)+(Q6*Settings!$B$6)+(T6*Settings!$B$9)+(U6*Settings!$B$10)+(V6*Settings!$B$11)+(W6*Settings!$B$12)+(X6*Settings!$B$13)+(AA6*Settings!$B$16)</f>
        <v>603.45000000000027</v>
      </c>
      <c r="H6" s="30">
        <f>VLOOKUP(B6,'Standard Deviations'!$A1:$D651,4,FALSE)</f>
        <v>8.9273219011733111</v>
      </c>
      <c r="I6" s="31">
        <f ca="1">IF(Settings!$J$15="no",VLOOKUP(B6,'1B'!A1:I63,IF(Settings!$J$13="points",6,9),FALSE),VLOOKUP(B6,'1B+3B'!$A1:$I104,IF(Settings!$J$13="points",6,9),FALSE))</f>
        <v>6.3477933771071724</v>
      </c>
      <c r="J6" s="30"/>
      <c r="K6" s="30">
        <f ca="1">J6-A6</f>
        <v>-23</v>
      </c>
      <c r="L6" s="30"/>
      <c r="M6" s="30">
        <f>VLOOKUP($B6,Hitters!$A1:$R401,4,FALSE)</f>
        <v>569</v>
      </c>
      <c r="N6" s="30">
        <f>VLOOKUP($B6,Hitters!$A1:$R401,5,FALSE)</f>
        <v>107.6</v>
      </c>
      <c r="O6" s="30">
        <f>VLOOKUP($B6,Hitters!$A1:$R401,6,FALSE)</f>
        <v>24.6666666666667</v>
      </c>
      <c r="P6" s="30">
        <f>VLOOKUP($B6,Hitters!$A1:$R401,7,FALSE)</f>
        <v>90.6666666666667</v>
      </c>
      <c r="Q6" s="30">
        <f>VLOOKUP($B6,Hitters!$A1:$R401,8,FALSE)</f>
        <v>9.0333333333333297</v>
      </c>
      <c r="R6" s="32">
        <f>VLOOKUP($B6,Hitters!$A1:$R401,9,FALSE)</f>
        <v>0.30755711775043898</v>
      </c>
      <c r="S6" s="32">
        <f>VLOOKUP($B6,Hitters!$A1:$R401,10,FALSE)</f>
        <v>0.390645248174329</v>
      </c>
      <c r="T6" s="30">
        <f>VLOOKUP($B6,Hitters!$A1:$R401,11,FALSE)</f>
        <v>175</v>
      </c>
      <c r="U6" s="30">
        <f>VLOOKUP($B6,Hitters!$A1:$R401,12,FALSE)</f>
        <v>38.1666666666667</v>
      </c>
      <c r="V6" s="30">
        <f>VLOOKUP($B6,Hitters!$A1:$R401,13,FALSE)</f>
        <v>1.86666666666667</v>
      </c>
      <c r="W6" s="30">
        <f>VLOOKUP($B6,Hitters!$A1:$R401,14,FALSE)</f>
        <v>81.233333333333306</v>
      </c>
      <c r="X6" s="30">
        <f>VLOOKUP($B6,Hitters!$A1:$R401,15,FALSE)</f>
        <v>99.433333333333294</v>
      </c>
      <c r="Y6" s="32">
        <f>VLOOKUP($B6,Hitters!$A1:$R401,16,FALSE)</f>
        <v>0.51124780316344498</v>
      </c>
      <c r="Z6" s="32">
        <f>VLOOKUP($B6,Hitters!$A1:$R401,17,FALSE)</f>
        <v>0.90189305133777398</v>
      </c>
      <c r="AA6" s="30">
        <f>VLOOKUP($B6,Hitters!$A1:$R401,18,FALSE)</f>
        <v>0</v>
      </c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</row>
    <row r="7" spans="1:44" ht="18.600000000000001" customHeight="1">
      <c r="A7" s="24">
        <f ca="1">RANK(I7,I$2:I$651)</f>
        <v>7</v>
      </c>
      <c r="B7" s="25" t="s">
        <v>81</v>
      </c>
      <c r="C7" s="26" t="s">
        <v>82</v>
      </c>
      <c r="D7" s="26" t="s">
        <v>75</v>
      </c>
      <c r="E7" s="27" t="s">
        <v>23</v>
      </c>
      <c r="F7" s="28">
        <f ca="1">VLOOKUP(B7,OF!A1:I139,IF(Settings!$J$13="points",4,7),FALSE)</f>
        <v>6</v>
      </c>
      <c r="G7" s="29">
        <f>(M7*Settings!$B$2)+(N7*Settings!$B$3)+(O7*Settings!$B$4)+(P7*Settings!$B$5)+(Q7*Settings!$B$6)+(T7*Settings!$B$9)+(U7*Settings!$B$10)+(V7*Settings!$B$11)+(W7*Settings!$B$12)+(X7*Settings!$B$13)+(AA7*Settings!$B$16)</f>
        <v>595.90000000000055</v>
      </c>
      <c r="H7" s="30">
        <f>VLOOKUP(B7,'Standard Deviations'!$A1:$D651,4,FALSE)</f>
        <v>8.5985605849654068</v>
      </c>
      <c r="I7" s="31">
        <f ca="1">VLOOKUP(B7,OF!A1:I139,IF(Settings!$J$13="points",6,9),FALSE)</f>
        <v>8.4798478349767095</v>
      </c>
      <c r="J7" s="30"/>
      <c r="K7" s="30">
        <f ca="1">J7-A7</f>
        <v>-7</v>
      </c>
      <c r="L7" s="30"/>
      <c r="M7" s="30">
        <f>VLOOKUP($B7,Hitters!$A1:$R401,4,FALSE)</f>
        <v>568</v>
      </c>
      <c r="N7" s="30">
        <f>VLOOKUP($B7,Hitters!$A1:$R401,5,FALSE)</f>
        <v>110.666666666667</v>
      </c>
      <c r="O7" s="30">
        <f>VLOOKUP($B7,Hitters!$A1:$R401,6,FALSE)</f>
        <v>31.066666666666698</v>
      </c>
      <c r="P7" s="30">
        <f>VLOOKUP($B7,Hitters!$A1:$R401,7,FALSE)</f>
        <v>81.6666666666667</v>
      </c>
      <c r="Q7" s="30">
        <f>VLOOKUP($B7,Hitters!$A1:$R401,8,FALSE)</f>
        <v>14.6</v>
      </c>
      <c r="R7" s="32">
        <f>VLOOKUP($B7,Hitters!$A1:$R401,9,FALSE)</f>
        <v>0.272887323943662</v>
      </c>
      <c r="S7" s="32">
        <f>VLOOKUP($B7,Hitters!$A1:$R401,10,FALSE)</f>
        <v>0.34476822435756999</v>
      </c>
      <c r="T7" s="30">
        <f>VLOOKUP($B7,Hitters!$A1:$R401,11,FALSE)</f>
        <v>155</v>
      </c>
      <c r="U7" s="30">
        <f>VLOOKUP($B7,Hitters!$A1:$R401,12,FALSE)</f>
        <v>36.633333333333297</v>
      </c>
      <c r="V7" s="30">
        <f>VLOOKUP($B7,Hitters!$A1:$R401,13,FALSE)</f>
        <v>2.8</v>
      </c>
      <c r="W7" s="30">
        <f>VLOOKUP($B7,Hitters!$A1:$R401,14,FALSE)</f>
        <v>65.3</v>
      </c>
      <c r="X7" s="30">
        <f>VLOOKUP($B7,Hitters!$A1:$R401,15,FALSE)</f>
        <v>103.73333333333299</v>
      </c>
      <c r="Y7" s="32">
        <f>VLOOKUP($B7,Hitters!$A1:$R401,16,FALSE)</f>
        <v>0.51132629107981198</v>
      </c>
      <c r="Z7" s="32">
        <f>VLOOKUP($B7,Hitters!$A1:$R401,17,FALSE)</f>
        <v>0.85609451543738202</v>
      </c>
      <c r="AA7" s="30">
        <f>VLOOKUP($B7,Hitters!$A1:$R401,18,FALSE)</f>
        <v>0</v>
      </c>
      <c r="AB7" s="30"/>
      <c r="AC7" s="30"/>
      <c r="AD7" s="32"/>
      <c r="AE7" s="32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</row>
    <row r="8" spans="1:44" ht="18.600000000000001" customHeight="1">
      <c r="A8" s="24">
        <f ca="1">RANK(I8,I$2:I$651)</f>
        <v>5</v>
      </c>
      <c r="B8" s="25" t="s">
        <v>78</v>
      </c>
      <c r="C8" s="26" t="s">
        <v>79</v>
      </c>
      <c r="D8" s="26" t="s">
        <v>70</v>
      </c>
      <c r="E8" s="27" t="s">
        <v>23</v>
      </c>
      <c r="F8" s="28">
        <f ca="1">VLOOKUP(B8,OF!A1:I139,IF(Settings!$J$13="points",4,7),FALSE)</f>
        <v>4</v>
      </c>
      <c r="G8" s="29">
        <f>(M8*Settings!$B$2)+(N8*Settings!$B$3)+(O8*Settings!$B$4)+(P8*Settings!$B$5)+(Q8*Settings!$B$6)+(T8*Settings!$B$9)+(U8*Settings!$B$10)+(V8*Settings!$B$11)+(W8*Settings!$B$12)+(X8*Settings!$B$13)+(AA8*Settings!$B$16)</f>
        <v>584.68333333333328</v>
      </c>
      <c r="H8" s="30">
        <f>VLOOKUP(B8,'Standard Deviations'!$A1:$D651,4,FALSE)</f>
        <v>9.4799909904711495</v>
      </c>
      <c r="I8" s="31">
        <f ca="1">VLOOKUP(B8,OF!A1:I139,IF(Settings!$J$13="points",6,9),FALSE)</f>
        <v>9.3612785847302984</v>
      </c>
      <c r="J8" s="30"/>
      <c r="K8" s="30">
        <f ca="1">J8-A8</f>
        <v>-5</v>
      </c>
      <c r="L8" s="30"/>
      <c r="M8" s="30">
        <f>VLOOKUP($B8,Hitters!$A1:$R401,4,FALSE)</f>
        <v>553</v>
      </c>
      <c r="N8" s="30">
        <f>VLOOKUP($B8,Hitters!$A1:$R401,5,FALSE)</f>
        <v>85.533333333333303</v>
      </c>
      <c r="O8" s="30">
        <f>VLOOKUP($B8,Hitters!$A1:$R401,6,FALSE)</f>
        <v>31.433333333333302</v>
      </c>
      <c r="P8" s="30">
        <f>VLOOKUP($B8,Hitters!$A1:$R401,7,FALSE)</f>
        <v>100.066666666667</v>
      </c>
      <c r="Q8" s="30">
        <f>VLOOKUP($B8,Hitters!$A1:$R401,8,FALSE)</f>
        <v>20.733333333333299</v>
      </c>
      <c r="R8" s="32">
        <f>VLOOKUP($B8,Hitters!$A1:$R401,9,FALSE)</f>
        <v>0.27709463532248302</v>
      </c>
      <c r="S8" s="32">
        <f>VLOOKUP($B8,Hitters!$A1:$R401,10,FALSE)</f>
        <v>0.34233201174822397</v>
      </c>
      <c r="T8" s="30">
        <f>VLOOKUP($B8,Hitters!$A1:$R401,11,FALSE)</f>
        <v>153.23333333333301</v>
      </c>
      <c r="U8" s="30">
        <f>VLOOKUP($B8,Hitters!$A1:$R401,12,FALSE)</f>
        <v>30.966666666666701</v>
      </c>
      <c r="V8" s="30">
        <f>VLOOKUP($B8,Hitters!$A1:$R401,13,FALSE)</f>
        <v>3.1666666666666701</v>
      </c>
      <c r="W8" s="30">
        <f>VLOOKUP($B8,Hitters!$A1:$R401,14,FALSE)</f>
        <v>57.733333333333299</v>
      </c>
      <c r="X8" s="30">
        <f>VLOOKUP($B8,Hitters!$A1:$R401,15,FALSE)</f>
        <v>101.033333333333</v>
      </c>
      <c r="Y8" s="32">
        <f>VLOOKUP($B8,Hitters!$A1:$R401,16,FALSE)</f>
        <v>0.51506931886678697</v>
      </c>
      <c r="Z8" s="32">
        <f>VLOOKUP($B8,Hitters!$A1:$R401,17,FALSE)</f>
        <v>0.857401330615012</v>
      </c>
      <c r="AA8" s="30">
        <f>VLOOKUP($B8,Hitters!$A1:$R401,18,FALSE)</f>
        <v>0</v>
      </c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</row>
    <row r="9" spans="1:44" ht="18.600000000000001" customHeight="1">
      <c r="A9" s="24">
        <f ca="1">RANK(I9,I$2:I$651)</f>
        <v>6</v>
      </c>
      <c r="B9" s="25" t="s">
        <v>80</v>
      </c>
      <c r="C9" s="26" t="s">
        <v>79</v>
      </c>
      <c r="D9" s="26" t="s">
        <v>70</v>
      </c>
      <c r="E9" s="27" t="s">
        <v>23</v>
      </c>
      <c r="F9" s="28">
        <f ca="1">VLOOKUP(B9,OF!A1:I139,IF(Settings!$J$13="points",4,7),FALSE)</f>
        <v>5</v>
      </c>
      <c r="G9" s="29">
        <f>(M9*Settings!$B$2)+(N9*Settings!$B$3)+(O9*Settings!$B$4)+(P9*Settings!$B$5)+(Q9*Settings!$B$6)+(T9*Settings!$B$9)+(U9*Settings!$B$10)+(V9*Settings!$B$11)+(W9*Settings!$B$12)+(X9*Settings!$B$13)+(AA9*Settings!$B$16)</f>
        <v>577.9000000000002</v>
      </c>
      <c r="H9" s="30">
        <f>VLOOKUP(B9,'Standard Deviations'!$A1:$D651,4,FALSE)</f>
        <v>8.6270973268436002</v>
      </c>
      <c r="I9" s="31">
        <f ca="1">VLOOKUP(B9,OF!A1:I139,IF(Settings!$J$13="points",6,9),FALSE)</f>
        <v>8.5083800462354411</v>
      </c>
      <c r="J9" s="30"/>
      <c r="K9" s="30">
        <f ca="1">J9-A9</f>
        <v>-6</v>
      </c>
      <c r="L9" s="30"/>
      <c r="M9" s="30">
        <f>VLOOKUP($B9,Hitters!$A1:$R401,4,FALSE)</f>
        <v>525.33333333333303</v>
      </c>
      <c r="N9" s="30">
        <f>VLOOKUP($B9,Hitters!$A1:$R401,5,FALSE)</f>
        <v>95.933333333333294</v>
      </c>
      <c r="O9" s="30">
        <f>VLOOKUP($B9,Hitters!$A1:$R401,6,FALSE)</f>
        <v>36.6</v>
      </c>
      <c r="P9" s="30">
        <f>VLOOKUP($B9,Hitters!$A1:$R401,7,FALSE)</f>
        <v>105.866666666667</v>
      </c>
      <c r="Q9" s="30">
        <f>VLOOKUP($B9,Hitters!$A1:$R401,8,FALSE)</f>
        <v>1.56666666666667</v>
      </c>
      <c r="R9" s="32">
        <f>VLOOKUP($B9,Hitters!$A1:$R401,9,FALSE)</f>
        <v>0.290291878172589</v>
      </c>
      <c r="S9" s="32">
        <f>VLOOKUP($B9,Hitters!$A1:$R401,10,FALSE)</f>
        <v>0.37203946275729999</v>
      </c>
      <c r="T9" s="30">
        <f>VLOOKUP($B9,Hitters!$A1:$R401,11,FALSE)</f>
        <v>152.5</v>
      </c>
      <c r="U9" s="30">
        <f>VLOOKUP($B9,Hitters!$A1:$R401,12,FALSE)</f>
        <v>30.033333333333299</v>
      </c>
      <c r="V9" s="30">
        <f>VLOOKUP($B9,Hitters!$A1:$R401,13,FALSE)</f>
        <v>2.06666666666667</v>
      </c>
      <c r="W9" s="30">
        <f>VLOOKUP($B9,Hitters!$A1:$R401,14,FALSE)</f>
        <v>71.5</v>
      </c>
      <c r="X9" s="30">
        <f>VLOOKUP($B9,Hitters!$A1:$R401,15,FALSE)</f>
        <v>127.4</v>
      </c>
      <c r="Y9" s="32">
        <f>VLOOKUP($B9,Hitters!$A1:$R401,16,FALSE)</f>
        <v>0.56434010152284297</v>
      </c>
      <c r="Z9" s="32">
        <f>VLOOKUP($B9,Hitters!$A1:$R401,17,FALSE)</f>
        <v>0.93637956428014202</v>
      </c>
      <c r="AA9" s="30">
        <f>VLOOKUP($B9,Hitters!$A1:$R401,18,FALSE)</f>
        <v>0</v>
      </c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</row>
    <row r="10" spans="1:44" ht="18.600000000000001" customHeight="1">
      <c r="A10" s="24">
        <f ca="1">RANK(I10,I$2:I$651)</f>
        <v>14</v>
      </c>
      <c r="B10" s="25" t="s">
        <v>91</v>
      </c>
      <c r="C10" s="26" t="s">
        <v>92</v>
      </c>
      <c r="D10" s="26" t="s">
        <v>75</v>
      </c>
      <c r="E10" s="37" t="s">
        <v>27</v>
      </c>
      <c r="F10" s="38">
        <f ca="1">VLOOKUP(B10,SS!A1:I45,IF(Settings!$J$13="points",4,7),FALSE)</f>
        <v>1</v>
      </c>
      <c r="G10" s="29">
        <f>(M10*Settings!$B$2)+(N10*Settings!$B$3)+(O10*Settings!$B$4)+(P10*Settings!$B$5)+(Q10*Settings!$B$6)+(T10*Settings!$B$9)+(U10*Settings!$B$10)+(V10*Settings!$B$11)+(W10*Settings!$B$12)+(X10*Settings!$B$13)+(AA10*Settings!$B$16)</f>
        <v>571.36666666666656</v>
      </c>
      <c r="H10" s="30">
        <f>VLOOKUP(B10,'Standard Deviations'!$A1:$D651,4,FALSE)</f>
        <v>10.070431365491604</v>
      </c>
      <c r="I10" s="31">
        <f ca="1">IF(Settings!$J$16="no",VLOOKUP(B10,SS!A1:I45,IF(Settings!$J$13="points",6,9),FALSE),VLOOKUP(B10,'2B+SS'!$A1:$I94,IF(Settings!$J$13="points",6,9),FALSE))</f>
        <v>7.0660098594574023</v>
      </c>
      <c r="J10" s="30"/>
      <c r="K10" s="30">
        <f ca="1">J10-A10</f>
        <v>-14</v>
      </c>
      <c r="L10" s="30"/>
      <c r="M10" s="30">
        <f>VLOOKUP($B10,Hitters!$A1:$R401,4,FALSE)</f>
        <v>607</v>
      </c>
      <c r="N10" s="30">
        <f>VLOOKUP($B10,Hitters!$A1:$R401,5,FALSE)</f>
        <v>99.3</v>
      </c>
      <c r="O10" s="30">
        <f>VLOOKUP($B10,Hitters!$A1:$R401,6,FALSE)</f>
        <v>21.8333333333333</v>
      </c>
      <c r="P10" s="30">
        <f>VLOOKUP($B10,Hitters!$A1:$R401,7,FALSE)</f>
        <v>80.099999999999994</v>
      </c>
      <c r="Q10" s="30">
        <f>VLOOKUP($B10,Hitters!$A1:$R401,8,FALSE)</f>
        <v>27.6666666666667</v>
      </c>
      <c r="R10" s="32">
        <f>VLOOKUP($B10,Hitters!$A1:$R401,9,FALSE)</f>
        <v>0.29851729818780898</v>
      </c>
      <c r="S10" s="32">
        <f>VLOOKUP($B10,Hitters!$A1:$R401,10,FALSE)</f>
        <v>0.34353291683767301</v>
      </c>
      <c r="T10" s="30">
        <f>VLOOKUP($B10,Hitters!$A1:$R401,11,FALSE)</f>
        <v>181.2</v>
      </c>
      <c r="U10" s="30">
        <f>VLOOKUP($B10,Hitters!$A1:$R401,12,FALSE)</f>
        <v>34.700000000000003</v>
      </c>
      <c r="V10" s="30">
        <f>VLOOKUP($B10,Hitters!$A1:$R401,13,FALSE)</f>
        <v>4.0999999999999996</v>
      </c>
      <c r="W10" s="30">
        <f>VLOOKUP($B10,Hitters!$A1:$R401,14,FALSE)</f>
        <v>44.8</v>
      </c>
      <c r="X10" s="30">
        <f>VLOOKUP($B10,Hitters!$A1:$R401,15,FALSE)</f>
        <v>116.8</v>
      </c>
      <c r="Y10" s="32">
        <f>VLOOKUP($B10,Hitters!$A1:$R401,16,FALSE)</f>
        <v>0.47710049423393702</v>
      </c>
      <c r="Z10" s="32">
        <f>VLOOKUP($B10,Hitters!$A1:$R401,17,FALSE)</f>
        <v>0.82063341107161003</v>
      </c>
      <c r="AA10" s="30">
        <f>VLOOKUP($B10,Hitters!$A1:$R401,18,FALSE)</f>
        <v>0</v>
      </c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</row>
    <row r="11" spans="1:44" ht="18.600000000000001" customHeight="1">
      <c r="A11" s="24">
        <f ca="1">RANK(I11,I$2:I$651)</f>
        <v>12</v>
      </c>
      <c r="B11" s="25" t="s">
        <v>89</v>
      </c>
      <c r="C11" s="26" t="s">
        <v>64</v>
      </c>
      <c r="D11" s="26" t="s">
        <v>75</v>
      </c>
      <c r="E11" s="33" t="s">
        <v>15</v>
      </c>
      <c r="F11" s="34">
        <f ca="1">VLOOKUP(B11,'3B'!A1:I55,IF(Settings!$J$13="points",4,7),FALSE)</f>
        <v>2</v>
      </c>
      <c r="G11" s="29">
        <f>(M11*Settings!$B$2)+(N11*Settings!$B$3)+(O11*Settings!$B$4)+(P11*Settings!$B$5)+(Q11*Settings!$B$6)+(T11*Settings!$B$9)+(U11*Settings!$B$10)+(V11*Settings!$B$11)+(W11*Settings!$B$12)+(X11*Settings!$B$13)+(AA11*Settings!$B$16)</f>
        <v>561.16666666666629</v>
      </c>
      <c r="H11" s="30">
        <f>VLOOKUP(B11,'Standard Deviations'!$A1:$D651,4,FALSE)</f>
        <v>8.0309675513958432</v>
      </c>
      <c r="I11" s="31">
        <f ca="1">IF(Settings!$J$15="no",VLOOKUP(B11,'3B'!A1:I55,IF(Settings!$J$13="points",6,9),FALSE),VLOOKUP(B11,'1B+3B'!$A1:$I104,IF(Settings!$J$13="points",6,9),FALSE))</f>
        <v>7.3032882831657577</v>
      </c>
      <c r="J11" s="30"/>
      <c r="K11" s="30">
        <f ca="1">J11-A11</f>
        <v>-12</v>
      </c>
      <c r="L11" s="30"/>
      <c r="M11" s="30">
        <f>VLOOKUP($B11,Hitters!$A1:$R401,4,FALSE)</f>
        <v>567</v>
      </c>
      <c r="N11" s="30">
        <f>VLOOKUP($B11,Hitters!$A1:$R401,5,FALSE)</f>
        <v>92.766666666666694</v>
      </c>
      <c r="O11" s="30">
        <f>VLOOKUP($B11,Hitters!$A1:$R401,6,FALSE)</f>
        <v>30.033333333333299</v>
      </c>
      <c r="P11" s="30">
        <f>VLOOKUP($B11,Hitters!$A1:$R401,7,FALSE)</f>
        <v>98.533333333333303</v>
      </c>
      <c r="Q11" s="30">
        <f>VLOOKUP($B11,Hitters!$A1:$R401,8,FALSE)</f>
        <v>9.6333333333333293</v>
      </c>
      <c r="R11" s="32">
        <f>VLOOKUP($B11,Hitters!$A1:$R401,9,FALSE)</f>
        <v>0.279952968841858</v>
      </c>
      <c r="S11" s="32">
        <f>VLOOKUP($B11,Hitters!$A1:$R401,10,FALSE)</f>
        <v>0.34830570293517199</v>
      </c>
      <c r="T11" s="30">
        <f>VLOOKUP($B11,Hitters!$A1:$R401,11,FALSE)</f>
        <v>158.73333333333301</v>
      </c>
      <c r="U11" s="30">
        <f>VLOOKUP($B11,Hitters!$A1:$R401,12,FALSE)</f>
        <v>32.066666666666698</v>
      </c>
      <c r="V11" s="30">
        <f>VLOOKUP($B11,Hitters!$A1:$R401,13,FALSE)</f>
        <v>1.4</v>
      </c>
      <c r="W11" s="30">
        <f>VLOOKUP($B11,Hitters!$A1:$R401,14,FALSE)</f>
        <v>62.5</v>
      </c>
      <c r="X11" s="30">
        <f>VLOOKUP($B11,Hitters!$A1:$R401,15,FALSE)</f>
        <v>118.2</v>
      </c>
      <c r="Y11" s="32">
        <f>VLOOKUP($B11,Hitters!$A1:$R401,16,FALSE)</f>
        <v>0.50035273368606703</v>
      </c>
      <c r="Z11" s="32">
        <f>VLOOKUP($B11,Hitters!$A1:$R401,17,FALSE)</f>
        <v>0.84865843662123897</v>
      </c>
      <c r="AA11" s="30">
        <f>VLOOKUP($B11,Hitters!$A1:$R401,18,FALSE)</f>
        <v>0</v>
      </c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</row>
    <row r="12" spans="1:44" ht="18.600000000000001" customHeight="1">
      <c r="A12" s="24">
        <f ca="1">RANK(I12,I$2:I$651)</f>
        <v>30</v>
      </c>
      <c r="B12" s="25" t="s">
        <v>84</v>
      </c>
      <c r="C12" s="26" t="s">
        <v>85</v>
      </c>
      <c r="D12" s="26" t="s">
        <v>70</v>
      </c>
      <c r="E12" s="43" t="s">
        <v>114</v>
      </c>
      <c r="F12" s="44">
        <f ca="1">VLOOKUP(B12,'1B'!A1:I63,IF(Settings!$J$13="points",4,7),FALSE)</f>
        <v>3</v>
      </c>
      <c r="G12" s="29">
        <f>(M12*Settings!$B$2)+(N12*Settings!$B$3)+(O12*Settings!$B$4)+(P12*Settings!$B$5)+(Q12*Settings!$B$6)+(T12*Settings!$B$9)+(U12*Settings!$B$10)+(V12*Settings!$B$11)+(W12*Settings!$B$12)+(X12*Settings!$B$13)+(AA12*Settings!$B$16)</f>
        <v>560.99999999999955</v>
      </c>
      <c r="H12" s="30">
        <f>VLOOKUP(B12,'Standard Deviations'!$A1:$D651,4,FALSE)</f>
        <v>8.4858455675376554</v>
      </c>
      <c r="I12" s="31">
        <f ca="1">VLOOKUP(B12,'1B'!A1:I63,IF(Settings!$J$13="points",6,9),FALSE)</f>
        <v>5.9063147358553456</v>
      </c>
      <c r="J12" s="30"/>
      <c r="K12" s="30">
        <f ca="1">J12-A12</f>
        <v>-30</v>
      </c>
      <c r="L12" s="30"/>
      <c r="M12" s="30">
        <f>VLOOKUP($B12,Hitters!$A1:$R401,4,FALSE)</f>
        <v>539</v>
      </c>
      <c r="N12" s="30">
        <f>VLOOKUP($B12,Hitters!$A1:$R401,5,FALSE)</f>
        <v>93.233333333333306</v>
      </c>
      <c r="O12" s="30">
        <f>VLOOKUP($B12,Hitters!$A1:$R401,6,FALSE)</f>
        <v>34.266666666666701</v>
      </c>
      <c r="P12" s="30">
        <f>VLOOKUP($B12,Hitters!$A1:$R401,7,FALSE)</f>
        <v>92.7</v>
      </c>
      <c r="Q12" s="30">
        <f>VLOOKUP($B12,Hitters!$A1:$R401,8,FALSE)</f>
        <v>17.133333333333301</v>
      </c>
      <c r="R12" s="32">
        <f>VLOOKUP($B12,Hitters!$A1:$R401,9,FALSE)</f>
        <v>0.26035868893011799</v>
      </c>
      <c r="S12" s="32">
        <f>VLOOKUP($B12,Hitters!$A1:$R401,10,FALSE)</f>
        <v>0.34828518739549602</v>
      </c>
      <c r="T12" s="30">
        <f>VLOOKUP($B12,Hitters!$A1:$R401,11,FALSE)</f>
        <v>140.333333333333</v>
      </c>
      <c r="U12" s="30">
        <f>VLOOKUP($B12,Hitters!$A1:$R401,12,FALSE)</f>
        <v>27.1666666666667</v>
      </c>
      <c r="V12" s="30">
        <f>VLOOKUP($B12,Hitters!$A1:$R401,13,FALSE)</f>
        <v>4.8333333333333304</v>
      </c>
      <c r="W12" s="30">
        <f>VLOOKUP($B12,Hitters!$A1:$R401,14,FALSE)</f>
        <v>75.599999999999994</v>
      </c>
      <c r="X12" s="30">
        <f>VLOOKUP($B12,Hitters!$A1:$R401,15,FALSE)</f>
        <v>162.066666666667</v>
      </c>
      <c r="Y12" s="32">
        <f>VLOOKUP($B12,Hitters!$A1:$R401,16,FALSE)</f>
        <v>0.51941867656153395</v>
      </c>
      <c r="Z12" s="32">
        <f>VLOOKUP($B12,Hitters!$A1:$R401,17,FALSE)</f>
        <v>0.86770386395702903</v>
      </c>
      <c r="AA12" s="30">
        <f>VLOOKUP($B12,Hitters!$A1:$R401,18,FALSE)</f>
        <v>0</v>
      </c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</row>
    <row r="13" spans="1:44" ht="18.600000000000001" customHeight="1">
      <c r="A13" s="24">
        <f ca="1">RANK(I13,I$2:I$651)</f>
        <v>41</v>
      </c>
      <c r="B13" s="25" t="s">
        <v>129</v>
      </c>
      <c r="C13" s="26" t="s">
        <v>97</v>
      </c>
      <c r="D13" s="26" t="s">
        <v>75</v>
      </c>
      <c r="E13" s="39" t="s">
        <v>7</v>
      </c>
      <c r="F13" s="40">
        <f ca="1">VLOOKUP(B13,'1B'!A1:I63,IF(Settings!$J$13="points",4,7),FALSE)</f>
        <v>4</v>
      </c>
      <c r="G13" s="29">
        <f>(M13*Settings!$B$2)+(N13*Settings!$B$3)+(O13*Settings!$B$4)+(P13*Settings!$B$5)+(Q13*Settings!$B$6)+(T13*Settings!$B$9)+(U13*Settings!$B$10)+(V13*Settings!$B$11)+(W13*Settings!$B$12)+(X13*Settings!$B$13)+(AA13*Settings!$B$16)</f>
        <v>560.31666666666763</v>
      </c>
      <c r="H13" s="30">
        <f>VLOOKUP(B13,'Standard Deviations'!$A1:$D651,4,FALSE)</f>
        <v>7.6621743959130857</v>
      </c>
      <c r="I13" s="31">
        <f ca="1">IF(Settings!$J$15="no",VLOOKUP(B13,'1B'!A1:I63,IF(Settings!$J$13="points",6,9),FALSE),VLOOKUP(B13,'1B+3B'!$A1:$I104,IF(Settings!$J$13="points",6,9),FALSE))</f>
        <v>5.0826442913231036</v>
      </c>
      <c r="J13" s="30"/>
      <c r="K13" s="30">
        <f ca="1">J13-A13</f>
        <v>-41</v>
      </c>
      <c r="L13" s="30"/>
      <c r="M13" s="30">
        <f>VLOOKUP($B13,Hitters!$A1:$R401,4,FALSE)</f>
        <v>563.33333333333303</v>
      </c>
      <c r="N13" s="30">
        <f>VLOOKUP($B13,Hitters!$A1:$R401,5,FALSE)</f>
        <v>88.566666666666706</v>
      </c>
      <c r="O13" s="30">
        <f>VLOOKUP($B13,Hitters!$A1:$R401,6,FALSE)</f>
        <v>38.066666666666698</v>
      </c>
      <c r="P13" s="30">
        <f>VLOOKUP($B13,Hitters!$A1:$R401,7,FALSE)</f>
        <v>109.26666666666701</v>
      </c>
      <c r="Q13" s="30">
        <f>VLOOKUP($B13,Hitters!$A1:$R401,8,FALSE)</f>
        <v>3.7333333333333298</v>
      </c>
      <c r="R13" s="32">
        <f>VLOOKUP($B13,Hitters!$A1:$R401,9,FALSE)</f>
        <v>0.26372781065088802</v>
      </c>
      <c r="S13" s="32">
        <f>VLOOKUP($B13,Hitters!$A1:$R401,10,FALSE)</f>
        <v>0.33624546076522299</v>
      </c>
      <c r="T13" s="30">
        <f>VLOOKUP($B13,Hitters!$A1:$R401,11,FALSE)</f>
        <v>148.566666666667</v>
      </c>
      <c r="U13" s="30">
        <f>VLOOKUP($B13,Hitters!$A1:$R401,12,FALSE)</f>
        <v>25.2</v>
      </c>
      <c r="V13" s="30">
        <f>VLOOKUP($B13,Hitters!$A1:$R401,13,FALSE)</f>
        <v>1.0333333333333301</v>
      </c>
      <c r="W13" s="30">
        <f>VLOOKUP($B13,Hitters!$A1:$R401,14,FALSE)</f>
        <v>64.400000000000006</v>
      </c>
      <c r="X13" s="30">
        <f>VLOOKUP($B13,Hitters!$A1:$R401,15,FALSE)</f>
        <v>127.433333333333</v>
      </c>
      <c r="Y13" s="32">
        <f>VLOOKUP($B13,Hitters!$A1:$R401,16,FALSE)</f>
        <v>0.51485207100591701</v>
      </c>
      <c r="Z13" s="32">
        <f>VLOOKUP($B13,Hitters!$A1:$R401,17,FALSE)</f>
        <v>0.85109753177114</v>
      </c>
      <c r="AA13" s="30">
        <f>VLOOKUP($B13,Hitters!$A1:$R401,18,FALSE)</f>
        <v>0</v>
      </c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</row>
    <row r="14" spans="1:44" ht="18.600000000000001" customHeight="1">
      <c r="A14" s="24">
        <f ca="1">RANK(I14,I$2:I$651)</f>
        <v>2</v>
      </c>
      <c r="B14" s="25" t="s">
        <v>71</v>
      </c>
      <c r="C14" s="26" t="s">
        <v>72</v>
      </c>
      <c r="D14" s="26" t="s">
        <v>70</v>
      </c>
      <c r="E14" s="27" t="s">
        <v>23</v>
      </c>
      <c r="F14" s="28">
        <f ca="1">VLOOKUP(B14,OF!A1:I139,IF(Settings!$J$13="points",4,7),FALSE)</f>
        <v>2</v>
      </c>
      <c r="G14" s="29">
        <f>(M14*Settings!$B$2)+(N14*Settings!$B$3)+(O14*Settings!$B$4)+(P14*Settings!$B$5)+(Q14*Settings!$B$6)+(T14*Settings!$B$9)+(U14*Settings!$B$10)+(V14*Settings!$B$11)+(W14*Settings!$B$12)+(X14*Settings!$B$13)+(AA14*Settings!$B$16)</f>
        <v>555.26666666666608</v>
      </c>
      <c r="H14" s="30">
        <f>VLOOKUP(B14,'Standard Deviations'!$A1:$D651,4,FALSE)</f>
        <v>9.9327995308703603</v>
      </c>
      <c r="I14" s="31">
        <f ca="1">VLOOKUP(B14,OF!A1:I139,IF(Settings!$J$13="points",6,9),FALSE)</f>
        <v>9.814084967329455</v>
      </c>
      <c r="J14" s="30"/>
      <c r="K14" s="30">
        <f ca="1">J14-A14</f>
        <v>-2</v>
      </c>
      <c r="L14" s="30"/>
      <c r="M14" s="30">
        <f>VLOOKUP($B14,Hitters!$A1:$R401,4,FALSE)</f>
        <v>579</v>
      </c>
      <c r="N14" s="30">
        <f>VLOOKUP($B14,Hitters!$A1:$R401,5,FALSE)</f>
        <v>96.6</v>
      </c>
      <c r="O14" s="30">
        <f>VLOOKUP($B14,Hitters!$A1:$R401,6,FALSE)</f>
        <v>30.2</v>
      </c>
      <c r="P14" s="30">
        <f>VLOOKUP($B14,Hitters!$A1:$R401,7,FALSE)</f>
        <v>82.5</v>
      </c>
      <c r="Q14" s="30">
        <f>VLOOKUP($B14,Hitters!$A1:$R401,8,FALSE)</f>
        <v>26.033333333333299</v>
      </c>
      <c r="R14" s="32">
        <f>VLOOKUP($B14,Hitters!$A1:$R401,9,FALSE)</f>
        <v>0.279504893494531</v>
      </c>
      <c r="S14" s="32">
        <f>VLOOKUP($B14,Hitters!$A1:$R401,10,FALSE)</f>
        <v>0.33265487516895698</v>
      </c>
      <c r="T14" s="30">
        <f>VLOOKUP($B14,Hitters!$A1:$R401,11,FALSE)</f>
        <v>161.833333333333</v>
      </c>
      <c r="U14" s="30">
        <f>VLOOKUP($B14,Hitters!$A1:$R401,12,FALSE)</f>
        <v>30.9</v>
      </c>
      <c r="V14" s="30">
        <f>VLOOKUP($B14,Hitters!$A1:$R401,13,FALSE)</f>
        <v>3.3</v>
      </c>
      <c r="W14" s="30">
        <f>VLOOKUP($B14,Hitters!$A1:$R401,14,FALSE)</f>
        <v>49</v>
      </c>
      <c r="X14" s="30">
        <f>VLOOKUP($B14,Hitters!$A1:$R401,15,FALSE)</f>
        <v>158.46666666666701</v>
      </c>
      <c r="Y14" s="32">
        <f>VLOOKUP($B14,Hitters!$A1:$R401,16,FALSE)</f>
        <v>0.50074841681059301</v>
      </c>
      <c r="Z14" s="32">
        <f>VLOOKUP($B14,Hitters!$A1:$R401,17,FALSE)</f>
        <v>0.83340329197954999</v>
      </c>
      <c r="AA14" s="30">
        <f>VLOOKUP($B14,Hitters!$A1:$R401,18,FALSE)</f>
        <v>0</v>
      </c>
      <c r="AB14" s="30"/>
      <c r="AC14" s="30"/>
      <c r="AD14" s="32"/>
      <c r="AE14" s="32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</row>
    <row r="15" spans="1:44" ht="18.600000000000001" customHeight="1">
      <c r="A15" s="24">
        <f ca="1">RANK(I15,I$2:I$651)</f>
        <v>3</v>
      </c>
      <c r="B15" s="25" t="s">
        <v>73</v>
      </c>
      <c r="C15" s="26" t="s">
        <v>74</v>
      </c>
      <c r="D15" s="26" t="s">
        <v>75</v>
      </c>
      <c r="E15" s="27" t="s">
        <v>23</v>
      </c>
      <c r="F15" s="28">
        <f ca="1">VLOOKUP(B15,OF!A1:I139,IF(Settings!$J$13="points",4,7),FALSE)</f>
        <v>3</v>
      </c>
      <c r="G15" s="29">
        <f>(M15*Settings!$B$2)+(N15*Settings!$B$3)+(O15*Settings!$B$4)+(P15*Settings!$B$5)+(Q15*Settings!$B$6)+(T15*Settings!$B$9)+(U15*Settings!$B$10)+(V15*Settings!$B$11)+(W15*Settings!$B$12)+(X15*Settings!$B$13)+(AA15*Settings!$B$16)</f>
        <v>554.61666666666656</v>
      </c>
      <c r="H15" s="30">
        <f>VLOOKUP(B15,'Standard Deviations'!$A1:$D651,4,FALSE)</f>
        <v>9.9261003976096891</v>
      </c>
      <c r="I15" s="31">
        <f ca="1">VLOOKUP(B15,OF!A1:I139,IF(Settings!$J$13="points",6,9),FALSE)</f>
        <v>9.8073864930609584</v>
      </c>
      <c r="J15" s="30"/>
      <c r="K15" s="30">
        <f ca="1">J15-A15</f>
        <v>-3</v>
      </c>
      <c r="L15" s="30"/>
      <c r="M15" s="30">
        <f>VLOOKUP($B15,Hitters!$A1:$R401,4,FALSE)</f>
        <v>531.33333333333303</v>
      </c>
      <c r="N15" s="30">
        <f>VLOOKUP($B15,Hitters!$A1:$R401,5,FALSE)</f>
        <v>102.566666666667</v>
      </c>
      <c r="O15" s="30">
        <f>VLOOKUP($B15,Hitters!$A1:$R401,6,FALSE)</f>
        <v>27.466666666666701</v>
      </c>
      <c r="P15" s="30">
        <f>VLOOKUP($B15,Hitters!$A1:$R401,7,FALSE)</f>
        <v>72.933333333333294</v>
      </c>
      <c r="Q15" s="30">
        <f>VLOOKUP($B15,Hitters!$A1:$R401,8,FALSE)</f>
        <v>32.433333333333302</v>
      </c>
      <c r="R15" s="32">
        <f>VLOOKUP($B15,Hitters!$A1:$R401,9,FALSE)</f>
        <v>0.27013801756587202</v>
      </c>
      <c r="S15" s="32">
        <f>VLOOKUP($B15,Hitters!$A1:$R401,10,FALSE)</f>
        <v>0.35637490858683402</v>
      </c>
      <c r="T15" s="30">
        <f>VLOOKUP($B15,Hitters!$A1:$R401,11,FALSE)</f>
        <v>143.53333333333299</v>
      </c>
      <c r="U15" s="30">
        <f>VLOOKUP($B15,Hitters!$A1:$R401,12,FALSE)</f>
        <v>29.1</v>
      </c>
      <c r="V15" s="30">
        <f>VLOOKUP($B15,Hitters!$A1:$R401,13,FALSE)</f>
        <v>0.63333333333333297</v>
      </c>
      <c r="W15" s="30">
        <f>VLOOKUP($B15,Hitters!$A1:$R401,14,FALSE)</f>
        <v>74.133333333333297</v>
      </c>
      <c r="X15" s="30">
        <f>VLOOKUP($B15,Hitters!$A1:$R401,15,FALSE)</f>
        <v>146.76666666666699</v>
      </c>
      <c r="Y15" s="32">
        <f>VLOOKUP($B15,Hitters!$A1:$R401,16,FALSE)</f>
        <v>0.48237139272271001</v>
      </c>
      <c r="Z15" s="32">
        <f>VLOOKUP($B15,Hitters!$A1:$R401,17,FALSE)</f>
        <v>0.83874630130954397</v>
      </c>
      <c r="AA15" s="30">
        <f>VLOOKUP($B15,Hitters!$A1:$R401,18,FALSE)</f>
        <v>0</v>
      </c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</row>
    <row r="16" spans="1:44" ht="18.600000000000001" customHeight="1">
      <c r="A16" s="24">
        <f ca="1">RANK(I16,I$2:I$651)</f>
        <v>15</v>
      </c>
      <c r="B16" s="25" t="s">
        <v>93</v>
      </c>
      <c r="C16" s="26" t="s">
        <v>69</v>
      </c>
      <c r="D16" s="26" t="s">
        <v>70</v>
      </c>
      <c r="E16" s="35" t="s">
        <v>31</v>
      </c>
      <c r="F16" s="36">
        <f ca="1">VLOOKUP(B16,SP!A1:I161,IF(Settings!$J$13="points",4,7),FALSE)</f>
        <v>3</v>
      </c>
      <c r="G16" s="29">
        <f>(AC16*Settings!$F$2)+(AF16*Settings!$F$5)+(AG16*Settings!$F$6)+(AH16*Settings!$F$7)+(AI16*Settings!$F$8)+(AJ16*Settings!$F$9)+(AK16*Settings!$F$10)+(AL16*Settings!$F$11)+(AM16*Settings!$F$12)+(AN16*Settings!$F$13)+(AO16*Settings!$F$14)+(AP16*Settings!$F$15)+(AQ16*Settings!$F$16)+(AR16*Settings!$F$17)</f>
        <v>550.55000000000018</v>
      </c>
      <c r="H16" s="30">
        <f>VLOOKUP(B16,'Standard Deviations'!$A1:$D651,4,FALSE)</f>
        <v>7.166949272117388</v>
      </c>
      <c r="I16" s="31">
        <f ca="1">IF(Settings!$J$16="no",VLOOKUP(B16,SP!A1:I161,IF(Settings!$J$13="points",6,9),FALSE),VLOOKUP(B16,'SP+RP'!$A1:$I251,IF(Settings!$J$13="points",6,9),FALSE))</f>
        <v>7.0309626052911858</v>
      </c>
      <c r="J16" s="30"/>
      <c r="K16" s="30">
        <f ca="1">J16-A16</f>
        <v>-15</v>
      </c>
      <c r="L16" s="30"/>
      <c r="M16" s="30"/>
      <c r="N16" s="30"/>
      <c r="O16" s="30"/>
      <c r="P16" s="30"/>
      <c r="Q16" s="30"/>
      <c r="R16" s="32"/>
      <c r="S16" s="32"/>
      <c r="T16" s="30"/>
      <c r="U16" s="30"/>
      <c r="V16" s="30"/>
      <c r="W16" s="30"/>
      <c r="X16" s="30"/>
      <c r="Y16" s="32"/>
      <c r="Z16" s="32"/>
      <c r="AA16" s="30"/>
      <c r="AB16" s="30"/>
      <c r="AC16" s="30">
        <f>VLOOKUP($B16,Pitchers!$A1:$S251,4,FALSE)</f>
        <v>192.6</v>
      </c>
      <c r="AD16" s="32">
        <f>VLOOKUP($B16,Pitchers!$A1:$S251,5,FALSE)</f>
        <v>3.2959501557632396</v>
      </c>
      <c r="AE16" s="32">
        <f>VLOOKUP($B16,Pitchers!$A1:$S251,6,FALSE)</f>
        <v>1.0441329179646937</v>
      </c>
      <c r="AF16" s="30">
        <f>VLOOKUP($B16,Pitchers!$A1:$S251,7,FALSE)</f>
        <v>242.9</v>
      </c>
      <c r="AG16" s="30">
        <f>VLOOKUP($B16,Pitchers!$A1:$S251,8,FALSE)</f>
        <v>14.133333333333333</v>
      </c>
      <c r="AH16" s="30">
        <f>VLOOKUP($B16,Pitchers!$A1:$S251,9,FALSE)</f>
        <v>0</v>
      </c>
      <c r="AI16" s="30">
        <f>VLOOKUP($B16,Pitchers!$A1:$S251,10,FALSE)</f>
        <v>70.533333333333331</v>
      </c>
      <c r="AJ16" s="30">
        <f>VLOOKUP($B16,Pitchers!$A1:$S251,11,FALSE)</f>
        <v>153.79999999999998</v>
      </c>
      <c r="AK16" s="30">
        <f>VLOOKUP($B16,Pitchers!$A1:$S251,12,FALSE)</f>
        <v>47.300000000000004</v>
      </c>
      <c r="AL16" s="30">
        <f>VLOOKUP($B16,Pitchers!$A1:$S251,13,FALSE)</f>
        <v>25</v>
      </c>
      <c r="AM16" s="30">
        <f>VLOOKUP($B16,Pitchers!$A1:$S251,14,FALSE)</f>
        <v>31.599999999999998</v>
      </c>
      <c r="AN16" s="30">
        <f>VLOOKUP($B16,Pitchers!$A1:$S251,15,FALSE)</f>
        <v>31.599999999999998</v>
      </c>
      <c r="AO16" s="30">
        <f>VLOOKUP($B16,Pitchers!$A1:$S251,16,FALSE)</f>
        <v>7.8</v>
      </c>
      <c r="AP16" s="30">
        <f>VLOOKUP($B16,Pitchers!$A1:$S251,17,FALSE)</f>
        <v>21</v>
      </c>
      <c r="AQ16" s="30">
        <f>VLOOKUP($B16,Pitchers!$A1:$S251,18,FALSE)</f>
        <v>0</v>
      </c>
      <c r="AR16" s="30">
        <f>VLOOKUP($B16,Pitchers!$A1:$S251,19,FALSE)</f>
        <v>0</v>
      </c>
    </row>
    <row r="17" spans="1:44" ht="18.600000000000001" customHeight="1">
      <c r="A17" s="24">
        <f ca="1">RANK(I17,I$2:I$651)</f>
        <v>21</v>
      </c>
      <c r="B17" s="25" t="s">
        <v>104</v>
      </c>
      <c r="C17" s="26" t="s">
        <v>105</v>
      </c>
      <c r="D17" s="26" t="s">
        <v>70</v>
      </c>
      <c r="E17" s="33" t="s">
        <v>15</v>
      </c>
      <c r="F17" s="34">
        <f ca="1">VLOOKUP(B17,'3B'!A1:I55,IF(Settings!$J$13="points",4,7),FALSE)</f>
        <v>3</v>
      </c>
      <c r="G17" s="29">
        <f>(M17*Settings!$B$2)+(N17*Settings!$B$3)+(O17*Settings!$B$4)+(P17*Settings!$B$5)+(Q17*Settings!$B$6)+(T17*Settings!$B$9)+(U17*Settings!$B$10)+(V17*Settings!$B$11)+(W17*Settings!$B$12)+(X17*Settings!$B$13)+(AA17*Settings!$B$16)</f>
        <v>550.26666666666688</v>
      </c>
      <c r="H17" s="30">
        <f>VLOOKUP(B17,'Standard Deviations'!$A1:$D651,4,FALSE)</f>
        <v>7.2568634112378341</v>
      </c>
      <c r="I17" s="31">
        <f ca="1">IF(Settings!$J$15="no",VLOOKUP(B17,'3B'!A1:I55,IF(Settings!$J$13="points",6,9),FALSE),VLOOKUP(B17,'1B+3B'!$A1:$I104,IF(Settings!$J$13="points",6,9),FALSE))</f>
        <v>6.5291882938355839</v>
      </c>
      <c r="J17" s="30"/>
      <c r="K17" s="30">
        <f ca="1">J17-A17</f>
        <v>-21</v>
      </c>
      <c r="L17" s="30"/>
      <c r="M17" s="30">
        <f>VLOOKUP($B17,Hitters!$A1:$R401,4,FALSE)</f>
        <v>577</v>
      </c>
      <c r="N17" s="30">
        <f>VLOOKUP($B17,Hitters!$A1:$R401,5,FALSE)</f>
        <v>92.266666666666694</v>
      </c>
      <c r="O17" s="30">
        <f>VLOOKUP($B17,Hitters!$A1:$R401,6,FALSE)</f>
        <v>30.8333333333333</v>
      </c>
      <c r="P17" s="30">
        <f>VLOOKUP($B17,Hitters!$A1:$R401,7,FALSE)</f>
        <v>96.6</v>
      </c>
      <c r="Q17" s="30">
        <f>VLOOKUP($B17,Hitters!$A1:$R401,8,FALSE)</f>
        <v>3.7666666666666702</v>
      </c>
      <c r="R17" s="32">
        <f>VLOOKUP($B17,Hitters!$A1:$R401,9,FALSE)</f>
        <v>0.28243789716926598</v>
      </c>
      <c r="S17" s="32">
        <f>VLOOKUP($B17,Hitters!$A1:$R401,10,FALSE)</f>
        <v>0.339693075588132</v>
      </c>
      <c r="T17" s="30">
        <f>VLOOKUP($B17,Hitters!$A1:$R401,11,FALSE)</f>
        <v>162.96666666666701</v>
      </c>
      <c r="U17" s="30">
        <f>VLOOKUP($B17,Hitters!$A1:$R401,12,FALSE)</f>
        <v>37.433333333333302</v>
      </c>
      <c r="V17" s="30">
        <f>VLOOKUP($B17,Hitters!$A1:$R401,13,FALSE)</f>
        <v>1.5</v>
      </c>
      <c r="W17" s="30">
        <f>VLOOKUP($B17,Hitters!$A1:$R401,14,FALSE)</f>
        <v>53</v>
      </c>
      <c r="X17" s="30">
        <f>VLOOKUP($B17,Hitters!$A1:$R401,15,FALSE)</f>
        <v>129.6</v>
      </c>
      <c r="Y17" s="32">
        <f>VLOOKUP($B17,Hitters!$A1:$R401,16,FALSE)</f>
        <v>0.51282495667244399</v>
      </c>
      <c r="Z17" s="32">
        <f>VLOOKUP($B17,Hitters!$A1:$R401,17,FALSE)</f>
        <v>0.85251803226057599</v>
      </c>
      <c r="AA17" s="30">
        <f>VLOOKUP($B17,Hitters!$A1:$R401,18,FALSE)</f>
        <v>0</v>
      </c>
      <c r="AB17" s="30"/>
      <c r="AC17" s="30"/>
      <c r="AD17" s="32"/>
      <c r="AE17" s="32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</row>
    <row r="18" spans="1:44" ht="20.100000000000001" customHeight="1">
      <c r="A18" s="24">
        <f ca="1">RANK(I18,I$2:I$651)</f>
        <v>88</v>
      </c>
      <c r="B18" s="25" t="s">
        <v>182</v>
      </c>
      <c r="C18" s="26" t="s">
        <v>74</v>
      </c>
      <c r="D18" s="26" t="s">
        <v>75</v>
      </c>
      <c r="E18" s="39" t="s">
        <v>7</v>
      </c>
      <c r="F18" s="40">
        <f ca="1">VLOOKUP(B18,'1B'!A1:I63,IF(Settings!$J$13="points",4,7),FALSE)</f>
        <v>6</v>
      </c>
      <c r="G18" s="29">
        <f>(M18*Settings!$B$2)+(N18*Settings!$B$3)+(O18*Settings!$B$4)+(P18*Settings!$B$5)+(Q18*Settings!$B$6)+(T18*Settings!$B$9)+(U18*Settings!$B$10)+(V18*Settings!$B$11)+(W18*Settings!$B$12)+(X18*Settings!$B$13)+(AA18*Settings!$B$16)</f>
        <v>543.15000000000009</v>
      </c>
      <c r="H18" s="30">
        <f>VLOOKUP(B18,'Standard Deviations'!$A1:$D651,4,FALSE)</f>
        <v>5.9191901441863566</v>
      </c>
      <c r="I18" s="31">
        <f ca="1">IF(Settings!$J$15="no",VLOOKUP(B18,'1B'!A1:I63,IF(Settings!$J$13="points",6,9),FALSE),VLOOKUP(B18,'1B+3B'!$A1:$I104,IF(Settings!$J$13="points",6,9),FALSE))</f>
        <v>3.3396622896718799</v>
      </c>
      <c r="J18" s="30"/>
      <c r="K18" s="30">
        <f ca="1">J18-A18</f>
        <v>-88</v>
      </c>
      <c r="L18" s="30"/>
      <c r="M18" s="30">
        <f>VLOOKUP($B18,Hitters!$A1:$R401,4,FALSE)</f>
        <v>567.33333333333303</v>
      </c>
      <c r="N18" s="30">
        <f>VLOOKUP($B18,Hitters!$A1:$R401,5,FALSE)</f>
        <v>90.066666666666706</v>
      </c>
      <c r="O18" s="30">
        <f>VLOOKUP($B18,Hitters!$A1:$R401,6,FALSE)</f>
        <v>34.133333333333297</v>
      </c>
      <c r="P18" s="30">
        <f>VLOOKUP($B18,Hitters!$A1:$R401,7,FALSE)</f>
        <v>102.366666666667</v>
      </c>
      <c r="Q18" s="30">
        <f>VLOOKUP($B18,Hitters!$A1:$R401,8,FALSE)</f>
        <v>1.8333333333333299</v>
      </c>
      <c r="R18" s="32">
        <f>VLOOKUP($B18,Hitters!$A1:$R401,9,FALSE)</f>
        <v>0.24911868390129299</v>
      </c>
      <c r="S18" s="32">
        <f>VLOOKUP($B18,Hitters!$A1:$R401,10,FALSE)</f>
        <v>0.33510976937136799</v>
      </c>
      <c r="T18" s="30">
        <f>VLOOKUP($B18,Hitters!$A1:$R401,11,FALSE)</f>
        <v>141.333333333333</v>
      </c>
      <c r="U18" s="30">
        <f>VLOOKUP($B18,Hitters!$A1:$R401,12,FALSE)</f>
        <v>32.8333333333333</v>
      </c>
      <c r="V18" s="30">
        <f>VLOOKUP($B18,Hitters!$A1:$R401,13,FALSE)</f>
        <v>0.5</v>
      </c>
      <c r="W18" s="30">
        <f>VLOOKUP($B18,Hitters!$A1:$R401,14,FALSE)</f>
        <v>76.233333333333306</v>
      </c>
      <c r="X18" s="30">
        <f>VLOOKUP($B18,Hitters!$A1:$R401,15,FALSE)</f>
        <v>148.433333333333</v>
      </c>
      <c r="Y18" s="32">
        <f>VLOOKUP($B18,Hitters!$A1:$R401,16,FALSE)</f>
        <v>0.48924794359577001</v>
      </c>
      <c r="Z18" s="32">
        <f>VLOOKUP($B18,Hitters!$A1:$R401,17,FALSE)</f>
        <v>0.824357712967137</v>
      </c>
      <c r="AA18" s="30">
        <f>VLOOKUP($B18,Hitters!$A1:$R401,18,FALSE)</f>
        <v>0</v>
      </c>
      <c r="AB18" s="30"/>
      <c r="AC18" s="30"/>
      <c r="AD18" s="32"/>
      <c r="AE18" s="32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</row>
    <row r="19" spans="1:44" ht="18.600000000000001" customHeight="1">
      <c r="A19" s="24">
        <f ca="1">RANK(I19,I$2:I$651)</f>
        <v>46</v>
      </c>
      <c r="B19" s="25" t="s">
        <v>134</v>
      </c>
      <c r="C19" s="26" t="s">
        <v>125</v>
      </c>
      <c r="D19" s="26" t="s">
        <v>75</v>
      </c>
      <c r="E19" s="39" t="s">
        <v>7</v>
      </c>
      <c r="F19" s="40">
        <f ca="1">VLOOKUP(B19,'1B'!A1:I63,IF(Settings!$J$13="points",4,7),FALSE)</f>
        <v>5</v>
      </c>
      <c r="G19" s="29">
        <f>(M19*Settings!$B$2)+(N19*Settings!$B$3)+(O19*Settings!$B$4)+(P19*Settings!$B$5)+(Q19*Settings!$B$6)+(T19*Settings!$B$9)+(U19*Settings!$B$10)+(V19*Settings!$B$11)+(W19*Settings!$B$12)+(X19*Settings!$B$13)+(AA19*Settings!$B$16)</f>
        <v>542.46666666666647</v>
      </c>
      <c r="H19" s="30">
        <f>VLOOKUP(B19,'Standard Deviations'!$A1:$D651,4,FALSE)</f>
        <v>7.5538979698138036</v>
      </c>
      <c r="I19" s="31">
        <f ca="1">IF(Settings!$J$15="no",VLOOKUP(B19,'1B'!A1:I63,IF(Settings!$J$13="points",6,9),FALSE),VLOOKUP(B19,'1B+3B'!$A1:$I104,IF(Settings!$J$13="points",6,9),FALSE))</f>
        <v>4.9743689920062888</v>
      </c>
      <c r="J19" s="30"/>
      <c r="K19" s="30">
        <f ca="1">J19-A19</f>
        <v>-46</v>
      </c>
      <c r="L19" s="30"/>
      <c r="M19" s="30">
        <f>VLOOKUP($B19,Hitters!$A1:$R401,4,FALSE)</f>
        <v>545.33333333333303</v>
      </c>
      <c r="N19" s="30">
        <f>VLOOKUP($B19,Hitters!$A1:$R401,5,FALSE)</f>
        <v>93.266666666666694</v>
      </c>
      <c r="O19" s="30">
        <f>VLOOKUP($B19,Hitters!$A1:$R401,6,FALSE)</f>
        <v>28.266666666666701</v>
      </c>
      <c r="P19" s="30">
        <f>VLOOKUP($B19,Hitters!$A1:$R401,7,FALSE)</f>
        <v>92.933333333333294</v>
      </c>
      <c r="Q19" s="30">
        <f>VLOOKUP($B19,Hitters!$A1:$R401,8,FALSE)</f>
        <v>6.43333333333333</v>
      </c>
      <c r="R19" s="32">
        <f>VLOOKUP($B19,Hitters!$A1:$R401,9,FALSE)</f>
        <v>0.28942542787286102</v>
      </c>
      <c r="S19" s="32">
        <f>VLOOKUP($B19,Hitters!$A1:$R401,10,FALSE)</f>
        <v>0.36890511574123602</v>
      </c>
      <c r="T19" s="30">
        <f>VLOOKUP($B19,Hitters!$A1:$R401,11,FALSE)</f>
        <v>157.833333333333</v>
      </c>
      <c r="U19" s="30">
        <f>VLOOKUP($B19,Hitters!$A1:$R401,12,FALSE)</f>
        <v>32.366666666666703</v>
      </c>
      <c r="V19" s="30">
        <f>VLOOKUP($B19,Hitters!$A1:$R401,13,FALSE)</f>
        <v>0.93333333333333302</v>
      </c>
      <c r="W19" s="30">
        <f>VLOOKUP($B19,Hitters!$A1:$R401,14,FALSE)</f>
        <v>71.866666666666703</v>
      </c>
      <c r="X19" s="30">
        <f>VLOOKUP($B19,Hitters!$A1:$R401,15,FALSE)</f>
        <v>133.80000000000001</v>
      </c>
      <c r="Y19" s="32">
        <f>VLOOKUP($B19,Hitters!$A1:$R401,16,FALSE)</f>
        <v>0.50770171149144205</v>
      </c>
      <c r="Z19" s="32">
        <f>VLOOKUP($B19,Hitters!$A1:$R401,17,FALSE)</f>
        <v>0.87660682723267902</v>
      </c>
      <c r="AA19" s="30">
        <f>VLOOKUP($B19,Hitters!$A1:$R401,18,FALSE)</f>
        <v>0</v>
      </c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</row>
    <row r="20" spans="1:44" ht="18.600000000000001" customHeight="1">
      <c r="A20" s="24">
        <f ca="1">RANK(I20,I$2:I$651)</f>
        <v>37</v>
      </c>
      <c r="B20" s="25" t="s">
        <v>124</v>
      </c>
      <c r="C20" s="26" t="s">
        <v>125</v>
      </c>
      <c r="D20" s="26" t="s">
        <v>75</v>
      </c>
      <c r="E20" s="33" t="s">
        <v>15</v>
      </c>
      <c r="F20" s="34">
        <f ca="1">VLOOKUP(B20,'3B'!A1:I55,IF(Settings!$J$13="points",4,7),FALSE)</f>
        <v>5</v>
      </c>
      <c r="G20" s="29">
        <f>(M20*Settings!$B$2)+(N20*Settings!$B$3)+(O20*Settings!$B$4)+(P20*Settings!$B$5)+(Q20*Settings!$B$6)+(T20*Settings!$B$9)+(U20*Settings!$B$10)+(V20*Settings!$B$11)+(W20*Settings!$B$12)+(X20*Settings!$B$13)+(AA20*Settings!$B$16)</f>
        <v>538.48333333333346</v>
      </c>
      <c r="H20" s="30">
        <f>VLOOKUP(B20,'Standard Deviations'!$A1:$D651,4,FALSE)</f>
        <v>6.1032903999868573</v>
      </c>
      <c r="I20" s="31">
        <f ca="1">IF(Settings!$J$15="no",VLOOKUP(B20,'3B'!A1:I55,IF(Settings!$J$13="points",6,9),FALSE),VLOOKUP(B20,'1B+3B'!$A1:$I104,IF(Settings!$J$13="points",6,9),FALSE))</f>
        <v>5.3756163136151001</v>
      </c>
      <c r="J20" s="30"/>
      <c r="K20" s="30">
        <f ca="1">J20-A20</f>
        <v>-37</v>
      </c>
      <c r="L20" s="30"/>
      <c r="M20" s="30">
        <f>VLOOKUP($B20,Hitters!$A1:$R401,4,FALSE)</f>
        <v>566</v>
      </c>
      <c r="N20" s="30">
        <f>VLOOKUP($B20,Hitters!$A1:$R401,5,FALSE)</f>
        <v>80.1666666666667</v>
      </c>
      <c r="O20" s="30">
        <f>VLOOKUP($B20,Hitters!$A1:$R401,6,FALSE)</f>
        <v>29.266666666666701</v>
      </c>
      <c r="P20" s="30">
        <f>VLOOKUP($B20,Hitters!$A1:$R401,7,FALSE)</f>
        <v>99.1</v>
      </c>
      <c r="Q20" s="30">
        <f>VLOOKUP($B20,Hitters!$A1:$R401,8,FALSE)</f>
        <v>3.6</v>
      </c>
      <c r="R20" s="32">
        <f>VLOOKUP($B20,Hitters!$A1:$R401,9,FALSE)</f>
        <v>0.27226148409894002</v>
      </c>
      <c r="S20" s="32">
        <f>VLOOKUP($B20,Hitters!$A1:$R401,10,FALSE)</f>
        <v>0.328890269905388</v>
      </c>
      <c r="T20" s="30">
        <f>VLOOKUP($B20,Hitters!$A1:$R401,11,FALSE)</f>
        <v>154.1</v>
      </c>
      <c r="U20" s="30">
        <f>VLOOKUP($B20,Hitters!$A1:$R401,12,FALSE)</f>
        <v>33.566666666666698</v>
      </c>
      <c r="V20" s="30">
        <f>VLOOKUP($B20,Hitters!$A1:$R401,13,FALSE)</f>
        <v>1.4666666666666699</v>
      </c>
      <c r="W20" s="30">
        <f>VLOOKUP($B20,Hitters!$A1:$R401,14,FALSE)</f>
        <v>50.533333333333303</v>
      </c>
      <c r="X20" s="30">
        <f>VLOOKUP($B20,Hitters!$A1:$R401,15,FALSE)</f>
        <v>82.433333333333294</v>
      </c>
      <c r="Y20" s="32">
        <f>VLOOKUP($B20,Hitters!$A1:$R401,16,FALSE)</f>
        <v>0.49187279151943503</v>
      </c>
      <c r="Z20" s="32">
        <f>VLOOKUP($B20,Hitters!$A1:$R401,17,FALSE)</f>
        <v>0.82076306142482303</v>
      </c>
      <c r="AA20" s="30">
        <f>VLOOKUP($B20,Hitters!$A1:$R401,18,FALSE)</f>
        <v>0</v>
      </c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</row>
    <row r="21" spans="1:44" ht="18.600000000000001" customHeight="1">
      <c r="A21" s="24">
        <f ca="1">RANK(I21,I$2:I$651)</f>
        <v>13</v>
      </c>
      <c r="B21" s="25" t="s">
        <v>90</v>
      </c>
      <c r="C21" s="26" t="s">
        <v>85</v>
      </c>
      <c r="D21" s="26" t="s">
        <v>70</v>
      </c>
      <c r="E21" s="27" t="s">
        <v>23</v>
      </c>
      <c r="F21" s="28">
        <f ca="1">VLOOKUP(B21,OF!A1:I139,IF(Settings!$J$13="points",4,7),FALSE)</f>
        <v>9</v>
      </c>
      <c r="G21" s="29">
        <f>(M21*Settings!$B$2)+(N21*Settings!$B$3)+(O21*Settings!$B$4)+(P21*Settings!$B$5)+(Q21*Settings!$B$6)+(T21*Settings!$B$9)+(U21*Settings!$B$10)+(V21*Settings!$B$11)+(W21*Settings!$B$12)+(X21*Settings!$B$13)+(AA21*Settings!$B$16)</f>
        <v>535.0833333333336</v>
      </c>
      <c r="H21" s="30">
        <f>VLOOKUP(B21,'Standard Deviations'!$A1:$D651,4,FALSE)</f>
        <v>7.2312572605649938</v>
      </c>
      <c r="I21" s="31">
        <f ca="1">VLOOKUP(B21,OF!A1:I139,IF(Settings!$J$13="points",6,9),FALSE)</f>
        <v>7.112542639809484</v>
      </c>
      <c r="J21" s="30"/>
      <c r="K21" s="30">
        <f ca="1">J21-A21</f>
        <v>-13</v>
      </c>
      <c r="L21" s="30"/>
      <c r="M21" s="30">
        <f>VLOOKUP($B21,Hitters!$A1:$R401,4,FALSE)</f>
        <v>496.33333333333297</v>
      </c>
      <c r="N21" s="30">
        <f>VLOOKUP($B21,Hitters!$A1:$R401,5,FALSE)</f>
        <v>95.533333333333303</v>
      </c>
      <c r="O21" s="30">
        <f>VLOOKUP($B21,Hitters!$A1:$R401,6,FALSE)</f>
        <v>37.466666666666697</v>
      </c>
      <c r="P21" s="30">
        <f>VLOOKUP($B21,Hitters!$A1:$R401,7,FALSE)</f>
        <v>90</v>
      </c>
      <c r="Q21" s="30">
        <f>VLOOKUP($B21,Hitters!$A1:$R401,8,FALSE)</f>
        <v>2.56666666666667</v>
      </c>
      <c r="R21" s="32">
        <f>VLOOKUP($B21,Hitters!$A1:$R401,9,FALSE)</f>
        <v>0.27179314976494301</v>
      </c>
      <c r="S21" s="32">
        <f>VLOOKUP($B21,Hitters!$A1:$R401,10,FALSE)</f>
        <v>0.36278471179543098</v>
      </c>
      <c r="T21" s="30">
        <f>VLOOKUP($B21,Hitters!$A1:$R401,11,FALSE)</f>
        <v>134.9</v>
      </c>
      <c r="U21" s="30">
        <f>VLOOKUP($B21,Hitters!$A1:$R401,12,FALSE)</f>
        <v>27.633333333333301</v>
      </c>
      <c r="V21" s="30">
        <f>VLOOKUP($B21,Hitters!$A1:$R401,13,FALSE)</f>
        <v>2.6666666666666701</v>
      </c>
      <c r="W21" s="30">
        <f>VLOOKUP($B21,Hitters!$A1:$R401,14,FALSE)</f>
        <v>73.7</v>
      </c>
      <c r="X21" s="30">
        <f>VLOOKUP($B21,Hitters!$A1:$R401,15,FALSE)</f>
        <v>154.63333333333301</v>
      </c>
      <c r="Y21" s="32">
        <f>VLOOKUP($B21,Hitters!$A1:$R401,16,FALSE)</f>
        <v>0.56467427803895198</v>
      </c>
      <c r="Z21" s="32">
        <f>VLOOKUP($B21,Hitters!$A1:$R401,17,FALSE)</f>
        <v>0.92745898983438302</v>
      </c>
      <c r="AA21" s="30">
        <f>VLOOKUP($B21,Hitters!$A1:$R401,18,FALSE)</f>
        <v>0</v>
      </c>
      <c r="AB21" s="30"/>
      <c r="AC21" s="30"/>
      <c r="AD21" s="32"/>
      <c r="AE21" s="32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</row>
    <row r="22" spans="1:44" ht="18.600000000000001" customHeight="1">
      <c r="A22" s="24">
        <f ca="1">RANK(I22,I$2:I$651)</f>
        <v>56</v>
      </c>
      <c r="B22" s="25" t="s">
        <v>147</v>
      </c>
      <c r="C22" s="26" t="s">
        <v>79</v>
      </c>
      <c r="D22" s="26" t="s">
        <v>70</v>
      </c>
      <c r="E22" s="47" t="s">
        <v>11</v>
      </c>
      <c r="F22" s="48">
        <f ca="1">VLOOKUP(B22,'2B'!A1:I50,IF(Settings!$J$13="points",4,7),FALSE)</f>
        <v>1</v>
      </c>
      <c r="G22" s="29">
        <f>(M22*Settings!$B$2)+(N22*Settings!$B$3)+(O22*Settings!$B$4)+(P22*Settings!$B$5)+(Q22*Settings!$B$6)+(T22*Settings!$B$9)+(U22*Settings!$B$10)+(V22*Settings!$B$11)+(W22*Settings!$B$12)+(X22*Settings!$B$13)+(AA22*Settings!$B$16)</f>
        <v>534.80000000000064</v>
      </c>
      <c r="H22" s="30">
        <f>VLOOKUP(B22,'Standard Deviations'!$A1:$D651,4,FALSE)</f>
        <v>6.7062956375202827</v>
      </c>
      <c r="I22" s="31">
        <f ca="1">IF(Settings!$J$16="no",VLOOKUP(B22,'2B'!A1:I50,IF(Settings!$J$13="points",6,9),FALSE),VLOOKUP(B22,'2B+SS'!$A1:$I94,IF(Settings!$J$13="points",6,9),FALSE))</f>
        <v>4.398566754516497</v>
      </c>
      <c r="J22" s="30"/>
      <c r="K22" s="30">
        <f ca="1">J22-A22</f>
        <v>-56</v>
      </c>
      <c r="L22" s="30"/>
      <c r="M22" s="30">
        <f>VLOOKUP($B22,Hitters!$A1:$R401,4,FALSE)</f>
        <v>562.33333333333303</v>
      </c>
      <c r="N22" s="30">
        <f>VLOOKUP($B22,Hitters!$A1:$R401,5,FALSE)</f>
        <v>102.166666666667</v>
      </c>
      <c r="O22" s="30">
        <f>VLOOKUP($B22,Hitters!$A1:$R401,6,FALSE)</f>
        <v>25.3333333333333</v>
      </c>
      <c r="P22" s="30">
        <f>VLOOKUP($B22,Hitters!$A1:$R401,7,FALSE)</f>
        <v>68.866666666666703</v>
      </c>
      <c r="Q22" s="30">
        <f>VLOOKUP($B22,Hitters!$A1:$R401,8,FALSE)</f>
        <v>11.8</v>
      </c>
      <c r="R22" s="32">
        <f>VLOOKUP($B22,Hitters!$A1:$R401,9,FALSE)</f>
        <v>0.277534084173088</v>
      </c>
      <c r="S22" s="32">
        <f>VLOOKUP($B22,Hitters!$A1:$R401,10,FALSE)</f>
        <v>0.34674899686503802</v>
      </c>
      <c r="T22" s="30">
        <f>VLOOKUP($B22,Hitters!$A1:$R401,11,FALSE)</f>
        <v>156.066666666667</v>
      </c>
      <c r="U22" s="30">
        <f>VLOOKUP($B22,Hitters!$A1:$R401,12,FALSE)</f>
        <v>32.799999999999997</v>
      </c>
      <c r="V22" s="30">
        <f>VLOOKUP($B22,Hitters!$A1:$R401,13,FALSE)</f>
        <v>0.56666666666666698</v>
      </c>
      <c r="W22" s="30">
        <f>VLOOKUP($B22,Hitters!$A1:$R401,14,FALSE)</f>
        <v>62.566666666666698</v>
      </c>
      <c r="X22" s="30">
        <f>VLOOKUP($B22,Hitters!$A1:$R401,15,FALSE)</f>
        <v>94.2</v>
      </c>
      <c r="Y22" s="32">
        <f>VLOOKUP($B22,Hitters!$A1:$R401,16,FALSE)</f>
        <v>0.47302904564315401</v>
      </c>
      <c r="Z22" s="32">
        <f>VLOOKUP($B22,Hitters!$A1:$R401,17,FALSE)</f>
        <v>0.81977804250819197</v>
      </c>
      <c r="AA22" s="30">
        <f>VLOOKUP($B22,Hitters!$A1:$R401,18,FALSE)</f>
        <v>0</v>
      </c>
      <c r="AB22" s="30"/>
      <c r="AC22" s="30"/>
      <c r="AD22" s="32"/>
      <c r="AE22" s="32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</row>
    <row r="23" spans="1:44" ht="18.600000000000001" customHeight="1">
      <c r="A23" s="24">
        <f ca="1">RANK(I23,I$2:I$651)</f>
        <v>38</v>
      </c>
      <c r="B23" s="25" t="s">
        <v>126</v>
      </c>
      <c r="C23" s="26" t="s">
        <v>95</v>
      </c>
      <c r="D23" s="26" t="s">
        <v>70</v>
      </c>
      <c r="E23" s="37" t="s">
        <v>27</v>
      </c>
      <c r="F23" s="38">
        <f ca="1">VLOOKUP(B23,SS!A1:I45,IF(Settings!$J$13="points",4,7),FALSE)</f>
        <v>3</v>
      </c>
      <c r="G23" s="29">
        <f>(M23*Settings!$B$2)+(N23*Settings!$B$3)+(O23*Settings!$B$4)+(P23*Settings!$B$5)+(Q23*Settings!$B$6)+(T23*Settings!$B$9)+(U23*Settings!$B$10)+(V23*Settings!$B$11)+(W23*Settings!$B$12)+(X23*Settings!$B$13)+(AA23*Settings!$B$16)</f>
        <v>534.30000000000018</v>
      </c>
      <c r="H23" s="30">
        <f>VLOOKUP(B23,'Standard Deviations'!$A1:$D651,4,FALSE)</f>
        <v>8.2964863343566382</v>
      </c>
      <c r="I23" s="31">
        <f ca="1">IF(Settings!$J$16="no",VLOOKUP(B23,SS!A1:I45,IF(Settings!$J$13="points",6,9),FALSE),VLOOKUP(B23,'2B+SS'!$A1:$I94,IF(Settings!$J$13="points",6,9),FALSE))</f>
        <v>5.2920642129618045</v>
      </c>
      <c r="J23" s="30"/>
      <c r="K23" s="30">
        <f ca="1">J23-A23</f>
        <v>-38</v>
      </c>
      <c r="L23" s="30"/>
      <c r="M23" s="30">
        <f>VLOOKUP($B23,Hitters!$A1:$R401,4,FALSE)</f>
        <v>594.33333333333303</v>
      </c>
      <c r="N23" s="30">
        <f>VLOOKUP($B23,Hitters!$A1:$R401,5,FALSE)</f>
        <v>93.4</v>
      </c>
      <c r="O23" s="30">
        <f>VLOOKUP($B23,Hitters!$A1:$R401,6,FALSE)</f>
        <v>24.433333333333302</v>
      </c>
      <c r="P23" s="30">
        <f>VLOOKUP($B23,Hitters!$A1:$R401,7,FALSE)</f>
        <v>89.1666666666667</v>
      </c>
      <c r="Q23" s="30">
        <f>VLOOKUP($B23,Hitters!$A1:$R401,8,FALSE)</f>
        <v>16.133333333333301</v>
      </c>
      <c r="R23" s="32">
        <f>VLOOKUP($B23,Hitters!$A1:$R401,9,FALSE)</f>
        <v>0.28799775659001697</v>
      </c>
      <c r="S23" s="32">
        <f>VLOOKUP($B23,Hitters!$A1:$R401,10,FALSE)</f>
        <v>0.32861695081437098</v>
      </c>
      <c r="T23" s="30">
        <f>VLOOKUP($B23,Hitters!$A1:$R401,11,FALSE)</f>
        <v>171.166666666667</v>
      </c>
      <c r="U23" s="30">
        <f>VLOOKUP($B23,Hitters!$A1:$R401,12,FALSE)</f>
        <v>37.133333333333297</v>
      </c>
      <c r="V23" s="30">
        <f>VLOOKUP($B23,Hitters!$A1:$R401,13,FALSE)</f>
        <v>1.43333333333333</v>
      </c>
      <c r="W23" s="30">
        <f>VLOOKUP($B23,Hitters!$A1:$R401,14,FALSE)</f>
        <v>38.866666666666703</v>
      </c>
      <c r="X23" s="30">
        <f>VLOOKUP($B23,Hitters!$A1:$R401,15,FALSE)</f>
        <v>133.73333333333301</v>
      </c>
      <c r="Y23" s="32">
        <f>VLOOKUP($B23,Hitters!$A1:$R401,16,FALSE)</f>
        <v>0.47863151991026398</v>
      </c>
      <c r="Z23" s="32">
        <f>VLOOKUP($B23,Hitters!$A1:$R401,17,FALSE)</f>
        <v>0.80724847072463501</v>
      </c>
      <c r="AA23" s="30">
        <f>VLOOKUP($B23,Hitters!$A1:$R401,18,FALSE)</f>
        <v>0</v>
      </c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</row>
    <row r="24" spans="1:44" ht="18.600000000000001" customHeight="1">
      <c r="A24" s="24">
        <f ca="1">RANK(I24,I$2:I$651)</f>
        <v>18</v>
      </c>
      <c r="B24" s="25" t="s">
        <v>98</v>
      </c>
      <c r="C24" s="26" t="s">
        <v>99</v>
      </c>
      <c r="D24" s="26" t="s">
        <v>75</v>
      </c>
      <c r="E24" s="35" t="s">
        <v>31</v>
      </c>
      <c r="F24" s="36">
        <f ca="1">VLOOKUP(B24,SP!A1:I161,IF(Settings!$J$13="points",4,7),FALSE)</f>
        <v>4</v>
      </c>
      <c r="G24" s="29">
        <f>(AC24*Settings!$F$2)+(AF24*Settings!$F$5)+(AG24*Settings!$F$6)+(AH24*Settings!$F$7)+(AI24*Settings!$F$8)+(AJ24*Settings!$F$9)+(AK24*Settings!$F$10)+(AL24*Settings!$F$11)+(AM24*Settings!$F$12)+(AN24*Settings!$F$13)+(AO24*Settings!$F$14)+(AP24*Settings!$F$15)+(AQ24*Settings!$F$16)+(AR24*Settings!$F$17)</f>
        <v>533.26666666666654</v>
      </c>
      <c r="H24" s="30">
        <f>VLOOKUP(B24,'Standard Deviations'!$A1:$D651,4,FALSE)</f>
        <v>6.8556588703433388</v>
      </c>
      <c r="I24" s="31">
        <f ca="1">IF(Settings!$J$16="no",VLOOKUP(B24,SP!A1:I161,IF(Settings!$J$13="points",6,9),FALSE),VLOOKUP(B24,'SP+RP'!$A1:$I251,IF(Settings!$J$13="points",6,9),FALSE))</f>
        <v>6.7196710612923107</v>
      </c>
      <c r="J24" s="30"/>
      <c r="K24" s="30">
        <f ca="1">J24-A24</f>
        <v>-18</v>
      </c>
      <c r="L24" s="30"/>
      <c r="M24" s="30"/>
      <c r="N24" s="30"/>
      <c r="O24" s="30"/>
      <c r="P24" s="30"/>
      <c r="Q24" s="30"/>
      <c r="R24" s="32"/>
      <c r="S24" s="32"/>
      <c r="T24" s="30"/>
      <c r="U24" s="30"/>
      <c r="V24" s="30"/>
      <c r="W24" s="30"/>
      <c r="X24" s="30"/>
      <c r="Y24" s="32"/>
      <c r="Z24" s="32"/>
      <c r="AA24" s="30"/>
      <c r="AB24" s="30"/>
      <c r="AC24" s="30">
        <f>VLOOKUP($B24,Pitchers!$A1:$S251,4,FALSE)</f>
        <v>188.26666666666665</v>
      </c>
      <c r="AD24" s="32">
        <f>VLOOKUP($B24,Pitchers!$A1:$S251,5,FALSE)</f>
        <v>3.0387747875354103</v>
      </c>
      <c r="AE24" s="32">
        <f>VLOOKUP($B24,Pitchers!$A1:$S251,6,FALSE)</f>
        <v>1.0541784702549577</v>
      </c>
      <c r="AF24" s="30">
        <f>VLOOKUP($B24,Pitchers!$A1:$S251,7,FALSE)</f>
        <v>234.73333333333335</v>
      </c>
      <c r="AG24" s="30">
        <f>VLOOKUP($B24,Pitchers!$A1:$S251,8,FALSE)</f>
        <v>12.4</v>
      </c>
      <c r="AH24" s="30">
        <f>VLOOKUP($B24,Pitchers!$A1:$S251,9,FALSE)</f>
        <v>0</v>
      </c>
      <c r="AI24" s="30">
        <f>VLOOKUP($B24,Pitchers!$A1:$S251,10,FALSE)</f>
        <v>63.566666666666663</v>
      </c>
      <c r="AJ24" s="30">
        <f>VLOOKUP($B24,Pitchers!$A1:$S251,11,FALSE)</f>
        <v>147.16666666666666</v>
      </c>
      <c r="AK24" s="30">
        <f>VLOOKUP($B24,Pitchers!$A1:$S251,12,FALSE)</f>
        <v>51.300000000000004</v>
      </c>
      <c r="AL24" s="30">
        <f>VLOOKUP($B24,Pitchers!$A1:$S251,13,FALSE)</f>
        <v>21</v>
      </c>
      <c r="AM24" s="30">
        <f>VLOOKUP($B24,Pitchers!$A1:$S251,14,FALSE)</f>
        <v>30.933333333333334</v>
      </c>
      <c r="AN24" s="30">
        <f>VLOOKUP($B24,Pitchers!$A1:$S251,15,FALSE)</f>
        <v>30.599999999999998</v>
      </c>
      <c r="AO24" s="30">
        <f>VLOOKUP($B24,Pitchers!$A1:$S251,16,FALSE)</f>
        <v>7.333333333333333</v>
      </c>
      <c r="AP24" s="30">
        <f>VLOOKUP($B24,Pitchers!$A1:$S251,17,FALSE)</f>
        <v>21</v>
      </c>
      <c r="AQ24" s="30">
        <f>VLOOKUP($B24,Pitchers!$A1:$S251,18,FALSE)</f>
        <v>0</v>
      </c>
      <c r="AR24" s="30">
        <f>VLOOKUP($B24,Pitchers!$A1:$S251,19,FALSE)</f>
        <v>0</v>
      </c>
    </row>
    <row r="25" spans="1:44" ht="18.600000000000001" customHeight="1">
      <c r="A25" s="24">
        <f ca="1">RANK(I25,I$2:I$651)</f>
        <v>33</v>
      </c>
      <c r="B25" s="25" t="s">
        <v>118</v>
      </c>
      <c r="C25" s="26" t="s">
        <v>119</v>
      </c>
      <c r="D25" s="26" t="s">
        <v>70</v>
      </c>
      <c r="E25" s="37" t="s">
        <v>27</v>
      </c>
      <c r="F25" s="38">
        <f ca="1">VLOOKUP(B25,SS!A1:I45,IF(Settings!$J$13="points",4,7),FALSE)</f>
        <v>2</v>
      </c>
      <c r="G25" s="29">
        <f>(M25*Settings!$B$2)+(N25*Settings!$B$3)+(O25*Settings!$B$4)+(P25*Settings!$B$5)+(Q25*Settings!$B$6)+(T25*Settings!$B$9)+(U25*Settings!$B$10)+(V25*Settings!$B$11)+(W25*Settings!$B$12)+(X25*Settings!$B$13)+(AA25*Settings!$B$16)</f>
        <v>531.13333333333276</v>
      </c>
      <c r="H25" s="30">
        <f>VLOOKUP(B25,'Standard Deviations'!$A1:$D651,4,FALSE)</f>
        <v>8.6386690454135326</v>
      </c>
      <c r="I25" s="31">
        <f ca="1">IF(Settings!$J$16="no",VLOOKUP(B25,SS!A1:I45,IF(Settings!$J$13="points",6,9),FALSE),VLOOKUP(B25,'2B+SS'!$A1:$I94,IF(Settings!$J$13="points",6,9),FALSE))</f>
        <v>5.6342437464986652</v>
      </c>
      <c r="J25" s="30"/>
      <c r="K25" s="30">
        <f ca="1">J25-A25</f>
        <v>-33</v>
      </c>
      <c r="L25" s="30"/>
      <c r="M25" s="30">
        <f>VLOOKUP($B25,Hitters!$A1:$R401,4,FALSE)</f>
        <v>585.66666666666697</v>
      </c>
      <c r="N25" s="30">
        <f>VLOOKUP($B25,Hitters!$A1:$R401,5,FALSE)</f>
        <v>85.9</v>
      </c>
      <c r="O25" s="30">
        <f>VLOOKUP($B25,Hitters!$A1:$R401,6,FALSE)</f>
        <v>24.3333333333333</v>
      </c>
      <c r="P25" s="30">
        <f>VLOOKUP($B25,Hitters!$A1:$R401,7,FALSE)</f>
        <v>79.7</v>
      </c>
      <c r="Q25" s="30">
        <f>VLOOKUP($B25,Hitters!$A1:$R401,8,FALSE)</f>
        <v>31.433333333333302</v>
      </c>
      <c r="R25" s="32">
        <f>VLOOKUP($B25,Hitters!$A1:$R401,9,FALSE)</f>
        <v>0.26402959590210601</v>
      </c>
      <c r="S25" s="32">
        <f>VLOOKUP($B25,Hitters!$A1:$R401,10,FALSE)</f>
        <v>0.30515249672634398</v>
      </c>
      <c r="T25" s="30">
        <f>VLOOKUP($B25,Hitters!$A1:$R401,11,FALSE)</f>
        <v>154.63333333333301</v>
      </c>
      <c r="U25" s="30">
        <f>VLOOKUP($B25,Hitters!$A1:$R401,12,FALSE)</f>
        <v>32.299999999999997</v>
      </c>
      <c r="V25" s="30">
        <f>VLOOKUP($B25,Hitters!$A1:$R401,13,FALSE)</f>
        <v>5.1666666666666696</v>
      </c>
      <c r="W25" s="30">
        <f>VLOOKUP($B25,Hitters!$A1:$R401,14,FALSE)</f>
        <v>37.233333333333299</v>
      </c>
      <c r="X25" s="30">
        <f>VLOOKUP($B25,Hitters!$A1:$R401,15,FALSE)</f>
        <v>133.26666666666699</v>
      </c>
      <c r="Y25" s="32">
        <f>VLOOKUP($B25,Hitters!$A1:$R401,16,FALSE)</f>
        <v>0.46146841206602202</v>
      </c>
      <c r="Z25" s="32">
        <f>VLOOKUP($B25,Hitters!$A1:$R401,17,FALSE)</f>
        <v>0.766620908792365</v>
      </c>
      <c r="AA25" s="30">
        <f>VLOOKUP($B25,Hitters!$A1:$R401,18,FALSE)</f>
        <v>0</v>
      </c>
      <c r="AB25" s="30"/>
      <c r="AC25" s="30"/>
      <c r="AD25" s="32"/>
      <c r="AE25" s="32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</row>
    <row r="26" spans="1:44" ht="18.600000000000001" customHeight="1">
      <c r="A26" s="24">
        <f ca="1">RANK(I26,I$2:I$651)</f>
        <v>24</v>
      </c>
      <c r="B26" s="25" t="s">
        <v>108</v>
      </c>
      <c r="C26" s="26" t="s">
        <v>74</v>
      </c>
      <c r="D26" s="26" t="s">
        <v>75</v>
      </c>
      <c r="E26" s="33" t="s">
        <v>15</v>
      </c>
      <c r="F26" s="34">
        <f ca="1">VLOOKUP(B26,'3B'!A1:I55,IF(Settings!$J$13="points",4,7),FALSE)</f>
        <v>4</v>
      </c>
      <c r="G26" s="29">
        <f>(M26*Settings!$B$2)+(N26*Settings!$B$3)+(O26*Settings!$B$4)+(P26*Settings!$B$5)+(Q26*Settings!$B$6)+(T26*Settings!$B$9)+(U26*Settings!$B$10)+(V26*Settings!$B$11)+(W26*Settings!$B$12)+(X26*Settings!$B$13)+(AA26*Settings!$B$16)</f>
        <v>529.03333333333353</v>
      </c>
      <c r="H26" s="30">
        <f>VLOOKUP(B26,'Standard Deviations'!$A1:$D651,4,FALSE)</f>
        <v>6.9812678518946489</v>
      </c>
      <c r="I26" s="31">
        <f ca="1">IF(Settings!$J$15="no",VLOOKUP(B26,'3B'!A1:I55,IF(Settings!$J$13="points",6,9),FALSE),VLOOKUP(B26,'1B+3B'!$A1:$I104,IF(Settings!$J$13="points",6,9),FALSE))</f>
        <v>6.2535898010526143</v>
      </c>
      <c r="J26" s="30"/>
      <c r="K26" s="30">
        <f ca="1">J26-A26</f>
        <v>-24</v>
      </c>
      <c r="L26" s="30"/>
      <c r="M26" s="30">
        <f>VLOOKUP($B26,Hitters!$A1:$R401,4,FALSE)</f>
        <v>579.66666666666697</v>
      </c>
      <c r="N26" s="30">
        <f>VLOOKUP($B26,Hitters!$A1:$R401,5,FALSE)</f>
        <v>90.066666666666706</v>
      </c>
      <c r="O26" s="30">
        <f>VLOOKUP($B26,Hitters!$A1:$R401,6,FALSE)</f>
        <v>33.1</v>
      </c>
      <c r="P26" s="30">
        <f>VLOOKUP($B26,Hitters!$A1:$R401,7,FALSE)</f>
        <v>99.133333333333297</v>
      </c>
      <c r="Q26" s="30">
        <f>VLOOKUP($B26,Hitters!$A1:$R401,8,FALSE)</f>
        <v>1.5333333333333301</v>
      </c>
      <c r="R26" s="32">
        <f>VLOOKUP($B26,Hitters!$A1:$R401,9,FALSE)</f>
        <v>0.27751581368602601</v>
      </c>
      <c r="S26" s="32">
        <f>VLOOKUP($B26,Hitters!$A1:$R401,10,FALSE)</f>
        <v>0.334484506188643</v>
      </c>
      <c r="T26" s="30">
        <f>VLOOKUP($B26,Hitters!$A1:$R401,11,FALSE)</f>
        <v>160.86666666666699</v>
      </c>
      <c r="U26" s="30">
        <f>VLOOKUP($B26,Hitters!$A1:$R401,12,FALSE)</f>
        <v>31.933333333333302</v>
      </c>
      <c r="V26" s="30">
        <f>VLOOKUP($B26,Hitters!$A1:$R401,13,FALSE)</f>
        <v>1.9</v>
      </c>
      <c r="W26" s="30">
        <f>VLOOKUP($B26,Hitters!$A1:$R401,14,FALSE)</f>
        <v>52.533333333333303</v>
      </c>
      <c r="X26" s="30">
        <f>VLOOKUP($B26,Hitters!$A1:$R401,15,FALSE)</f>
        <v>157.19999999999999</v>
      </c>
      <c r="Y26" s="32">
        <f>VLOOKUP($B26,Hitters!$A1:$R401,16,FALSE)</f>
        <v>0.51046578493386996</v>
      </c>
      <c r="Z26" s="32">
        <f>VLOOKUP($B26,Hitters!$A1:$R401,17,FALSE)</f>
        <v>0.84495029112251296</v>
      </c>
      <c r="AA26" s="30">
        <f>VLOOKUP($B26,Hitters!$A1:$R401,18,FALSE)</f>
        <v>0</v>
      </c>
      <c r="AB26" s="30"/>
      <c r="AC26" s="30"/>
      <c r="AD26" s="32"/>
      <c r="AE26" s="32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</row>
    <row r="27" spans="1:44" ht="18.600000000000001" customHeight="1">
      <c r="A27" s="24">
        <f ca="1">RANK(I27,I$2:I$651)</f>
        <v>59</v>
      </c>
      <c r="B27" s="25" t="s">
        <v>150</v>
      </c>
      <c r="C27" s="26" t="s">
        <v>87</v>
      </c>
      <c r="D27" s="26" t="s">
        <v>70</v>
      </c>
      <c r="E27" s="47" t="s">
        <v>11</v>
      </c>
      <c r="F27" s="48">
        <f ca="1">VLOOKUP(B27,'2B'!A1:I50,IF(Settings!$J$13="points",4,7),FALSE)</f>
        <v>2</v>
      </c>
      <c r="G27" s="29">
        <f>(M27*Settings!$B$2)+(N27*Settings!$B$3)+(O27*Settings!$B$4)+(P27*Settings!$B$5)+(Q27*Settings!$B$6)+(T27*Settings!$B$9)+(U27*Settings!$B$10)+(V27*Settings!$B$11)+(W27*Settings!$B$12)+(X27*Settings!$B$13)+(AA27*Settings!$B$16)</f>
        <v>528.54999999999984</v>
      </c>
      <c r="H27" s="30">
        <f>VLOOKUP(B27,'Standard Deviations'!$A1:$D651,4,FALSE)</f>
        <v>6.4434880040004376</v>
      </c>
      <c r="I27" s="31">
        <f ca="1">IF(Settings!$J$16="no",VLOOKUP(B27,'2B'!A1:I50,IF(Settings!$J$13="points",6,9),FALSE),VLOOKUP(B27,'2B+SS'!$A1:$I94,IF(Settings!$J$13="points",6,9),FALSE))</f>
        <v>4.1357592211917202</v>
      </c>
      <c r="J27" s="30"/>
      <c r="K27" s="30">
        <f ca="1">J27-A27</f>
        <v>-59</v>
      </c>
      <c r="L27" s="30"/>
      <c r="M27" s="30">
        <f>VLOOKUP($B27,Hitters!$A1:$R401,4,FALSE)</f>
        <v>602.33333333333303</v>
      </c>
      <c r="N27" s="30">
        <f>VLOOKUP($B27,Hitters!$A1:$R401,5,FALSE)</f>
        <v>93.7</v>
      </c>
      <c r="O27" s="30">
        <f>VLOOKUP($B27,Hitters!$A1:$R401,6,FALSE)</f>
        <v>26.466666666666701</v>
      </c>
      <c r="P27" s="30">
        <f>VLOOKUP($B27,Hitters!$A1:$R401,7,FALSE)</f>
        <v>74.8333333333333</v>
      </c>
      <c r="Q27" s="30">
        <f>VLOOKUP($B27,Hitters!$A1:$R401,8,FALSE)</f>
        <v>18.433333333333302</v>
      </c>
      <c r="R27" s="32">
        <f>VLOOKUP($B27,Hitters!$A1:$R401,9,FALSE)</f>
        <v>0.25102379634753702</v>
      </c>
      <c r="S27" s="32">
        <f>VLOOKUP($B27,Hitters!$A1:$R401,10,FALSE)</f>
        <v>0.31270828426385799</v>
      </c>
      <c r="T27" s="30">
        <f>VLOOKUP($B27,Hitters!$A1:$R401,11,FALSE)</f>
        <v>151.19999999999999</v>
      </c>
      <c r="U27" s="30">
        <f>VLOOKUP($B27,Hitters!$A1:$R401,12,FALSE)</f>
        <v>29.8333333333333</v>
      </c>
      <c r="V27" s="30">
        <f>VLOOKUP($B27,Hitters!$A1:$R401,13,FALSE)</f>
        <v>3.3666666666666698</v>
      </c>
      <c r="W27" s="30">
        <f>VLOOKUP($B27,Hitters!$A1:$R401,14,FALSE)</f>
        <v>56.8</v>
      </c>
      <c r="X27" s="30">
        <f>VLOOKUP($B27,Hitters!$A1:$R401,15,FALSE)</f>
        <v>120.966666666667</v>
      </c>
      <c r="Y27" s="32">
        <f>VLOOKUP($B27,Hitters!$A1:$R401,16,FALSE)</f>
        <v>0.44355285002766998</v>
      </c>
      <c r="Z27" s="32">
        <f>VLOOKUP($B27,Hitters!$A1:$R401,17,FALSE)</f>
        <v>0.75626113429152797</v>
      </c>
      <c r="AA27" s="30">
        <f>VLOOKUP($B27,Hitters!$A1:$R401,18,FALSE)</f>
        <v>0</v>
      </c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</row>
    <row r="28" spans="1:44" ht="20.100000000000001" customHeight="1">
      <c r="A28" s="24">
        <f ca="1">RANK(I28,I$2:I$651)</f>
        <v>47</v>
      </c>
      <c r="B28" s="25" t="s">
        <v>135</v>
      </c>
      <c r="C28" s="26" t="s">
        <v>136</v>
      </c>
      <c r="D28" s="26" t="s">
        <v>75</v>
      </c>
      <c r="E28" s="35" t="s">
        <v>31</v>
      </c>
      <c r="F28" s="36">
        <f ca="1">VLOOKUP(B28,SP!A1:I161,IF(Settings!$J$13="points",4,7),FALSE)</f>
        <v>12</v>
      </c>
      <c r="G28" s="29">
        <f>(AC28*Settings!$F$2)+(AF28*Settings!$F$5)+(AG28*Settings!$F$6)+(AH28*Settings!$F$7)+(AI28*Settings!$F$8)+(AJ28*Settings!$F$9)+(AK28*Settings!$F$10)+(AL28*Settings!$F$11)+(AM28*Settings!$F$12)+(AN28*Settings!$F$13)+(AO28*Settings!$F$14)+(AP28*Settings!$F$15)+(AQ28*Settings!$F$16)+(AR28*Settings!$F$17)</f>
        <v>512.81799999999998</v>
      </c>
      <c r="H28" s="30">
        <f>VLOOKUP(B28,'Standard Deviations'!$A1:$D651,4,FALSE)</f>
        <v>5.0712229996413365</v>
      </c>
      <c r="I28" s="31">
        <f ca="1">IF(Settings!$J$16="no",VLOOKUP(B28,SP!A1:I161,IF(Settings!$J$13="points",6,9),FALSE),VLOOKUP(B28,'SP+RP'!$A1:$I251,IF(Settings!$J$13="points",6,9),FALSE))</f>
        <v>4.9352375508392647</v>
      </c>
      <c r="J28" s="30"/>
      <c r="K28" s="30">
        <f ca="1">J28-A28</f>
        <v>-47</v>
      </c>
      <c r="L28" s="30"/>
      <c r="M28" s="30"/>
      <c r="N28" s="30"/>
      <c r="O28" s="30"/>
      <c r="P28" s="30"/>
      <c r="Q28" s="30"/>
      <c r="R28" s="32"/>
      <c r="S28" s="32"/>
      <c r="T28" s="30"/>
      <c r="U28" s="30"/>
      <c r="V28" s="30"/>
      <c r="W28" s="30"/>
      <c r="X28" s="30"/>
      <c r="Y28" s="32"/>
      <c r="Z28" s="32"/>
      <c r="AA28" s="30"/>
      <c r="AB28" s="30"/>
      <c r="AC28" s="30">
        <f>VLOOKUP($B28,Pitchers!$A1:$S251,4,FALSE)</f>
        <v>203.76666666666665</v>
      </c>
      <c r="AD28" s="32">
        <f>VLOOKUP($B28,Pitchers!$A1:$S251,5,FALSE)</f>
        <v>3.1859381645673164</v>
      </c>
      <c r="AE28" s="32">
        <f>VLOOKUP($B28,Pitchers!$A1:$S251,6,FALSE)</f>
        <v>1.1102568297071815</v>
      </c>
      <c r="AF28" s="30">
        <f>VLOOKUP($B28,Pitchers!$A1:$S251,7,FALSE)</f>
        <v>190.43333333333331</v>
      </c>
      <c r="AG28" s="30">
        <f>VLOOKUP($B28,Pitchers!$A1:$S251,8,FALSE)</f>
        <v>12.5</v>
      </c>
      <c r="AH28" s="30">
        <f>VLOOKUP($B28,Pitchers!$A1:$S251,9,FALSE)</f>
        <v>0</v>
      </c>
      <c r="AI28" s="30">
        <f>VLOOKUP($B28,Pitchers!$A1:$S251,10,FALSE)</f>
        <v>72.132000000000005</v>
      </c>
      <c r="AJ28" s="30">
        <f>VLOOKUP($B28,Pitchers!$A1:$S251,11,FALSE)</f>
        <v>175.9</v>
      </c>
      <c r="AK28" s="30">
        <f>VLOOKUP($B28,Pitchers!$A1:$S251,12,FALSE)</f>
        <v>50.333333333333336</v>
      </c>
      <c r="AL28" s="30">
        <f>VLOOKUP($B28,Pitchers!$A1:$S251,13,FALSE)</f>
        <v>21</v>
      </c>
      <c r="AM28" s="30">
        <f>VLOOKUP($B28,Pitchers!$A1:$S251,14,FALSE)</f>
        <v>30.599999999999998</v>
      </c>
      <c r="AN28" s="30">
        <f>VLOOKUP($B28,Pitchers!$A1:$S251,15,FALSE)</f>
        <v>30.599999999999998</v>
      </c>
      <c r="AO28" s="30">
        <f>VLOOKUP($B28,Pitchers!$A1:$S251,16,FALSE)</f>
        <v>9.7666666666666675</v>
      </c>
      <c r="AP28" s="30">
        <f>VLOOKUP($B28,Pitchers!$A1:$S251,17,FALSE)</f>
        <v>22</v>
      </c>
      <c r="AQ28" s="30">
        <f>VLOOKUP($B28,Pitchers!$A1:$S251,18,FALSE)</f>
        <v>0</v>
      </c>
      <c r="AR28" s="30">
        <f>VLOOKUP($B28,Pitchers!$A1:$S251,19,FALSE)</f>
        <v>0</v>
      </c>
    </row>
    <row r="29" spans="1:44" ht="18.600000000000001" customHeight="1">
      <c r="A29" s="24">
        <f ca="1">RANK(I29,I$2:I$651)</f>
        <v>36</v>
      </c>
      <c r="B29" s="25" t="s">
        <v>123</v>
      </c>
      <c r="C29" s="26" t="s">
        <v>92</v>
      </c>
      <c r="D29" s="26" t="s">
        <v>75</v>
      </c>
      <c r="E29" s="35" t="s">
        <v>31</v>
      </c>
      <c r="F29" s="36">
        <f ca="1">VLOOKUP(B29,SP!A1:I161,IF(Settings!$J$13="points",4,7),FALSE)</f>
        <v>10</v>
      </c>
      <c r="G29" s="29">
        <f>(AC29*Settings!$F$2)+(AF29*Settings!$F$5)+(AG29*Settings!$F$6)+(AH29*Settings!$F$7)+(AI29*Settings!$F$8)+(AJ29*Settings!$F$9)+(AK29*Settings!$F$10)+(AL29*Settings!$F$11)+(AM29*Settings!$F$12)+(AN29*Settings!$F$13)+(AO29*Settings!$F$14)+(AP29*Settings!$F$15)+(AQ29*Settings!$F$16)+(AR29*Settings!$F$17)</f>
        <v>511.0333333333333</v>
      </c>
      <c r="H29" s="30">
        <f>VLOOKUP(B29,'Standard Deviations'!$A1:$D651,4,FALSE)</f>
        <v>5.5386487777418116</v>
      </c>
      <c r="I29" s="31">
        <f ca="1">IF(Settings!$J$16="no",VLOOKUP(B29,SP!A1:I161,IF(Settings!$J$13="points",6,9),FALSE),VLOOKUP(B29,'SP+RP'!$A1:$I251,IF(Settings!$J$13="points",6,9),FALSE))</f>
        <v>5.4026677312468196</v>
      </c>
      <c r="J29" s="30"/>
      <c r="K29" s="30">
        <f ca="1">J29-A29</f>
        <v>-36</v>
      </c>
      <c r="L29" s="30"/>
      <c r="M29" s="30"/>
      <c r="N29" s="30"/>
      <c r="O29" s="30"/>
      <c r="P29" s="30"/>
      <c r="Q29" s="30"/>
      <c r="R29" s="32"/>
      <c r="S29" s="32"/>
      <c r="T29" s="30"/>
      <c r="U29" s="30"/>
      <c r="V29" s="30"/>
      <c r="W29" s="30"/>
      <c r="X29" s="30"/>
      <c r="Y29" s="32"/>
      <c r="Z29" s="32"/>
      <c r="AA29" s="30"/>
      <c r="AB29" s="30"/>
      <c r="AC29" s="30">
        <f>VLOOKUP($B29,Pitchers!$A1:$S251,4,FALSE)</f>
        <v>194.46666666666667</v>
      </c>
      <c r="AD29" s="32">
        <f>VLOOKUP($B29,Pitchers!$A1:$S251,5,FALSE)</f>
        <v>3.5234830305107989</v>
      </c>
      <c r="AE29" s="32">
        <f>VLOOKUP($B29,Pitchers!$A1:$S251,6,FALSE)</f>
        <v>1.072505999314364</v>
      </c>
      <c r="AF29" s="30">
        <f>VLOOKUP($B29,Pitchers!$A1:$S251,7,FALSE)</f>
        <v>220.73333333333335</v>
      </c>
      <c r="AG29" s="30">
        <f>VLOOKUP($B29,Pitchers!$A1:$S251,8,FALSE)</f>
        <v>12.733333333333334</v>
      </c>
      <c r="AH29" s="30">
        <f>VLOOKUP($B29,Pitchers!$A1:$S251,9,FALSE)</f>
        <v>0</v>
      </c>
      <c r="AI29" s="30">
        <f>VLOOKUP($B29,Pitchers!$A1:$S251,10,FALSE)</f>
        <v>76.13333333333334</v>
      </c>
      <c r="AJ29" s="30">
        <f>VLOOKUP($B29,Pitchers!$A1:$S251,11,FALSE)</f>
        <v>169.36666666666667</v>
      </c>
      <c r="AK29" s="30">
        <f>VLOOKUP($B29,Pitchers!$A1:$S251,12,FALSE)</f>
        <v>39.199999999999996</v>
      </c>
      <c r="AL29" s="30">
        <f>VLOOKUP($B29,Pitchers!$A1:$S251,13,FALSE)</f>
        <v>25</v>
      </c>
      <c r="AM29" s="30">
        <f>VLOOKUP($B29,Pitchers!$A1:$S251,14,FALSE)</f>
        <v>31.599999999999998</v>
      </c>
      <c r="AN29" s="30">
        <f>VLOOKUP($B29,Pitchers!$A1:$S251,15,FALSE)</f>
        <v>31.599999999999998</v>
      </c>
      <c r="AO29" s="30">
        <f>VLOOKUP($B29,Pitchers!$A1:$S251,16,FALSE)</f>
        <v>9.4333333333333336</v>
      </c>
      <c r="AP29" s="30">
        <f>VLOOKUP($B29,Pitchers!$A1:$S251,17,FALSE)</f>
        <v>20</v>
      </c>
      <c r="AQ29" s="30">
        <f>VLOOKUP($B29,Pitchers!$A1:$S251,18,FALSE)</f>
        <v>0</v>
      </c>
      <c r="AR29" s="30">
        <f>VLOOKUP($B29,Pitchers!$A1:$S251,19,FALSE)</f>
        <v>0</v>
      </c>
    </row>
    <row r="30" spans="1:44" ht="18.600000000000001" customHeight="1">
      <c r="A30" s="24">
        <f ca="1">RANK(I30,I$2:I$651)</f>
        <v>119</v>
      </c>
      <c r="B30" s="25" t="s">
        <v>213</v>
      </c>
      <c r="C30" s="26" t="s">
        <v>87</v>
      </c>
      <c r="D30" s="26" t="s">
        <v>70</v>
      </c>
      <c r="E30" s="37" t="s">
        <v>27</v>
      </c>
      <c r="F30" s="38">
        <f ca="1">VLOOKUP(B30,SS!A1:I45,IF(Settings!$J$13="points",4,7),FALSE)</f>
        <v>9</v>
      </c>
      <c r="G30" s="29">
        <f>(M30*Settings!$B$2)+(N30*Settings!$B$3)+(O30*Settings!$B$4)+(P30*Settings!$B$5)+(Q30*Settings!$B$6)+(T30*Settings!$B$9)+(U30*Settings!$B$10)+(V30*Settings!$B$11)+(W30*Settings!$B$12)+(X30*Settings!$B$13)+(AA30*Settings!$B$16)</f>
        <v>505.68333333333385</v>
      </c>
      <c r="H30" s="30">
        <f>VLOOKUP(B30,'Standard Deviations'!$A1:$D651,4,FALSE)</f>
        <v>5.2733566645353402</v>
      </c>
      <c r="I30" s="31">
        <f ca="1">IF(Settings!$J$16="no",VLOOKUP(B30,SS!A1:I45,IF(Settings!$J$13="points",6,9),FALSE),VLOOKUP(B30,'2B+SS'!$A1:$I94,IF(Settings!$J$13="points",6,9),FALSE))</f>
        <v>2.2689334939538734</v>
      </c>
      <c r="J30" s="30"/>
      <c r="K30" s="30">
        <f ca="1">J30-A30</f>
        <v>-119</v>
      </c>
      <c r="L30" s="30"/>
      <c r="M30" s="30">
        <f>VLOOKUP($B30,Hitters!$A1:$R401,4,FALSE)</f>
        <v>542</v>
      </c>
      <c r="N30" s="30">
        <f>VLOOKUP($B30,Hitters!$A1:$R401,5,FALSE)</f>
        <v>86.2</v>
      </c>
      <c r="O30" s="30">
        <f>VLOOKUP($B30,Hitters!$A1:$R401,6,FALSE)</f>
        <v>27.6666666666667</v>
      </c>
      <c r="P30" s="30">
        <f>VLOOKUP($B30,Hitters!$A1:$R401,7,FALSE)</f>
        <v>81.133333333333297</v>
      </c>
      <c r="Q30" s="30">
        <f>VLOOKUP($B30,Hitters!$A1:$R401,8,FALSE)</f>
        <v>2.93333333333333</v>
      </c>
      <c r="R30" s="32">
        <f>VLOOKUP($B30,Hitters!$A1:$R401,9,FALSE)</f>
        <v>0.27281672816728197</v>
      </c>
      <c r="S30" s="32">
        <f>VLOOKUP($B30,Hitters!$A1:$R401,10,FALSE)</f>
        <v>0.33869223639493301</v>
      </c>
      <c r="T30" s="30">
        <f>VLOOKUP($B30,Hitters!$A1:$R401,11,FALSE)</f>
        <v>147.86666666666699</v>
      </c>
      <c r="U30" s="30">
        <f>VLOOKUP($B30,Hitters!$A1:$R401,12,FALSE)</f>
        <v>29.8</v>
      </c>
      <c r="V30" s="30">
        <f>VLOOKUP($B30,Hitters!$A1:$R401,13,FALSE)</f>
        <v>2</v>
      </c>
      <c r="W30" s="30">
        <f>VLOOKUP($B30,Hitters!$A1:$R401,14,FALSE)</f>
        <v>56.766666666666701</v>
      </c>
      <c r="X30" s="30">
        <f>VLOOKUP($B30,Hitters!$A1:$R401,15,FALSE)</f>
        <v>96.8333333333333</v>
      </c>
      <c r="Y30" s="32">
        <f>VLOOKUP($B30,Hitters!$A1:$R401,16,FALSE)</f>
        <v>0.48831488314883198</v>
      </c>
      <c r="Z30" s="32">
        <f>VLOOKUP($B30,Hitters!$A1:$R401,17,FALSE)</f>
        <v>0.82700711954376505</v>
      </c>
      <c r="AA30" s="30">
        <f>VLOOKUP($B30,Hitters!$A1:$R401,18,FALSE)</f>
        <v>0</v>
      </c>
      <c r="AB30" s="30"/>
      <c r="AC30" s="30"/>
      <c r="AD30" s="32"/>
      <c r="AE30" s="32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</row>
    <row r="31" spans="1:44" ht="18.600000000000001" customHeight="1">
      <c r="A31" s="24">
        <f ca="1">RANK(I31,I$2:I$651)</f>
        <v>93</v>
      </c>
      <c r="B31" s="25" t="s">
        <v>187</v>
      </c>
      <c r="C31" s="26" t="s">
        <v>79</v>
      </c>
      <c r="D31" s="26" t="s">
        <v>70</v>
      </c>
      <c r="E31" s="33" t="s">
        <v>15</v>
      </c>
      <c r="F31" s="34">
        <f ca="1">VLOOKUP(B31,'3B'!A1:I55,IF(Settings!$J$13="points",4,7),FALSE)</f>
        <v>6</v>
      </c>
      <c r="G31" s="29">
        <f>(M31*Settings!$B$2)+(N31*Settings!$B$3)+(O31*Settings!$B$4)+(P31*Settings!$B$5)+(Q31*Settings!$B$6)+(T31*Settings!$B$9)+(U31*Settings!$B$10)+(V31*Settings!$B$11)+(W31*Settings!$B$12)+(X31*Settings!$B$13)+(AA31*Settings!$B$16)</f>
        <v>502.73333333333312</v>
      </c>
      <c r="H31" s="30">
        <f>VLOOKUP(B31,'Standard Deviations'!$A1:$D651,4,FALSE)</f>
        <v>3.9467868740431689</v>
      </c>
      <c r="I31" s="31">
        <f ca="1">IF(Settings!$J$15="no",VLOOKUP(B31,'3B'!A1:I55,IF(Settings!$J$13="points",6,9),FALSE),VLOOKUP(B31,'1B+3B'!$A1:$I104,IF(Settings!$J$13="points",6,9),FALSE))</f>
        <v>3.2191039775081745</v>
      </c>
      <c r="J31" s="30"/>
      <c r="K31" s="30">
        <f ca="1">J31-A31</f>
        <v>-93</v>
      </c>
      <c r="L31" s="30"/>
      <c r="M31" s="30">
        <f>VLOOKUP($B31,Hitters!$A1:$R401,4,FALSE)</f>
        <v>518.66666666666697</v>
      </c>
      <c r="N31" s="30">
        <f>VLOOKUP($B31,Hitters!$A1:$R401,5,FALSE)</f>
        <v>83.433333333333294</v>
      </c>
      <c r="O31" s="30">
        <f>VLOOKUP($B31,Hitters!$A1:$R401,6,FALSE)</f>
        <v>21.733333333333299</v>
      </c>
      <c r="P31" s="30">
        <f>VLOOKUP($B31,Hitters!$A1:$R401,7,FALSE)</f>
        <v>84.8333333333333</v>
      </c>
      <c r="Q31" s="30">
        <f>VLOOKUP($B31,Hitters!$A1:$R401,8,FALSE)</f>
        <v>1.7</v>
      </c>
      <c r="R31" s="32">
        <f>VLOOKUP($B31,Hitters!$A1:$R401,9,FALSE)</f>
        <v>0.26375321336760899</v>
      </c>
      <c r="S31" s="32">
        <f>VLOOKUP($B31,Hitters!$A1:$R401,10,FALSE)</f>
        <v>0.35664816107620501</v>
      </c>
      <c r="T31" s="30">
        <f>VLOOKUP($B31,Hitters!$A1:$R401,11,FALSE)</f>
        <v>136.80000000000001</v>
      </c>
      <c r="U31" s="30">
        <f>VLOOKUP($B31,Hitters!$A1:$R401,12,FALSE)</f>
        <v>33.1</v>
      </c>
      <c r="V31" s="30">
        <f>VLOOKUP($B31,Hitters!$A1:$R401,13,FALSE)</f>
        <v>0.9</v>
      </c>
      <c r="W31" s="30">
        <f>VLOOKUP($B31,Hitters!$A1:$R401,14,FALSE)</f>
        <v>77.766666666666694</v>
      </c>
      <c r="X31" s="30">
        <f>VLOOKUP($B31,Hitters!$A1:$R401,15,FALSE)</f>
        <v>78.6666666666667</v>
      </c>
      <c r="Y31" s="32">
        <f>VLOOKUP($B31,Hitters!$A1:$R401,16,FALSE)</f>
        <v>0.45674807197943401</v>
      </c>
      <c r="Z31" s="32">
        <f>VLOOKUP($B31,Hitters!$A1:$R401,17,FALSE)</f>
        <v>0.81339623305564002</v>
      </c>
      <c r="AA31" s="30">
        <f>VLOOKUP($B31,Hitters!$A1:$R401,18,FALSE)</f>
        <v>0</v>
      </c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</row>
    <row r="32" spans="1:44" ht="18.600000000000001" customHeight="1">
      <c r="A32" s="24">
        <f ca="1">RANK(I32,I$2:I$651)</f>
        <v>40</v>
      </c>
      <c r="B32" s="25" t="s">
        <v>128</v>
      </c>
      <c r="C32" s="26" t="s">
        <v>64</v>
      </c>
      <c r="D32" s="26" t="s">
        <v>75</v>
      </c>
      <c r="E32" s="37" t="s">
        <v>27</v>
      </c>
      <c r="F32" s="38">
        <f ca="1">VLOOKUP(B32,SS!A1:I45,IF(Settings!$J$13="points",4,7),FALSE)</f>
        <v>4</v>
      </c>
      <c r="G32" s="29">
        <f>(M32*Settings!$B$2)+(N32*Settings!$B$3)+(O32*Settings!$B$4)+(P32*Settings!$B$5)+(Q32*Settings!$B$6)+(T32*Settings!$B$9)+(U32*Settings!$B$10)+(V32*Settings!$B$11)+(W32*Settings!$B$12)+(X32*Settings!$B$13)+(AA32*Settings!$B$16)</f>
        <v>499.566666666667</v>
      </c>
      <c r="H32" s="30">
        <f>VLOOKUP(B32,'Standard Deviations'!$A1:$D651,4,FALSE)</f>
        <v>8.1545563828716237</v>
      </c>
      <c r="I32" s="31">
        <f ca="1">IF(Settings!$J$16="no",VLOOKUP(B32,SS!A1:I45,IF(Settings!$J$13="points",6,9),FALSE),VLOOKUP(B32,'2B+SS'!$A1:$I94,IF(Settings!$J$13="points",6,9),FALSE))</f>
        <v>5.1501294730471514</v>
      </c>
      <c r="J32" s="30"/>
      <c r="K32" s="30">
        <f ca="1">J32-A32</f>
        <v>-40</v>
      </c>
      <c r="L32" s="30"/>
      <c r="M32" s="30">
        <f>VLOOKUP($B32,Hitters!$A1:$R401,4,FALSE)</f>
        <v>445</v>
      </c>
      <c r="N32" s="30">
        <f>VLOOKUP($B32,Hitters!$A1:$R401,5,FALSE)</f>
        <v>82.433333333333294</v>
      </c>
      <c r="O32" s="30">
        <f>VLOOKUP($B32,Hitters!$A1:$R401,6,FALSE)</f>
        <v>31.066666666666698</v>
      </c>
      <c r="P32" s="30">
        <f>VLOOKUP($B32,Hitters!$A1:$R401,7,FALSE)</f>
        <v>81.6666666666667</v>
      </c>
      <c r="Q32" s="30">
        <f>VLOOKUP($B32,Hitters!$A1:$R401,8,FALSE)</f>
        <v>19</v>
      </c>
      <c r="R32" s="32">
        <f>VLOOKUP($B32,Hitters!$A1:$R401,9,FALSE)</f>
        <v>0.27655430711610501</v>
      </c>
      <c r="S32" s="32">
        <f>VLOOKUP($B32,Hitters!$A1:$R401,10,FALSE)</f>
        <v>0.35123405665065399</v>
      </c>
      <c r="T32" s="30">
        <f>VLOOKUP($B32,Hitters!$A1:$R401,11,FALSE)</f>
        <v>123.066666666667</v>
      </c>
      <c r="U32" s="30">
        <f>VLOOKUP($B32,Hitters!$A1:$R401,12,FALSE)</f>
        <v>25.566666666666698</v>
      </c>
      <c r="V32" s="30">
        <f>VLOOKUP($B32,Hitters!$A1:$R401,13,FALSE)</f>
        <v>1.8333333333333299</v>
      </c>
      <c r="W32" s="30">
        <f>VLOOKUP($B32,Hitters!$A1:$R401,14,FALSE)</f>
        <v>53.633333333333297</v>
      </c>
      <c r="X32" s="30">
        <f>VLOOKUP($B32,Hitters!$A1:$R401,15,FALSE)</f>
        <v>120.26666666666701</v>
      </c>
      <c r="Y32" s="32">
        <f>VLOOKUP($B32,Hitters!$A1:$R401,16,FALSE)</f>
        <v>0.55168539325842703</v>
      </c>
      <c r="Z32" s="32">
        <f>VLOOKUP($B32,Hitters!$A1:$R401,17,FALSE)</f>
        <v>0.90291944990908102</v>
      </c>
      <c r="AA32" s="30">
        <f>VLOOKUP($B32,Hitters!$A1:$R401,18,FALSE)</f>
        <v>0</v>
      </c>
      <c r="AB32" s="30"/>
      <c r="AC32" s="30"/>
      <c r="AD32" s="32"/>
      <c r="AE32" s="32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</row>
    <row r="33" spans="1:44" ht="18.600000000000001" customHeight="1">
      <c r="A33" s="24">
        <f ca="1">RANK(I33,I$2:I$651)</f>
        <v>39</v>
      </c>
      <c r="B33" s="25" t="s">
        <v>127</v>
      </c>
      <c r="C33" s="26" t="s">
        <v>92</v>
      </c>
      <c r="D33" s="26" t="s">
        <v>75</v>
      </c>
      <c r="E33" s="27" t="s">
        <v>23</v>
      </c>
      <c r="F33" s="28">
        <f ca="1">VLOOKUP(B33,OF!A1:I139,IF(Settings!$J$13="points",4,7),FALSE)</f>
        <v>16</v>
      </c>
      <c r="G33" s="29">
        <f>(M33*Settings!$B$2)+(N33*Settings!$B$3)+(O33*Settings!$B$4)+(P33*Settings!$B$5)+(Q33*Settings!$B$6)+(T33*Settings!$B$9)+(U33*Settings!$B$10)+(V33*Settings!$B$11)+(W33*Settings!$B$12)+(X33*Settings!$B$13)+(AA33*Settings!$B$16)</f>
        <v>498.76666666666699</v>
      </c>
      <c r="H33" s="30">
        <f>VLOOKUP(B33,'Standard Deviations'!$A1:$D651,4,FALSE)</f>
        <v>5.3991776661229958</v>
      </c>
      <c r="I33" s="31">
        <f ca="1">VLOOKUP(B33,OF!A1:I139,IF(Settings!$J$13="points",6,9),FALSE)</f>
        <v>5.2804578325703631</v>
      </c>
      <c r="J33" s="30"/>
      <c r="K33" s="30">
        <f ca="1">J33-A33</f>
        <v>-39</v>
      </c>
      <c r="L33" s="30"/>
      <c r="M33" s="30">
        <f>VLOOKUP($B33,Hitters!$A1:$R401,4,FALSE)</f>
        <v>524</v>
      </c>
      <c r="N33" s="30">
        <f>VLOOKUP($B33,Hitters!$A1:$R401,5,FALSE)</f>
        <v>91.6666666666667</v>
      </c>
      <c r="O33" s="30">
        <f>VLOOKUP($B33,Hitters!$A1:$R401,6,FALSE)</f>
        <v>38.133333333333297</v>
      </c>
      <c r="P33" s="30">
        <f>VLOOKUP($B33,Hitters!$A1:$R401,7,FALSE)</f>
        <v>86.033333333333303</v>
      </c>
      <c r="Q33" s="30">
        <f>VLOOKUP($B33,Hitters!$A1:$R401,8,FALSE)</f>
        <v>6</v>
      </c>
      <c r="R33" s="32">
        <f>VLOOKUP($B33,Hitters!$A1:$R401,9,FALSE)</f>
        <v>0.22932569974554701</v>
      </c>
      <c r="S33" s="32">
        <f>VLOOKUP($B33,Hitters!$A1:$R401,10,FALSE)</f>
        <v>0.32648782736592502</v>
      </c>
      <c r="T33" s="30">
        <f>VLOOKUP($B33,Hitters!$A1:$R401,11,FALSE)</f>
        <v>120.166666666667</v>
      </c>
      <c r="U33" s="30">
        <f>VLOOKUP($B33,Hitters!$A1:$R401,12,FALSE)</f>
        <v>20.5</v>
      </c>
      <c r="V33" s="30">
        <f>VLOOKUP($B33,Hitters!$A1:$R401,13,FALSE)</f>
        <v>1.93333333333333</v>
      </c>
      <c r="W33" s="30">
        <f>VLOOKUP($B33,Hitters!$A1:$R401,14,FALSE)</f>
        <v>78.133333333333297</v>
      </c>
      <c r="X33" s="30">
        <f>VLOOKUP($B33,Hitters!$A1:$R401,15,FALSE)</f>
        <v>177.13333333333301</v>
      </c>
      <c r="Y33" s="32">
        <f>VLOOKUP($B33,Hitters!$A1:$R401,16,FALSE)</f>
        <v>0.49414758269720099</v>
      </c>
      <c r="Z33" s="32">
        <f>VLOOKUP($B33,Hitters!$A1:$R401,17,FALSE)</f>
        <v>0.82063541006312601</v>
      </c>
      <c r="AA33" s="30">
        <f>VLOOKUP($B33,Hitters!$A1:$R401,18,FALSE)</f>
        <v>0</v>
      </c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</row>
    <row r="34" spans="1:44" ht="18.600000000000001" customHeight="1">
      <c r="A34" s="24">
        <f ca="1">RANK(I34,I$2:I$651)</f>
        <v>19</v>
      </c>
      <c r="B34" s="25" t="s">
        <v>100</v>
      </c>
      <c r="C34" s="26" t="s">
        <v>101</v>
      </c>
      <c r="D34" s="26" t="s">
        <v>70</v>
      </c>
      <c r="E34" s="27" t="s">
        <v>23</v>
      </c>
      <c r="F34" s="28">
        <f ca="1">VLOOKUP(B34,OF!A1:I139,IF(Settings!$J$13="points",4,7),FALSE)</f>
        <v>10</v>
      </c>
      <c r="G34" s="29">
        <f>(M34*Settings!$B$2)+(N34*Settings!$B$3)+(O34*Settings!$B$4)+(P34*Settings!$B$5)+(Q34*Settings!$B$6)+(T34*Settings!$B$9)+(U34*Settings!$B$10)+(V34*Settings!$B$11)+(W34*Settings!$B$12)+(X34*Settings!$B$13)+(AA34*Settings!$B$16)</f>
        <v>496.66666666666652</v>
      </c>
      <c r="H34" s="30">
        <f>VLOOKUP(B34,'Standard Deviations'!$A1:$D651,4,FALSE)</f>
        <v>6.8287678344788407</v>
      </c>
      <c r="I34" s="31">
        <f ca="1">VLOOKUP(B34,OF!A1:I139,IF(Settings!$J$13="points",6,9),FALSE)</f>
        <v>6.7100558663559315</v>
      </c>
      <c r="J34" s="30"/>
      <c r="K34" s="30">
        <f ca="1">J34-A34</f>
        <v>-19</v>
      </c>
      <c r="L34" s="30"/>
      <c r="M34" s="30">
        <f>VLOOKUP($B34,Hitters!$A1:$R401,4,FALSE)</f>
        <v>575.66666666666697</v>
      </c>
      <c r="N34" s="30">
        <f>VLOOKUP($B34,Hitters!$A1:$R401,5,FALSE)</f>
        <v>86.5</v>
      </c>
      <c r="O34" s="30">
        <f>VLOOKUP($B34,Hitters!$A1:$R401,6,FALSE)</f>
        <v>18.933333333333302</v>
      </c>
      <c r="P34" s="30">
        <f>VLOOKUP($B34,Hitters!$A1:$R401,7,FALSE)</f>
        <v>60.3333333333333</v>
      </c>
      <c r="Q34" s="30">
        <f>VLOOKUP($B34,Hitters!$A1:$R401,8,FALSE)</f>
        <v>30.233333333333299</v>
      </c>
      <c r="R34" s="32">
        <f>VLOOKUP($B34,Hitters!$A1:$R401,9,FALSE)</f>
        <v>0.26230457440648502</v>
      </c>
      <c r="S34" s="32">
        <f>VLOOKUP($B34,Hitters!$A1:$R401,10,FALSE)</f>
        <v>0.31674136316254597</v>
      </c>
      <c r="T34" s="30">
        <f>VLOOKUP($B34,Hitters!$A1:$R401,11,FALSE)</f>
        <v>151</v>
      </c>
      <c r="U34" s="30">
        <f>VLOOKUP($B34,Hitters!$A1:$R401,12,FALSE)</f>
        <v>31.3333333333333</v>
      </c>
      <c r="V34" s="30">
        <f>VLOOKUP($B34,Hitters!$A1:$R401,13,FALSE)</f>
        <v>4.1666666666666696</v>
      </c>
      <c r="W34" s="30">
        <f>VLOOKUP($B34,Hitters!$A1:$R401,14,FALSE)</f>
        <v>48.533333333333303</v>
      </c>
      <c r="X34" s="30">
        <f>VLOOKUP($B34,Hitters!$A1:$R401,15,FALSE)</f>
        <v>122.133333333333</v>
      </c>
      <c r="Y34" s="32">
        <f>VLOOKUP($B34,Hitters!$A1:$R401,16,FALSE)</f>
        <v>0.42987840185292397</v>
      </c>
      <c r="Z34" s="32">
        <f>VLOOKUP($B34,Hitters!$A1:$R401,17,FALSE)</f>
        <v>0.74661976501547</v>
      </c>
      <c r="AA34" s="30">
        <f>VLOOKUP($B34,Hitters!$A1:$R401,18,FALSE)</f>
        <v>0</v>
      </c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</row>
    <row r="35" spans="1:44" ht="18.600000000000001" customHeight="1">
      <c r="A35" s="24">
        <f ca="1">RANK(I35,I$2:I$651)</f>
        <v>110</v>
      </c>
      <c r="B35" s="25" t="s">
        <v>204</v>
      </c>
      <c r="C35" s="26" t="s">
        <v>97</v>
      </c>
      <c r="D35" s="26" t="s">
        <v>75</v>
      </c>
      <c r="E35" s="37" t="s">
        <v>27</v>
      </c>
      <c r="F35" s="38">
        <f ca="1">VLOOKUP(B35,SS!A1:I45,IF(Settings!$J$13="points",4,7),FALSE)</f>
        <v>6</v>
      </c>
      <c r="G35" s="29">
        <f>(M35*Settings!$B$2)+(N35*Settings!$B$3)+(O35*Settings!$B$4)+(P35*Settings!$B$5)+(Q35*Settings!$B$6)+(T35*Settings!$B$9)+(U35*Settings!$B$10)+(V35*Settings!$B$11)+(W35*Settings!$B$12)+(X35*Settings!$B$13)+(AA35*Settings!$B$16)</f>
        <v>492.73333333333323</v>
      </c>
      <c r="H35" s="30">
        <f>VLOOKUP(B35,'Standard Deviations'!$A1:$D651,4,FALSE)</f>
        <v>5.5711969568855411</v>
      </c>
      <c r="I35" s="31">
        <f ca="1">IF(Settings!$J$16="no",VLOOKUP(B35,SS!A1:I45,IF(Settings!$J$13="points",6,9),FALSE),VLOOKUP(B35,'2B+SS'!$A1:$I94,IF(Settings!$J$13="points",6,9),FALSE))</f>
        <v>2.5667755486209196</v>
      </c>
      <c r="J35" s="30"/>
      <c r="K35" s="30">
        <f ca="1">J35-A35</f>
        <v>-110</v>
      </c>
      <c r="L35" s="30"/>
      <c r="M35" s="30">
        <f>VLOOKUP($B35,Hitters!$A1:$R401,4,FALSE)</f>
        <v>573.33333333333303</v>
      </c>
      <c r="N35" s="30">
        <f>VLOOKUP($B35,Hitters!$A1:$R401,5,FALSE)</f>
        <v>84.133333333333297</v>
      </c>
      <c r="O35" s="30">
        <f>VLOOKUP($B35,Hitters!$A1:$R401,6,FALSE)</f>
        <v>23.1</v>
      </c>
      <c r="P35" s="30">
        <f>VLOOKUP($B35,Hitters!$A1:$R401,7,FALSE)</f>
        <v>84.766666666666694</v>
      </c>
      <c r="Q35" s="30">
        <f>VLOOKUP($B35,Hitters!$A1:$R401,8,FALSE)</f>
        <v>13.6</v>
      </c>
      <c r="R35" s="32">
        <f>VLOOKUP($B35,Hitters!$A1:$R401,9,FALSE)</f>
        <v>0.25622093023255799</v>
      </c>
      <c r="S35" s="32">
        <f>VLOOKUP($B35,Hitters!$A1:$R401,10,FALSE)</f>
        <v>0.32059948645391201</v>
      </c>
      <c r="T35" s="30">
        <f>VLOOKUP($B35,Hitters!$A1:$R401,11,FALSE)</f>
        <v>146.9</v>
      </c>
      <c r="U35" s="30">
        <f>VLOOKUP($B35,Hitters!$A1:$R401,12,FALSE)</f>
        <v>25</v>
      </c>
      <c r="V35" s="30">
        <f>VLOOKUP($B35,Hitters!$A1:$R401,13,FALSE)</f>
        <v>3.2333333333333298</v>
      </c>
      <c r="W35" s="30">
        <f>VLOOKUP($B35,Hitters!$A1:$R401,14,FALSE)</f>
        <v>57.033333333333303</v>
      </c>
      <c r="X35" s="30">
        <f>VLOOKUP($B35,Hitters!$A1:$R401,15,FALSE)</f>
        <v>118.8</v>
      </c>
      <c r="Y35" s="32">
        <f>VLOOKUP($B35,Hitters!$A1:$R401,16,FALSE)</f>
        <v>0.43197674418604598</v>
      </c>
      <c r="Z35" s="32">
        <f>VLOOKUP($B35,Hitters!$A1:$R401,17,FALSE)</f>
        <v>0.75257623063995804</v>
      </c>
      <c r="AA35" s="30">
        <f>VLOOKUP($B35,Hitters!$A1:$R401,18,FALSE)</f>
        <v>0</v>
      </c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</row>
    <row r="36" spans="1:44" ht="18.600000000000001" customHeight="1">
      <c r="A36" s="24">
        <f ca="1">RANK(I36,I$2:I$651)</f>
        <v>22</v>
      </c>
      <c r="B36" s="25" t="s">
        <v>106</v>
      </c>
      <c r="C36" s="26" t="s">
        <v>69</v>
      </c>
      <c r="D36" s="26" t="s">
        <v>70</v>
      </c>
      <c r="E36" s="35" t="s">
        <v>31</v>
      </c>
      <c r="F36" s="36">
        <f ca="1">VLOOKUP(B36,SP!A1:I161,IF(Settings!$J$13="points",4,7),FALSE)</f>
        <v>5</v>
      </c>
      <c r="G36" s="29">
        <f>(AC36*Settings!$F$2)+(AF36*Settings!$F$5)+(AG36*Settings!$F$6)+(AH36*Settings!$F$7)+(AI36*Settings!$F$8)+(AJ36*Settings!$F$9)+(AK36*Settings!$F$10)+(AL36*Settings!$F$11)+(AM36*Settings!$F$12)+(AN36*Settings!$F$13)+(AO36*Settings!$F$14)+(AP36*Settings!$F$15)+(AQ36*Settings!$F$16)+(AR36*Settings!$F$17)</f>
        <v>490.0333333333333</v>
      </c>
      <c r="H36" s="30">
        <f>VLOOKUP(B36,'Standard Deviations'!$A1:$D651,4,FALSE)</f>
        <v>6.5209874347560017</v>
      </c>
      <c r="I36" s="31">
        <f ca="1">IF(Settings!$J$16="no",VLOOKUP(B36,SP!A1:I161,IF(Settings!$J$13="points",6,9),FALSE),VLOOKUP(B36,'SP+RP'!$A1:$I251,IF(Settings!$J$13="points",6,9),FALSE))</f>
        <v>6.3850031103683564</v>
      </c>
      <c r="J36" s="30"/>
      <c r="K36" s="30">
        <f ca="1">J36-A36</f>
        <v>-22</v>
      </c>
      <c r="L36" s="30"/>
      <c r="M36" s="30"/>
      <c r="N36" s="30"/>
      <c r="O36" s="30"/>
      <c r="P36" s="30"/>
      <c r="Q36" s="30"/>
      <c r="R36" s="32"/>
      <c r="S36" s="32"/>
      <c r="T36" s="30"/>
      <c r="U36" s="30"/>
      <c r="V36" s="30"/>
      <c r="W36" s="30"/>
      <c r="X36" s="30"/>
      <c r="Y36" s="32"/>
      <c r="Z36" s="32"/>
      <c r="AA36" s="30"/>
      <c r="AB36" s="30"/>
      <c r="AC36" s="30">
        <f>VLOOKUP($B36,Pitchers!$A1:$S251,4,FALSE)</f>
        <v>168.9</v>
      </c>
      <c r="AD36" s="32">
        <f>VLOOKUP($B36,Pitchers!$A1:$S251,5,FALSE)</f>
        <v>3.1296625222024859</v>
      </c>
      <c r="AE36" s="32">
        <f>VLOOKUP($B36,Pitchers!$A1:$S251,6,FALSE)</f>
        <v>1.0582198539569765</v>
      </c>
      <c r="AF36" s="30">
        <f>VLOOKUP($B36,Pitchers!$A1:$S251,7,FALSE)</f>
        <v>218.6</v>
      </c>
      <c r="AG36" s="30">
        <f>VLOOKUP($B36,Pitchers!$A1:$S251,8,FALSE)</f>
        <v>13.166666666666666</v>
      </c>
      <c r="AH36" s="30">
        <f>VLOOKUP($B36,Pitchers!$A1:$S251,9,FALSE)</f>
        <v>0</v>
      </c>
      <c r="AI36" s="30">
        <f>VLOOKUP($B36,Pitchers!$A1:$S251,10,FALSE)</f>
        <v>58.733333333333327</v>
      </c>
      <c r="AJ36" s="30">
        <f>VLOOKUP($B36,Pitchers!$A1:$S251,11,FALSE)</f>
        <v>129.9</v>
      </c>
      <c r="AK36" s="30">
        <f>VLOOKUP($B36,Pitchers!$A1:$S251,12,FALSE)</f>
        <v>48.833333333333336</v>
      </c>
      <c r="AL36" s="30">
        <f>VLOOKUP($B36,Pitchers!$A1:$S251,13,FALSE)</f>
        <v>21</v>
      </c>
      <c r="AM36" s="30">
        <f>VLOOKUP($B36,Pitchers!$A1:$S251,14,FALSE)</f>
        <v>30.066666666666666</v>
      </c>
      <c r="AN36" s="30">
        <f>VLOOKUP($B36,Pitchers!$A1:$S251,15,FALSE)</f>
        <v>29.400000000000002</v>
      </c>
      <c r="AO36" s="30">
        <f>VLOOKUP($B36,Pitchers!$A1:$S251,16,FALSE)</f>
        <v>7.5333333333333341</v>
      </c>
      <c r="AP36" s="30">
        <f>VLOOKUP($B36,Pitchers!$A1:$S251,17,FALSE)</f>
        <v>19</v>
      </c>
      <c r="AQ36" s="30">
        <f>VLOOKUP($B36,Pitchers!$A1:$S251,18,FALSE)</f>
        <v>0</v>
      </c>
      <c r="AR36" s="30">
        <f>VLOOKUP($B36,Pitchers!$A1:$S251,19,FALSE)</f>
        <v>0</v>
      </c>
    </row>
    <row r="37" spans="1:44" ht="18.600000000000001" customHeight="1">
      <c r="A37" s="24">
        <f ca="1">RANK(I37,I$2:I$651)</f>
        <v>11</v>
      </c>
      <c r="B37" s="25" t="s">
        <v>88</v>
      </c>
      <c r="C37" s="26" t="s">
        <v>74</v>
      </c>
      <c r="D37" s="26" t="s">
        <v>75</v>
      </c>
      <c r="E37" s="27" t="s">
        <v>23</v>
      </c>
      <c r="F37" s="28">
        <f ca="1">VLOOKUP(B37,OF!A1:I139,IF(Settings!$J$13="points",4,7),FALSE)</f>
        <v>8</v>
      </c>
      <c r="G37" s="29">
        <f>(M37*Settings!$B$2)+(N37*Settings!$B$3)+(O37*Settings!$B$4)+(P37*Settings!$B$5)+(Q37*Settings!$B$6)+(T37*Settings!$B$9)+(U37*Settings!$B$10)+(V37*Settings!$B$11)+(W37*Settings!$B$12)+(X37*Settings!$B$13)+(AA37*Settings!$B$16)</f>
        <v>487.33333333333269</v>
      </c>
      <c r="H37" s="30">
        <f>VLOOKUP(B37,'Standard Deviations'!$A1:$D651,4,FALSE)</f>
        <v>7.720169101954979</v>
      </c>
      <c r="I37" s="31">
        <f ca="1">VLOOKUP(B37,OF!A1:I139,IF(Settings!$J$13="points",6,9),FALSE)</f>
        <v>7.6014517709392102</v>
      </c>
      <c r="J37" s="30"/>
      <c r="K37" s="30">
        <f ca="1">J37-A37</f>
        <v>-11</v>
      </c>
      <c r="L37" s="30"/>
      <c r="M37" s="30">
        <f>VLOOKUP($B37,Hitters!$A1:$R401,4,FALSE)</f>
        <v>530</v>
      </c>
      <c r="N37" s="30">
        <f>VLOOKUP($B37,Hitters!$A1:$R401,5,FALSE)</f>
        <v>86.133333333333297</v>
      </c>
      <c r="O37" s="30">
        <f>VLOOKUP($B37,Hitters!$A1:$R401,6,FALSE)</f>
        <v>21.1</v>
      </c>
      <c r="P37" s="30">
        <f>VLOOKUP($B37,Hitters!$A1:$R401,7,FALSE)</f>
        <v>76.533333333333303</v>
      </c>
      <c r="Q37" s="30">
        <f>VLOOKUP($B37,Hitters!$A1:$R401,8,FALSE)</f>
        <v>22.2</v>
      </c>
      <c r="R37" s="32">
        <f>VLOOKUP($B37,Hitters!$A1:$R401,9,FALSE)</f>
        <v>0.28477987421383599</v>
      </c>
      <c r="S37" s="32">
        <f>VLOOKUP($B37,Hitters!$A1:$R401,10,FALSE)</f>
        <v>0.32365534635462501</v>
      </c>
      <c r="T37" s="30">
        <f>VLOOKUP($B37,Hitters!$A1:$R401,11,FALSE)</f>
        <v>150.933333333333</v>
      </c>
      <c r="U37" s="30">
        <f>VLOOKUP($B37,Hitters!$A1:$R401,12,FALSE)</f>
        <v>33.433333333333302</v>
      </c>
      <c r="V37" s="30">
        <f>VLOOKUP($B37,Hitters!$A1:$R401,13,FALSE)</f>
        <v>3.4666666666666699</v>
      </c>
      <c r="W37" s="30">
        <f>VLOOKUP($B37,Hitters!$A1:$R401,14,FALSE)</f>
        <v>33</v>
      </c>
      <c r="X37" s="30">
        <f>VLOOKUP($B37,Hitters!$A1:$R401,15,FALSE)</f>
        <v>130.666666666667</v>
      </c>
      <c r="Y37" s="32">
        <f>VLOOKUP($B37,Hitters!$A1:$R401,16,FALSE)</f>
        <v>0.48037735849056601</v>
      </c>
      <c r="Z37" s="32">
        <f>VLOOKUP($B37,Hitters!$A1:$R401,17,FALSE)</f>
        <v>0.80403270484519096</v>
      </c>
      <c r="AA37" s="30">
        <f>VLOOKUP($B37,Hitters!$A1:$R401,18,FALSE)</f>
        <v>0</v>
      </c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</row>
    <row r="38" spans="1:44" ht="18.600000000000001" customHeight="1">
      <c r="A38" s="24">
        <f ca="1">RANK(I38,I$2:I$651)</f>
        <v>50</v>
      </c>
      <c r="B38" s="25" t="s">
        <v>140</v>
      </c>
      <c r="C38" s="26" t="s">
        <v>77</v>
      </c>
      <c r="D38" s="26" t="s">
        <v>70</v>
      </c>
      <c r="E38" s="35" t="s">
        <v>31</v>
      </c>
      <c r="F38" s="36">
        <f ca="1">VLOOKUP(B38,SP!A1:I161,IF(Settings!$J$13="points",4,7),FALSE)</f>
        <v>13</v>
      </c>
      <c r="G38" s="29">
        <f>(AC38*Settings!$F$2)+(AF38*Settings!$F$5)+(AG38*Settings!$F$6)+(AH38*Settings!$F$7)+(AI38*Settings!$F$8)+(AJ38*Settings!$F$9)+(AK38*Settings!$F$10)+(AL38*Settings!$F$11)+(AM38*Settings!$F$12)+(AN38*Settings!$F$13)+(AO38*Settings!$F$14)+(AP38*Settings!$F$15)+(AQ38*Settings!$F$16)+(AR38*Settings!$F$17)</f>
        <v>486.2000000000001</v>
      </c>
      <c r="H38" s="30">
        <f>VLOOKUP(B38,'Standard Deviations'!$A1:$D651,4,FALSE)</f>
        <v>4.924579024702509</v>
      </c>
      <c r="I38" s="31">
        <f ca="1">IF(Settings!$J$16="no",VLOOKUP(B38,SP!A1:I161,IF(Settings!$J$13="points",6,9),FALSE),VLOOKUP(B38,'SP+RP'!$A1:$I251,IF(Settings!$J$13="points",6,9),FALSE))</f>
        <v>4.7885997218490308</v>
      </c>
      <c r="J38" s="30"/>
      <c r="K38" s="30">
        <f ca="1">J38-A38</f>
        <v>-50</v>
      </c>
      <c r="L38" s="30"/>
      <c r="M38" s="30"/>
      <c r="N38" s="30"/>
      <c r="O38" s="30"/>
      <c r="P38" s="30"/>
      <c r="Q38" s="30"/>
      <c r="R38" s="32"/>
      <c r="S38" s="32"/>
      <c r="T38" s="30"/>
      <c r="U38" s="30"/>
      <c r="V38" s="30"/>
      <c r="W38" s="30"/>
      <c r="X38" s="30"/>
      <c r="Y38" s="32"/>
      <c r="Z38" s="32"/>
      <c r="AA38" s="30"/>
      <c r="AB38" s="30"/>
      <c r="AC38" s="30">
        <f>VLOOKUP($B38,Pitchers!$A1:$S251,4,FALSE)</f>
        <v>181.9666666666667</v>
      </c>
      <c r="AD38" s="32">
        <f>VLOOKUP($B38,Pitchers!$A1:$S251,5,FALSE)</f>
        <v>3.2824693167246739</v>
      </c>
      <c r="AE38" s="32">
        <f>VLOOKUP($B38,Pitchers!$A1:$S251,6,FALSE)</f>
        <v>1.1221835501007509</v>
      </c>
      <c r="AF38" s="30">
        <f>VLOOKUP($B38,Pitchers!$A1:$S251,7,FALSE)</f>
        <v>196.79999999999998</v>
      </c>
      <c r="AG38" s="30">
        <f>VLOOKUP($B38,Pitchers!$A1:$S251,8,FALSE)</f>
        <v>12.566666666666668</v>
      </c>
      <c r="AH38" s="30">
        <f>VLOOKUP($B38,Pitchers!$A1:$S251,9,FALSE)</f>
        <v>0</v>
      </c>
      <c r="AI38" s="30">
        <f>VLOOKUP($B38,Pitchers!$A1:$S251,10,FALSE)</f>
        <v>66.36666666666666</v>
      </c>
      <c r="AJ38" s="30">
        <f>VLOOKUP($B38,Pitchers!$A1:$S251,11,FALSE)</f>
        <v>162.13333333333333</v>
      </c>
      <c r="AK38" s="30">
        <f>VLOOKUP($B38,Pitchers!$A1:$S251,12,FALSE)</f>
        <v>42.06666666666667</v>
      </c>
      <c r="AL38" s="30">
        <f>VLOOKUP($B38,Pitchers!$A1:$S251,13,FALSE)</f>
        <v>24</v>
      </c>
      <c r="AM38" s="30">
        <f>VLOOKUP($B38,Pitchers!$A1:$S251,14,FALSE)</f>
        <v>29.599999999999998</v>
      </c>
      <c r="AN38" s="30">
        <f>VLOOKUP($B38,Pitchers!$A1:$S251,15,FALSE)</f>
        <v>29.266666666666666</v>
      </c>
      <c r="AO38" s="30">
        <f>VLOOKUP($B38,Pitchers!$A1:$S251,16,FALSE)</f>
        <v>7.7</v>
      </c>
      <c r="AP38" s="30">
        <f>VLOOKUP($B38,Pitchers!$A1:$S251,17,FALSE)</f>
        <v>21</v>
      </c>
      <c r="AQ38" s="30">
        <f>VLOOKUP($B38,Pitchers!$A1:$S251,18,FALSE)</f>
        <v>0</v>
      </c>
      <c r="AR38" s="30">
        <f>VLOOKUP($B38,Pitchers!$A1:$S251,19,FALSE)</f>
        <v>0</v>
      </c>
    </row>
    <row r="39" spans="1:44" ht="18.600000000000001" customHeight="1">
      <c r="A39" s="24">
        <f ca="1">RANK(I39,I$2:I$651)</f>
        <v>34</v>
      </c>
      <c r="B39" s="25" t="s">
        <v>120</v>
      </c>
      <c r="C39" s="26" t="s">
        <v>95</v>
      </c>
      <c r="D39" s="26" t="s">
        <v>70</v>
      </c>
      <c r="E39" s="27" t="s">
        <v>23</v>
      </c>
      <c r="F39" s="28">
        <f ca="1">VLOOKUP(B39,OF!A1:I139,IF(Settings!$J$13="points",4,7),FALSE)</f>
        <v>14</v>
      </c>
      <c r="G39" s="29">
        <f>(M39*Settings!$B$2)+(N39*Settings!$B$3)+(O39*Settings!$B$4)+(P39*Settings!$B$5)+(Q39*Settings!$B$6)+(T39*Settings!$B$9)+(U39*Settings!$B$10)+(V39*Settings!$B$11)+(W39*Settings!$B$12)+(X39*Settings!$B$13)+(AA39*Settings!$B$16)</f>
        <v>484.4166666666672</v>
      </c>
      <c r="H39" s="30">
        <f>VLOOKUP(B39,'Standard Deviations'!$A1:$D651,4,FALSE)</f>
        <v>5.6341928094875824</v>
      </c>
      <c r="I39" s="31">
        <f ca="1">VLOOKUP(B39,OF!A1:I139,IF(Settings!$J$13="points",6,9),FALSE)</f>
        <v>5.5154792440293035</v>
      </c>
      <c r="J39" s="30"/>
      <c r="K39" s="30">
        <f ca="1">J39-A39</f>
        <v>-34</v>
      </c>
      <c r="L39" s="30"/>
      <c r="M39" s="30">
        <f>VLOOKUP($B39,Hitters!$A1:$R401,4,FALSE)</f>
        <v>505.66666666666703</v>
      </c>
      <c r="N39" s="30">
        <f>VLOOKUP($B39,Hitters!$A1:$R401,5,FALSE)</f>
        <v>90.566666666666706</v>
      </c>
      <c r="O39" s="30">
        <f>VLOOKUP($B39,Hitters!$A1:$R401,6,FALSE)</f>
        <v>27.366666666666699</v>
      </c>
      <c r="P39" s="30">
        <f>VLOOKUP($B39,Hitters!$A1:$R401,7,FALSE)</f>
        <v>73.099999999999994</v>
      </c>
      <c r="Q39" s="30">
        <f>VLOOKUP($B39,Hitters!$A1:$R401,8,FALSE)</f>
        <v>10.5</v>
      </c>
      <c r="R39" s="32">
        <f>VLOOKUP($B39,Hitters!$A1:$R401,9,FALSE)</f>
        <v>0.26117336849044198</v>
      </c>
      <c r="S39" s="32">
        <f>VLOOKUP($B39,Hitters!$A1:$R401,10,FALSE)</f>
        <v>0.33200632729026103</v>
      </c>
      <c r="T39" s="30">
        <f>VLOOKUP($B39,Hitters!$A1:$R401,11,FALSE)</f>
        <v>132.066666666667</v>
      </c>
      <c r="U39" s="30">
        <f>VLOOKUP($B39,Hitters!$A1:$R401,12,FALSE)</f>
        <v>23.466666666666701</v>
      </c>
      <c r="V39" s="30">
        <f>VLOOKUP($B39,Hitters!$A1:$R401,13,FALSE)</f>
        <v>3.3</v>
      </c>
      <c r="W39" s="30">
        <f>VLOOKUP($B39,Hitters!$A1:$R401,14,FALSE)</f>
        <v>56.133333333333297</v>
      </c>
      <c r="X39" s="30">
        <f>VLOOKUP($B39,Hitters!$A1:$R401,15,FALSE)</f>
        <v>109.5</v>
      </c>
      <c r="Y39" s="32">
        <f>VLOOKUP($B39,Hitters!$A1:$R401,16,FALSE)</f>
        <v>0.48299274884640703</v>
      </c>
      <c r="Z39" s="32">
        <f>VLOOKUP($B39,Hitters!$A1:$R401,17,FALSE)</f>
        <v>0.814999076136669</v>
      </c>
      <c r="AA39" s="30">
        <f>VLOOKUP($B39,Hitters!$A1:$R401,18,FALSE)</f>
        <v>0</v>
      </c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</row>
    <row r="40" spans="1:44" ht="18.600000000000001" customHeight="1">
      <c r="A40" s="24">
        <f ca="1">RANK(I40,I$2:I$651)</f>
        <v>49</v>
      </c>
      <c r="B40" s="25" t="s">
        <v>138</v>
      </c>
      <c r="C40" s="26" t="s">
        <v>139</v>
      </c>
      <c r="D40" s="26" t="s">
        <v>75</v>
      </c>
      <c r="E40" s="27" t="s">
        <v>23</v>
      </c>
      <c r="F40" s="28">
        <f ca="1">VLOOKUP(B40,OF!A1:I139,IF(Settings!$J$13="points",4,7),FALSE)</f>
        <v>20</v>
      </c>
      <c r="G40" s="29">
        <f>(M40*Settings!$B$2)+(N40*Settings!$B$3)+(O40*Settings!$B$4)+(P40*Settings!$B$5)+(Q40*Settings!$B$6)+(T40*Settings!$B$9)+(U40*Settings!$B$10)+(V40*Settings!$B$11)+(W40*Settings!$B$12)+(X40*Settings!$B$13)+(AA40*Settings!$B$16)</f>
        <v>482.55000000000013</v>
      </c>
      <c r="H40" s="30">
        <f>VLOOKUP(B40,'Standard Deviations'!$A1:$D651,4,FALSE)</f>
        <v>4.9269488603339804</v>
      </c>
      <c r="I40" s="31">
        <f ca="1">VLOOKUP(B40,OF!A1:I139,IF(Settings!$J$13="points",6,9),FALSE)</f>
        <v>4.8082328552552251</v>
      </c>
      <c r="J40" s="30"/>
      <c r="K40" s="30">
        <f ca="1">J40-A40</f>
        <v>-49</v>
      </c>
      <c r="L40" s="30"/>
      <c r="M40" s="30">
        <f>VLOOKUP($B40,Hitters!$A1:$R401,4,FALSE)</f>
        <v>552</v>
      </c>
      <c r="N40" s="30">
        <f>VLOOKUP($B40,Hitters!$A1:$R401,5,FALSE)</f>
        <v>85.266666666666694</v>
      </c>
      <c r="O40" s="30">
        <f>VLOOKUP($B40,Hitters!$A1:$R401,6,FALSE)</f>
        <v>24.133333333333301</v>
      </c>
      <c r="P40" s="30">
        <f>VLOOKUP($B40,Hitters!$A1:$R401,7,FALSE)</f>
        <v>74.766666666666694</v>
      </c>
      <c r="Q40" s="30">
        <f>VLOOKUP($B40,Hitters!$A1:$R401,8,FALSE)</f>
        <v>6.7666666666666702</v>
      </c>
      <c r="R40" s="32">
        <f>VLOOKUP($B40,Hitters!$A1:$R401,9,FALSE)</f>
        <v>0.26986714975845399</v>
      </c>
      <c r="S40" s="32">
        <f>VLOOKUP($B40,Hitters!$A1:$R401,10,FALSE)</f>
        <v>0.341842707248182</v>
      </c>
      <c r="T40" s="30">
        <f>VLOOKUP($B40,Hitters!$A1:$R401,11,FALSE)</f>
        <v>148.96666666666701</v>
      </c>
      <c r="U40" s="30">
        <f>VLOOKUP($B40,Hitters!$A1:$R401,12,FALSE)</f>
        <v>26.866666666666699</v>
      </c>
      <c r="V40" s="30">
        <f>VLOOKUP($B40,Hitters!$A1:$R401,13,FALSE)</f>
        <v>4.8</v>
      </c>
      <c r="W40" s="30">
        <f>VLOOKUP($B40,Hitters!$A1:$R401,14,FALSE)</f>
        <v>63.233333333333299</v>
      </c>
      <c r="X40" s="30">
        <f>VLOOKUP($B40,Hitters!$A1:$R401,15,FALSE)</f>
        <v>135.76666666666699</v>
      </c>
      <c r="Y40" s="32">
        <f>VLOOKUP($B40,Hitters!$A1:$R401,16,FALSE)</f>
        <v>0.46708937198067602</v>
      </c>
      <c r="Z40" s="32">
        <f>VLOOKUP($B40,Hitters!$A1:$R401,17,FALSE)</f>
        <v>0.80893207922885901</v>
      </c>
      <c r="AA40" s="30">
        <f>VLOOKUP($B40,Hitters!$A1:$R401,18,FALSE)</f>
        <v>0</v>
      </c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</row>
    <row r="41" spans="1:44" ht="18.600000000000001" customHeight="1">
      <c r="A41" s="24">
        <f ca="1">RANK(I41,I$2:I$651)</f>
        <v>25</v>
      </c>
      <c r="B41" s="25" t="s">
        <v>109</v>
      </c>
      <c r="C41" s="26" t="s">
        <v>97</v>
      </c>
      <c r="D41" s="26" t="s">
        <v>75</v>
      </c>
      <c r="E41" s="35" t="s">
        <v>31</v>
      </c>
      <c r="F41" s="36">
        <f ca="1">VLOOKUP(B41,SP!A1:I161,IF(Settings!$J$13="points",4,7),FALSE)</f>
        <v>6</v>
      </c>
      <c r="G41" s="29">
        <f>(AC41*Settings!$F$2)+(AF41*Settings!$F$5)+(AG41*Settings!$F$6)+(AH41*Settings!$F$7)+(AI41*Settings!$F$8)+(AJ41*Settings!$F$9)+(AK41*Settings!$F$10)+(AL41*Settings!$F$11)+(AM41*Settings!$F$12)+(AN41*Settings!$F$13)+(AO41*Settings!$F$14)+(AP41*Settings!$F$15)+(AQ41*Settings!$F$16)+(AR41*Settings!$F$17)</f>
        <v>481.93333333333339</v>
      </c>
      <c r="H41" s="30">
        <f>VLOOKUP(B41,'Standard Deviations'!$A1:$D651,4,FALSE)</f>
        <v>6.3709662563370228</v>
      </c>
      <c r="I41" s="31">
        <f ca="1">IF(Settings!$J$16="no",VLOOKUP(B41,SP!A1:I161,IF(Settings!$J$13="points",6,9),FALSE),VLOOKUP(B41,'SP+RP'!$A1:$I251,IF(Settings!$J$13="points",6,9),FALSE))</f>
        <v>6.234981690187678</v>
      </c>
      <c r="J41" s="30"/>
      <c r="K41" s="30">
        <f ca="1">J41-A41</f>
        <v>-25</v>
      </c>
      <c r="L41" s="30"/>
      <c r="M41" s="30"/>
      <c r="N41" s="30"/>
      <c r="O41" s="30"/>
      <c r="P41" s="30"/>
      <c r="Q41" s="30"/>
      <c r="R41" s="32"/>
      <c r="S41" s="32"/>
      <c r="T41" s="30"/>
      <c r="U41" s="30"/>
      <c r="V41" s="30"/>
      <c r="W41" s="30"/>
      <c r="X41" s="30"/>
      <c r="Y41" s="32"/>
      <c r="Z41" s="32"/>
      <c r="AA41" s="30"/>
      <c r="AB41" s="30"/>
      <c r="AC41" s="30">
        <f>VLOOKUP($B41,Pitchers!$A1:$S251,4,FALSE)</f>
        <v>167.76666666666668</v>
      </c>
      <c r="AD41" s="32">
        <f>VLOOKUP($B41,Pitchers!$A1:$S251,5,FALSE)</f>
        <v>3.1347109080071531</v>
      </c>
      <c r="AE41" s="32">
        <f>VLOOKUP($B41,Pitchers!$A1:$S251,6,FALSE)</f>
        <v>0.99701967017683291</v>
      </c>
      <c r="AF41" s="30">
        <f>VLOOKUP($B41,Pitchers!$A1:$S251,7,FALSE)</f>
        <v>186</v>
      </c>
      <c r="AG41" s="30">
        <f>VLOOKUP($B41,Pitchers!$A1:$S251,8,FALSE)</f>
        <v>13</v>
      </c>
      <c r="AH41" s="30">
        <f>VLOOKUP($B41,Pitchers!$A1:$S251,9,FALSE)</f>
        <v>0</v>
      </c>
      <c r="AI41" s="30">
        <f>VLOOKUP($B41,Pitchers!$A1:$S251,10,FALSE)</f>
        <v>58.433333333333337</v>
      </c>
      <c r="AJ41" s="30">
        <f>VLOOKUP($B41,Pitchers!$A1:$S251,11,FALSE)</f>
        <v>133.33333333333334</v>
      </c>
      <c r="AK41" s="30">
        <f>VLOOKUP($B41,Pitchers!$A1:$S251,12,FALSE)</f>
        <v>33.93333333333333</v>
      </c>
      <c r="AL41" s="30">
        <f>VLOOKUP($B41,Pitchers!$A1:$S251,13,FALSE)</f>
        <v>24</v>
      </c>
      <c r="AM41" s="30">
        <f>VLOOKUP($B41,Pitchers!$A1:$S251,14,FALSE)</f>
        <v>28.066666666666666</v>
      </c>
      <c r="AN41" s="30">
        <f>VLOOKUP($B41,Pitchers!$A1:$S251,15,FALSE)</f>
        <v>28.066666666666666</v>
      </c>
      <c r="AO41" s="30">
        <f>VLOOKUP($B41,Pitchers!$A1:$S251,16,FALSE)</f>
        <v>6.7333333333333334</v>
      </c>
      <c r="AP41" s="30">
        <f>VLOOKUP($B41,Pitchers!$A1:$S251,17,FALSE)</f>
        <v>18</v>
      </c>
      <c r="AQ41" s="30">
        <f>VLOOKUP($B41,Pitchers!$A1:$S251,18,FALSE)</f>
        <v>0</v>
      </c>
      <c r="AR41" s="30">
        <f>VLOOKUP($B41,Pitchers!$A1:$S251,19,FALSE)</f>
        <v>0</v>
      </c>
    </row>
    <row r="42" spans="1:44" ht="18.600000000000001" customHeight="1">
      <c r="A42" s="24">
        <f ca="1">RANK(I42,I$2:I$651)</f>
        <v>32</v>
      </c>
      <c r="B42" s="25" t="s">
        <v>117</v>
      </c>
      <c r="C42" s="26" t="s">
        <v>103</v>
      </c>
      <c r="D42" s="26" t="s">
        <v>70</v>
      </c>
      <c r="E42" s="35" t="s">
        <v>31</v>
      </c>
      <c r="F42" s="36">
        <f ca="1">VLOOKUP(B42,SP!A1:I161,IF(Settings!$J$13="points",4,7),FALSE)</f>
        <v>9</v>
      </c>
      <c r="G42" s="29">
        <f>(AC42*Settings!$F$2)+(AF42*Settings!$F$5)+(AG42*Settings!$F$6)+(AH42*Settings!$F$7)+(AI42*Settings!$F$8)+(AJ42*Settings!$F$9)+(AK42*Settings!$F$10)+(AL42*Settings!$F$11)+(AM42*Settings!$F$12)+(AN42*Settings!$F$13)+(AO42*Settings!$F$14)+(AP42*Settings!$F$15)+(AQ42*Settings!$F$16)+(AR42*Settings!$F$17)</f>
        <v>481.58333333333326</v>
      </c>
      <c r="H42" s="30">
        <f>VLOOKUP(B42,'Standard Deviations'!$A1:$D651,4,FALSE)</f>
        <v>5.9186423152993477</v>
      </c>
      <c r="I42" s="31">
        <f ca="1">IF(Settings!$J$16="no",VLOOKUP(B42,SP!A1:I161,IF(Settings!$J$13="points",6,9),FALSE),VLOOKUP(B42,'SP+RP'!$A1:$I251,IF(Settings!$J$13="points",6,9),FALSE))</f>
        <v>5.7826584003523545</v>
      </c>
      <c r="J42" s="30"/>
      <c r="K42" s="30">
        <f ca="1">J42-A42</f>
        <v>-32</v>
      </c>
      <c r="L42" s="30"/>
      <c r="M42" s="30"/>
      <c r="N42" s="30"/>
      <c r="O42" s="30"/>
      <c r="P42" s="30"/>
      <c r="Q42" s="30"/>
      <c r="R42" s="32"/>
      <c r="S42" s="32"/>
      <c r="T42" s="30"/>
      <c r="U42" s="30"/>
      <c r="V42" s="30"/>
      <c r="W42" s="30"/>
      <c r="X42" s="30"/>
      <c r="Y42" s="32"/>
      <c r="Z42" s="32"/>
      <c r="AA42" s="30"/>
      <c r="AB42" s="30"/>
      <c r="AC42" s="30">
        <f>VLOOKUP($B42,Pitchers!$A1:$S251,4,FALSE)</f>
        <v>171.1</v>
      </c>
      <c r="AD42" s="32">
        <f>VLOOKUP($B42,Pitchers!$A1:$S251,5,FALSE)</f>
        <v>3.0280537697253065</v>
      </c>
      <c r="AE42" s="32">
        <f>VLOOKUP($B42,Pitchers!$A1:$S251,6,FALSE)</f>
        <v>1.0656536138710306</v>
      </c>
      <c r="AF42" s="30">
        <f>VLOOKUP($B42,Pitchers!$A1:$S251,7,FALSE)</f>
        <v>197.5</v>
      </c>
      <c r="AG42" s="30">
        <f>VLOOKUP($B42,Pitchers!$A1:$S251,8,FALSE)</f>
        <v>12.299999999999999</v>
      </c>
      <c r="AH42" s="30">
        <f>VLOOKUP($B42,Pitchers!$A1:$S251,9,FALSE)</f>
        <v>0</v>
      </c>
      <c r="AI42" s="30">
        <f>VLOOKUP($B42,Pitchers!$A1:$S251,10,FALSE)</f>
        <v>57.566666666666663</v>
      </c>
      <c r="AJ42" s="30">
        <f>VLOOKUP($B42,Pitchers!$A1:$S251,11,FALSE)</f>
        <v>137.03333333333333</v>
      </c>
      <c r="AK42" s="30">
        <f>VLOOKUP($B42,Pitchers!$A1:$S251,12,FALSE)</f>
        <v>45.300000000000004</v>
      </c>
      <c r="AL42" s="30">
        <f>VLOOKUP($B42,Pitchers!$A1:$S251,13,FALSE)</f>
        <v>18</v>
      </c>
      <c r="AM42" s="30">
        <f>VLOOKUP($B42,Pitchers!$A1:$S251,14,FALSE)</f>
        <v>29.400000000000002</v>
      </c>
      <c r="AN42" s="30">
        <f>VLOOKUP($B42,Pitchers!$A1:$S251,15,FALSE)</f>
        <v>29.400000000000002</v>
      </c>
      <c r="AO42" s="30">
        <f>VLOOKUP($B42,Pitchers!$A1:$S251,16,FALSE)</f>
        <v>7.333333333333333</v>
      </c>
      <c r="AP42" s="30">
        <f>VLOOKUP($B42,Pitchers!$A1:$S251,17,FALSE)</f>
        <v>20</v>
      </c>
      <c r="AQ42" s="30">
        <f>VLOOKUP($B42,Pitchers!$A1:$S251,18,FALSE)</f>
        <v>0</v>
      </c>
      <c r="AR42" s="30">
        <f>VLOOKUP($B42,Pitchers!$A1:$S251,19,FALSE)</f>
        <v>0</v>
      </c>
    </row>
    <row r="43" spans="1:44" ht="18.600000000000001" customHeight="1">
      <c r="A43" s="24">
        <f ca="1">RANK(I43,I$2:I$651)</f>
        <v>72</v>
      </c>
      <c r="B43" s="25" t="s">
        <v>165</v>
      </c>
      <c r="C43" s="26" t="s">
        <v>79</v>
      </c>
      <c r="D43" s="26" t="s">
        <v>70</v>
      </c>
      <c r="E43" s="35" t="s">
        <v>31</v>
      </c>
      <c r="F43" s="36">
        <f ca="1">VLOOKUP(B43,SP!A1:I161,IF(Settings!$J$13="points",4,7),FALSE)</f>
        <v>24</v>
      </c>
      <c r="G43" s="29">
        <f>(AC43*Settings!$F$2)+(AF43*Settings!$F$5)+(AG43*Settings!$F$6)+(AH43*Settings!$F$7)+(AI43*Settings!$F$8)+(AJ43*Settings!$F$9)+(AK43*Settings!$F$10)+(AL43*Settings!$F$11)+(AM43*Settings!$F$12)+(AN43*Settings!$F$13)+(AO43*Settings!$F$14)+(AP43*Settings!$F$15)+(AQ43*Settings!$F$16)+(AR43*Settings!$F$17)</f>
        <v>480.19199999999995</v>
      </c>
      <c r="H43" s="30">
        <f>VLOOKUP(B43,'Standard Deviations'!$A1:$D651,4,FALSE)</f>
        <v>3.8812609505647915</v>
      </c>
      <c r="I43" s="31">
        <f ca="1">IF(Settings!$J$16="no",VLOOKUP(B43,SP!A1:I161,IF(Settings!$J$13="points",6,9),FALSE),VLOOKUP(B43,'SP+RP'!$A1:$I251,IF(Settings!$J$13="points",6,9),FALSE))</f>
        <v>3.7452782354760488</v>
      </c>
      <c r="J43" s="30"/>
      <c r="K43" s="30">
        <f ca="1">J43-A43</f>
        <v>-72</v>
      </c>
      <c r="L43" s="30"/>
      <c r="M43" s="30"/>
      <c r="N43" s="30"/>
      <c r="O43" s="30"/>
      <c r="P43" s="30"/>
      <c r="Q43" s="30"/>
      <c r="R43" s="32"/>
      <c r="S43" s="32"/>
      <c r="T43" s="30"/>
      <c r="U43" s="30"/>
      <c r="V43" s="30"/>
      <c r="W43" s="30"/>
      <c r="X43" s="30"/>
      <c r="Y43" s="32"/>
      <c r="Z43" s="32"/>
      <c r="AA43" s="30"/>
      <c r="AB43" s="30"/>
      <c r="AC43" s="30">
        <f>VLOOKUP($B43,Pitchers!$A1:$S251,4,FALSE)</f>
        <v>188.33333333333334</v>
      </c>
      <c r="AD43" s="32">
        <f>VLOOKUP($B43,Pitchers!$A1:$S251,5,FALSE)</f>
        <v>3.2754265486725664</v>
      </c>
      <c r="AE43" s="32">
        <f>VLOOKUP($B43,Pitchers!$A1:$S251,6,FALSE)</f>
        <v>1.2394690265486725</v>
      </c>
      <c r="AF43" s="30">
        <f>VLOOKUP($B43,Pitchers!$A1:$S251,7,FALSE)</f>
        <v>179.73333333333335</v>
      </c>
      <c r="AG43" s="30">
        <f>VLOOKUP($B43,Pitchers!$A1:$S251,8,FALSE)</f>
        <v>14.233333333333334</v>
      </c>
      <c r="AH43" s="30">
        <f>VLOOKUP($B43,Pitchers!$A1:$S251,9,FALSE)</f>
        <v>0</v>
      </c>
      <c r="AI43" s="30">
        <f>VLOOKUP($B43,Pitchers!$A1:$S251,10,FALSE)</f>
        <v>68.541333333333341</v>
      </c>
      <c r="AJ43" s="30">
        <f>VLOOKUP($B43,Pitchers!$A1:$S251,11,FALSE)</f>
        <v>168.33333333333334</v>
      </c>
      <c r="AK43" s="30">
        <f>VLOOKUP($B43,Pitchers!$A1:$S251,12,FALSE)</f>
        <v>65.100000000000009</v>
      </c>
      <c r="AL43" s="30">
        <f>VLOOKUP($B43,Pitchers!$A1:$S251,13,FALSE)</f>
        <v>14</v>
      </c>
      <c r="AM43" s="30">
        <f>VLOOKUP($B43,Pitchers!$A1:$S251,14,FALSE)</f>
        <v>30.599999999999998</v>
      </c>
      <c r="AN43" s="30">
        <f>VLOOKUP($B43,Pitchers!$A1:$S251,15,FALSE)</f>
        <v>30.599999999999998</v>
      </c>
      <c r="AO43" s="30">
        <f>VLOOKUP($B43,Pitchers!$A1:$S251,16,FALSE)</f>
        <v>7.0666666666666664</v>
      </c>
      <c r="AP43" s="30">
        <f>VLOOKUP($B43,Pitchers!$A1:$S251,17,FALSE)</f>
        <v>21</v>
      </c>
      <c r="AQ43" s="30">
        <f>VLOOKUP($B43,Pitchers!$A1:$S251,18,FALSE)</f>
        <v>0</v>
      </c>
      <c r="AR43" s="30">
        <f>VLOOKUP($B43,Pitchers!$A1:$S251,19,FALSE)</f>
        <v>0</v>
      </c>
    </row>
    <row r="44" spans="1:44" ht="18.600000000000001" customHeight="1">
      <c r="A44" s="24">
        <f ca="1">RANK(I44,I$2:I$651)</f>
        <v>54</v>
      </c>
      <c r="B44" s="25" t="s">
        <v>145</v>
      </c>
      <c r="C44" s="26" t="s">
        <v>64</v>
      </c>
      <c r="D44" s="26" t="s">
        <v>75</v>
      </c>
      <c r="E44" s="35" t="s">
        <v>31</v>
      </c>
      <c r="F44" s="36">
        <f ca="1">VLOOKUP(B44,SP!A1:I161,IF(Settings!$J$13="points",4,7),FALSE)</f>
        <v>14</v>
      </c>
      <c r="G44" s="29">
        <f>(AC44*Settings!$F$2)+(AF44*Settings!$F$5)+(AG44*Settings!$F$6)+(AH44*Settings!$F$7)+(AI44*Settings!$F$8)+(AJ44*Settings!$F$9)+(AK44*Settings!$F$10)+(AL44*Settings!$F$11)+(AM44*Settings!$F$12)+(AN44*Settings!$F$13)+(AO44*Settings!$F$14)+(AP44*Settings!$F$15)+(AQ44*Settings!$F$16)+(AR44*Settings!$F$17)</f>
        <v>478.55</v>
      </c>
      <c r="H44" s="30">
        <f>VLOOKUP(B44,'Standard Deviations'!$A1:$D651,4,FALSE)</f>
        <v>4.6143334269568284</v>
      </c>
      <c r="I44" s="31">
        <f ca="1">IF(Settings!$J$16="no",VLOOKUP(B44,SP!A1:I161,IF(Settings!$J$13="points",6,9),FALSE),VLOOKUP(B44,'SP+RP'!$A1:$I251,IF(Settings!$J$13="points",6,9),FALSE))</f>
        <v>4.478348892889354</v>
      </c>
      <c r="J44" s="30"/>
      <c r="K44" s="30">
        <f ca="1">J44-A44</f>
        <v>-54</v>
      </c>
      <c r="L44" s="30"/>
      <c r="M44" s="30"/>
      <c r="N44" s="30"/>
      <c r="O44" s="30"/>
      <c r="P44" s="30"/>
      <c r="Q44" s="30"/>
      <c r="R44" s="32"/>
      <c r="S44" s="32"/>
      <c r="T44" s="30"/>
      <c r="U44" s="30"/>
      <c r="V44" s="30"/>
      <c r="W44" s="30"/>
      <c r="X44" s="30"/>
      <c r="Y44" s="32"/>
      <c r="Z44" s="32"/>
      <c r="AA44" s="30"/>
      <c r="AB44" s="30"/>
      <c r="AC44" s="30">
        <f>VLOOKUP($B44,Pitchers!$A1:$S251,4,FALSE)</f>
        <v>186.80000000000004</v>
      </c>
      <c r="AD44" s="32">
        <f>VLOOKUP($B44,Pitchers!$A1:$S251,5,FALSE)</f>
        <v>3.6488222698072796</v>
      </c>
      <c r="AE44" s="32">
        <f>VLOOKUP($B44,Pitchers!$A1:$S251,6,FALSE)</f>
        <v>1.0924339757316199</v>
      </c>
      <c r="AF44" s="30">
        <f>VLOOKUP($B44,Pitchers!$A1:$S251,7,FALSE)</f>
        <v>192.56666666666669</v>
      </c>
      <c r="AG44" s="30">
        <f>VLOOKUP($B44,Pitchers!$A1:$S251,8,FALSE)</f>
        <v>13.166666666666666</v>
      </c>
      <c r="AH44" s="30">
        <f>VLOOKUP($B44,Pitchers!$A1:$S251,9,FALSE)</f>
        <v>0</v>
      </c>
      <c r="AI44" s="30">
        <f>VLOOKUP($B44,Pitchers!$A1:$S251,10,FALSE)</f>
        <v>75.733333333333334</v>
      </c>
      <c r="AJ44" s="30">
        <f>VLOOKUP($B44,Pitchers!$A1:$S251,11,FALSE)</f>
        <v>160</v>
      </c>
      <c r="AK44" s="30">
        <f>VLOOKUP($B44,Pitchers!$A1:$S251,12,FALSE)</f>
        <v>44.066666666666663</v>
      </c>
      <c r="AL44" s="30">
        <f>VLOOKUP($B44,Pitchers!$A1:$S251,13,FALSE)</f>
        <v>27</v>
      </c>
      <c r="AM44" s="30">
        <f>VLOOKUP($B44,Pitchers!$A1:$S251,14,FALSE)</f>
        <v>29.933333333333334</v>
      </c>
      <c r="AN44" s="30">
        <f>VLOOKUP($B44,Pitchers!$A1:$S251,15,FALSE)</f>
        <v>29.933333333333334</v>
      </c>
      <c r="AO44" s="30">
        <f>VLOOKUP($B44,Pitchers!$A1:$S251,16,FALSE)</f>
        <v>8.9</v>
      </c>
      <c r="AP44" s="30">
        <f>VLOOKUP($B44,Pitchers!$A1:$S251,17,FALSE)</f>
        <v>18</v>
      </c>
      <c r="AQ44" s="30">
        <f>VLOOKUP($B44,Pitchers!$A1:$S251,18,FALSE)</f>
        <v>0</v>
      </c>
      <c r="AR44" s="30">
        <f>VLOOKUP($B44,Pitchers!$A1:$S251,19,FALSE)</f>
        <v>0</v>
      </c>
    </row>
    <row r="45" spans="1:44" ht="18.600000000000001" customHeight="1">
      <c r="A45" s="24">
        <f ca="1">RANK(I45,I$2:I$651)</f>
        <v>20</v>
      </c>
      <c r="B45" s="25" t="s">
        <v>102</v>
      </c>
      <c r="C45" s="26" t="s">
        <v>103</v>
      </c>
      <c r="D45" s="26" t="s">
        <v>70</v>
      </c>
      <c r="E45" s="27" t="s">
        <v>23</v>
      </c>
      <c r="F45" s="28">
        <f ca="1">VLOOKUP(B45,OF!A1:I139,IF(Settings!$J$13="points",4,7),FALSE)</f>
        <v>11</v>
      </c>
      <c r="G45" s="29">
        <f>(M45*Settings!$B$2)+(N45*Settings!$B$3)+(O45*Settings!$B$4)+(P45*Settings!$B$5)+(Q45*Settings!$B$6)+(T45*Settings!$B$9)+(U45*Settings!$B$10)+(V45*Settings!$B$11)+(W45*Settings!$B$12)+(X45*Settings!$B$13)+(AA45*Settings!$B$16)</f>
        <v>476.3833333333331</v>
      </c>
      <c r="H45" s="30">
        <f>VLOOKUP(B45,'Standard Deviations'!$A1:$D651,4,FALSE)</f>
        <v>6.7716189158144431</v>
      </c>
      <c r="I45" s="31">
        <f ca="1">VLOOKUP(B45,OF!A1:I139,IF(Settings!$J$13="points",6,9),FALSE)</f>
        <v>6.6529030979441872</v>
      </c>
      <c r="J45" s="30"/>
      <c r="K45" s="30">
        <f ca="1">J45-A45</f>
        <v>-20</v>
      </c>
      <c r="L45" s="30"/>
      <c r="M45" s="30">
        <f>VLOOKUP($B45,Hitters!$A1:$R401,4,FALSE)</f>
        <v>540.66666666666697</v>
      </c>
      <c r="N45" s="30">
        <f>VLOOKUP($B45,Hitters!$A1:$R401,5,FALSE)</f>
        <v>78.099999999999994</v>
      </c>
      <c r="O45" s="30">
        <f>VLOOKUP($B45,Hitters!$A1:$R401,6,FALSE)</f>
        <v>20.5</v>
      </c>
      <c r="P45" s="30">
        <f>VLOOKUP($B45,Hitters!$A1:$R401,7,FALSE)</f>
        <v>77.033333333333303</v>
      </c>
      <c r="Q45" s="30">
        <f>VLOOKUP($B45,Hitters!$A1:$R401,8,FALSE)</f>
        <v>26.033333333333299</v>
      </c>
      <c r="R45" s="32">
        <f>VLOOKUP($B45,Hitters!$A1:$R401,9,FALSE)</f>
        <v>0.262083847102343</v>
      </c>
      <c r="S45" s="32">
        <f>VLOOKUP($B45,Hitters!$A1:$R401,10,FALSE)</f>
        <v>0.31974070834174501</v>
      </c>
      <c r="T45" s="30">
        <f>VLOOKUP($B45,Hitters!$A1:$R401,11,FALSE)</f>
        <v>141.69999999999999</v>
      </c>
      <c r="U45" s="30">
        <f>VLOOKUP($B45,Hitters!$A1:$R401,12,FALSE)</f>
        <v>33</v>
      </c>
      <c r="V45" s="30">
        <f>VLOOKUP($B45,Hitters!$A1:$R401,13,FALSE)</f>
        <v>2.43333333333333</v>
      </c>
      <c r="W45" s="30">
        <f>VLOOKUP($B45,Hitters!$A1:$R401,14,FALSE)</f>
        <v>48.366666666666703</v>
      </c>
      <c r="X45" s="30">
        <f>VLOOKUP($B45,Hitters!$A1:$R401,15,FALSE)</f>
        <v>152.36666666666699</v>
      </c>
      <c r="Y45" s="32">
        <f>VLOOKUP($B45,Hitters!$A1:$R401,16,FALSE)</f>
        <v>0.44586929716399498</v>
      </c>
      <c r="Z45" s="32">
        <f>VLOOKUP($B45,Hitters!$A1:$R401,17,FALSE)</f>
        <v>0.76561000550573999</v>
      </c>
      <c r="AA45" s="30">
        <f>VLOOKUP($B45,Hitters!$A1:$R401,18,FALSE)</f>
        <v>0</v>
      </c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</row>
    <row r="46" spans="1:44" ht="18.600000000000001" customHeight="1">
      <c r="A46" s="24">
        <f ca="1">RANK(I46,I$2:I$651)</f>
        <v>28</v>
      </c>
      <c r="B46" s="25" t="s">
        <v>112</v>
      </c>
      <c r="C46" s="26" t="s">
        <v>97</v>
      </c>
      <c r="D46" s="26" t="s">
        <v>75</v>
      </c>
      <c r="E46" s="35" t="s">
        <v>31</v>
      </c>
      <c r="F46" s="36">
        <f ca="1">VLOOKUP(B46,SP!A1:I161,IF(Settings!$J$13="points",4,7),FALSE)</f>
        <v>7</v>
      </c>
      <c r="G46" s="29">
        <f>(AC46*Settings!$F$2)+(AF46*Settings!$F$5)+(AG46*Settings!$F$6)+(AH46*Settings!$F$7)+(AI46*Settings!$F$8)+(AJ46*Settings!$F$9)+(AK46*Settings!$F$10)+(AL46*Settings!$F$11)+(AM46*Settings!$F$12)+(AN46*Settings!$F$13)+(AO46*Settings!$F$14)+(AP46*Settings!$F$15)+(AQ46*Settings!$F$16)+(AR46*Settings!$F$17)</f>
        <v>475.73333333333341</v>
      </c>
      <c r="H46" s="30">
        <f>VLOOKUP(B46,'Standard Deviations'!$A1:$D651,4,FALSE)</f>
        <v>6.227044961007338</v>
      </c>
      <c r="I46" s="31">
        <f ca="1">IF(Settings!$J$16="no",VLOOKUP(B46,SP!A1:I161,IF(Settings!$J$13="points",6,9),FALSE),VLOOKUP(B46,'SP+RP'!$A1:$I251,IF(Settings!$J$13="points",6,9),FALSE))</f>
        <v>6.0910589602215923</v>
      </c>
      <c r="J46" s="30"/>
      <c r="K46" s="30">
        <f ca="1">J46-A46</f>
        <v>-28</v>
      </c>
      <c r="L46" s="30"/>
      <c r="M46" s="30"/>
      <c r="N46" s="30"/>
      <c r="O46" s="30"/>
      <c r="P46" s="30"/>
      <c r="Q46" s="30"/>
      <c r="R46" s="32"/>
      <c r="S46" s="32"/>
      <c r="T46" s="30"/>
      <c r="U46" s="30"/>
      <c r="V46" s="30"/>
      <c r="W46" s="30"/>
      <c r="X46" s="30"/>
      <c r="Y46" s="32"/>
      <c r="Z46" s="32"/>
      <c r="AA46" s="30"/>
      <c r="AB46" s="30"/>
      <c r="AC46" s="30">
        <f>VLOOKUP($B46,Pitchers!$A1:$S251,4,FALSE)</f>
        <v>162.76666666666668</v>
      </c>
      <c r="AD46" s="32">
        <f>VLOOKUP($B46,Pitchers!$A1:$S251,5,FALSE)</f>
        <v>3.0559082531230799</v>
      </c>
      <c r="AE46" s="32">
        <f>VLOOKUP($B46,Pitchers!$A1:$S251,6,FALSE)</f>
        <v>1.0114683596149907</v>
      </c>
      <c r="AF46" s="30">
        <f>VLOOKUP($B46,Pitchers!$A1:$S251,7,FALSE)</f>
        <v>199.06666666666669</v>
      </c>
      <c r="AG46" s="30">
        <f>VLOOKUP($B46,Pitchers!$A1:$S251,8,FALSE)</f>
        <v>11.566666666666668</v>
      </c>
      <c r="AH46" s="30">
        <f>VLOOKUP($B46,Pitchers!$A1:$S251,9,FALSE)</f>
        <v>0</v>
      </c>
      <c r="AI46" s="30">
        <f>VLOOKUP($B46,Pitchers!$A1:$S251,10,FALSE)</f>
        <v>55.266666666666673</v>
      </c>
      <c r="AJ46" s="30">
        <f>VLOOKUP($B46,Pitchers!$A1:$S251,11,FALSE)</f>
        <v>129.66666666666666</v>
      </c>
      <c r="AK46" s="30">
        <f>VLOOKUP($B46,Pitchers!$A1:$S251,12,FALSE)</f>
        <v>34.966666666666669</v>
      </c>
      <c r="AL46" s="30">
        <f>VLOOKUP($B46,Pitchers!$A1:$S251,13,FALSE)</f>
        <v>25</v>
      </c>
      <c r="AM46" s="30">
        <f>VLOOKUP($B46,Pitchers!$A1:$S251,14,FALSE)</f>
        <v>27.166666666666668</v>
      </c>
      <c r="AN46" s="30">
        <f>VLOOKUP($B46,Pitchers!$A1:$S251,15,FALSE)</f>
        <v>27.166666666666668</v>
      </c>
      <c r="AO46" s="30">
        <f>VLOOKUP($B46,Pitchers!$A1:$S251,16,FALSE)</f>
        <v>6.6333333333333329</v>
      </c>
      <c r="AP46" s="30">
        <f>VLOOKUP($B46,Pitchers!$A1:$S251,17,FALSE)</f>
        <v>20</v>
      </c>
      <c r="AQ46" s="30">
        <f>VLOOKUP($B46,Pitchers!$A1:$S251,18,FALSE)</f>
        <v>0</v>
      </c>
      <c r="AR46" s="30">
        <f>VLOOKUP($B46,Pitchers!$A1:$S251,19,FALSE)</f>
        <v>0</v>
      </c>
    </row>
    <row r="47" spans="1:44" ht="18.600000000000001" customHeight="1">
      <c r="A47" s="24">
        <f ca="1">RANK(I47,I$2:I$651)</f>
        <v>128</v>
      </c>
      <c r="B47" s="25" t="s">
        <v>223</v>
      </c>
      <c r="C47" s="26" t="s">
        <v>79</v>
      </c>
      <c r="D47" s="26" t="s">
        <v>70</v>
      </c>
      <c r="E47" s="39" t="s">
        <v>7</v>
      </c>
      <c r="F47" s="40">
        <f ca="1">VLOOKUP(B47,'1B'!A1:I63,IF(Settings!$J$13="points",4,7),FALSE)</f>
        <v>7</v>
      </c>
      <c r="G47" s="29">
        <f>(M47*Settings!$B$2)+(N47*Settings!$B$3)+(O47*Settings!$B$4)+(P47*Settings!$B$5)+(Q47*Settings!$B$6)+(T47*Settings!$B$9)+(U47*Settings!$B$10)+(V47*Settings!$B$11)+(W47*Settings!$B$12)+(X47*Settings!$B$13)+(AA47*Settings!$B$16)</f>
        <v>474.30000000000013</v>
      </c>
      <c r="H47" s="30">
        <f>VLOOKUP(B47,'Standard Deviations'!$A1:$D651,4,FALSE)</f>
        <v>4.6947448090973927</v>
      </c>
      <c r="I47" s="31">
        <f ca="1">IF(Settings!$J$15="no",VLOOKUP(B47,'1B'!A1:I63,IF(Settings!$J$13="points",6,9),FALSE),VLOOKUP(B47,'1B+3B'!$A1:$I104,IF(Settings!$J$13="points",6,9),FALSE))</f>
        <v>2.1152167923699183</v>
      </c>
      <c r="J47" s="30"/>
      <c r="K47" s="30">
        <f ca="1">J47-A47</f>
        <v>-128</v>
      </c>
      <c r="L47" s="30"/>
      <c r="M47" s="30">
        <f>VLOOKUP($B47,Hitters!$A1:$R401,4,FALSE)</f>
        <v>551</v>
      </c>
      <c r="N47" s="30">
        <f>VLOOKUP($B47,Hitters!$A1:$R401,5,FALSE)</f>
        <v>80.533333333333303</v>
      </c>
      <c r="O47" s="30">
        <f>VLOOKUP($B47,Hitters!$A1:$R401,6,FALSE)</f>
        <v>21.966666666666701</v>
      </c>
      <c r="P47" s="30">
        <f>VLOOKUP($B47,Hitters!$A1:$R401,7,FALSE)</f>
        <v>87.733333333333306</v>
      </c>
      <c r="Q47" s="30">
        <f>VLOOKUP($B47,Hitters!$A1:$R401,8,FALSE)</f>
        <v>0.53333333333333299</v>
      </c>
      <c r="R47" s="32">
        <f>VLOOKUP($B47,Hitters!$A1:$R401,9,FALSE)</f>
        <v>0.28203266787658798</v>
      </c>
      <c r="S47" s="32">
        <f>VLOOKUP($B47,Hitters!$A1:$R401,10,FALSE)</f>
        <v>0.34245340240323902</v>
      </c>
      <c r="T47" s="30">
        <f>VLOOKUP($B47,Hitters!$A1:$R401,11,FALSE)</f>
        <v>155.4</v>
      </c>
      <c r="U47" s="30">
        <f>VLOOKUP($B47,Hitters!$A1:$R401,12,FALSE)</f>
        <v>32.3333333333333</v>
      </c>
      <c r="V47" s="30">
        <f>VLOOKUP($B47,Hitters!$A1:$R401,13,FALSE)</f>
        <v>0.96666666666666701</v>
      </c>
      <c r="W47" s="30">
        <f>VLOOKUP($B47,Hitters!$A1:$R401,14,FALSE)</f>
        <v>53.5</v>
      </c>
      <c r="X47" s="30">
        <f>VLOOKUP($B47,Hitters!$A1:$R401,15,FALSE)</f>
        <v>118.73333333333299</v>
      </c>
      <c r="Y47" s="32">
        <f>VLOOKUP($B47,Hitters!$A1:$R401,16,FALSE)</f>
        <v>0.46382335148215398</v>
      </c>
      <c r="Z47" s="32">
        <f>VLOOKUP($B47,Hitters!$A1:$R401,17,FALSE)</f>
        <v>0.80627675388539299</v>
      </c>
      <c r="AA47" s="30">
        <f>VLOOKUP($B47,Hitters!$A1:$R401,18,FALSE)</f>
        <v>0</v>
      </c>
      <c r="AB47" s="30"/>
      <c r="AC47" s="30"/>
      <c r="AD47" s="32"/>
      <c r="AE47" s="32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</row>
    <row r="48" spans="1:44" ht="18.600000000000001" customHeight="1">
      <c r="A48" s="24">
        <f ca="1">RANK(I48,I$2:I$651)</f>
        <v>132</v>
      </c>
      <c r="B48" s="25" t="s">
        <v>228</v>
      </c>
      <c r="C48" s="26" t="s">
        <v>64</v>
      </c>
      <c r="D48" s="26" t="s">
        <v>75</v>
      </c>
      <c r="E48" s="37" t="s">
        <v>27</v>
      </c>
      <c r="F48" s="38">
        <f ca="1">VLOOKUP(B48,SS!A1:I45,IF(Settings!$J$13="points",4,7),FALSE)</f>
        <v>10</v>
      </c>
      <c r="G48" s="29">
        <f>(M48*Settings!$B$2)+(N48*Settings!$B$3)+(O48*Settings!$B$4)+(P48*Settings!$B$5)+(Q48*Settings!$B$6)+(T48*Settings!$B$9)+(U48*Settings!$B$10)+(V48*Settings!$B$11)+(W48*Settings!$B$12)+(X48*Settings!$B$13)+(AA48*Settings!$B$16)</f>
        <v>472.86666666666702</v>
      </c>
      <c r="H48" s="30">
        <f>VLOOKUP(B48,'Standard Deviations'!$A1:$D651,4,FALSE)</f>
        <v>4.9944502452483261</v>
      </c>
      <c r="I48" s="31">
        <f ca="1">IF(Settings!$J$16="no",VLOOKUP(B48,SS!A1:I45,IF(Settings!$J$13="points",6,9),FALSE),VLOOKUP(B48,'2B+SS'!$A1:$I94,IF(Settings!$J$13="points",6,9),FALSE))</f>
        <v>1.9900215286794434</v>
      </c>
      <c r="J48" s="30"/>
      <c r="K48" s="30">
        <f ca="1">J48-A48</f>
        <v>-132</v>
      </c>
      <c r="L48" s="30"/>
      <c r="M48" s="30">
        <f>VLOOKUP($B48,Hitters!$A1:$R401,4,FALSE)</f>
        <v>544.33333333333303</v>
      </c>
      <c r="N48" s="30">
        <f>VLOOKUP($B48,Hitters!$A1:$R401,5,FALSE)</f>
        <v>80.966666666666697</v>
      </c>
      <c r="O48" s="30">
        <f>VLOOKUP($B48,Hitters!$A1:$R401,6,FALSE)</f>
        <v>18.7</v>
      </c>
      <c r="P48" s="30">
        <f>VLOOKUP($B48,Hitters!$A1:$R401,7,FALSE)</f>
        <v>79.566666666666706</v>
      </c>
      <c r="Q48" s="30">
        <f>VLOOKUP($B48,Hitters!$A1:$R401,8,FALSE)</f>
        <v>7.2333333333333298</v>
      </c>
      <c r="R48" s="32">
        <f>VLOOKUP($B48,Hitters!$A1:$R401,9,FALSE)</f>
        <v>0.28322106552357601</v>
      </c>
      <c r="S48" s="32">
        <f>VLOOKUP($B48,Hitters!$A1:$R401,10,FALSE)</f>
        <v>0.35072459011012502</v>
      </c>
      <c r="T48" s="30">
        <f>VLOOKUP($B48,Hitters!$A1:$R401,11,FALSE)</f>
        <v>154.166666666667</v>
      </c>
      <c r="U48" s="30">
        <f>VLOOKUP($B48,Hitters!$A1:$R401,12,FALSE)</f>
        <v>32.8333333333333</v>
      </c>
      <c r="V48" s="30">
        <f>VLOOKUP($B48,Hitters!$A1:$R401,13,FALSE)</f>
        <v>0.53333333333333299</v>
      </c>
      <c r="W48" s="30">
        <f>VLOOKUP($B48,Hitters!$A1:$R401,14,FALSE)</f>
        <v>59.533333333333303</v>
      </c>
      <c r="X48" s="30">
        <f>VLOOKUP($B48,Hitters!$A1:$R401,15,FALSE)</f>
        <v>115.8</v>
      </c>
      <c r="Y48" s="32">
        <f>VLOOKUP($B48,Hitters!$A1:$R401,16,FALSE)</f>
        <v>0.44856093080220399</v>
      </c>
      <c r="Z48" s="32">
        <f>VLOOKUP($B48,Hitters!$A1:$R401,17,FALSE)</f>
        <v>0.79928552091232896</v>
      </c>
      <c r="AA48" s="30">
        <f>VLOOKUP($B48,Hitters!$A1:$R401,18,FALSE)</f>
        <v>0</v>
      </c>
      <c r="AB48" s="30"/>
      <c r="AC48" s="30"/>
      <c r="AD48" s="32"/>
      <c r="AE48" s="32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</row>
    <row r="49" spans="1:44" ht="18.600000000000001" customHeight="1">
      <c r="A49" s="24">
        <f ca="1">RANK(I49,I$2:I$651)</f>
        <v>9</v>
      </c>
      <c r="B49" s="25" t="s">
        <v>84</v>
      </c>
      <c r="C49" s="26" t="s">
        <v>85</v>
      </c>
      <c r="D49" s="26" t="s">
        <v>70</v>
      </c>
      <c r="E49" s="35" t="s">
        <v>31</v>
      </c>
      <c r="F49" s="36">
        <f ca="1">VLOOKUP(B49,SP!A1:I161,IF(Settings!$J$13="points",4,7),FALSE)</f>
        <v>1</v>
      </c>
      <c r="G49" s="29">
        <f>(AC49*Settings!$F$2)+(AF49*Settings!$F$5)+(AG49*Settings!$F$6)+(AH49*Settings!$F$7)+(AI49*Settings!$F$8)+(AJ49*Settings!$F$9)+(AK49*Settings!$F$10)+(AL49*Settings!$F$11)+(AM49*Settings!$F$12)+(AN49*Settings!$F$13)+(AO49*Settings!$F$14)+(AP49*Settings!$F$15)+(AQ49*Settings!$F$16)+(AR49*Settings!$F$17)</f>
        <v>470.64999999999986</v>
      </c>
      <c r="H49" s="30">
        <f>VLOOKUP(B49,'Standard Deviations'!$A1:$D651,4,FALSE)</f>
        <v>8.4858455675376554</v>
      </c>
      <c r="I49" s="31">
        <f ca="1">IF(Settings!$J$16="no",VLOOKUP(B49,SP!A1:I161,IF(Settings!$J$13="points",6,9),FALSE),VLOOKUP(B49,'SP+RP'!$A1:$I251,IF(Settings!$J$13="points",6,9),FALSE))</f>
        <v>8.349863911007386</v>
      </c>
      <c r="J49" s="30"/>
      <c r="K49" s="30">
        <f ca="1">J49-A49</f>
        <v>-9</v>
      </c>
      <c r="L49" s="30"/>
      <c r="M49" s="30"/>
      <c r="N49" s="30"/>
      <c r="O49" s="30"/>
      <c r="P49" s="30"/>
      <c r="Q49" s="30"/>
      <c r="R49" s="32"/>
      <c r="S49" s="32"/>
      <c r="T49" s="30"/>
      <c r="U49" s="30"/>
      <c r="V49" s="30"/>
      <c r="W49" s="30"/>
      <c r="X49" s="30"/>
      <c r="Y49" s="32"/>
      <c r="Z49" s="32"/>
      <c r="AA49" s="30"/>
      <c r="AB49" s="30"/>
      <c r="AC49" s="30">
        <f>VLOOKUP($B49,Pitchers!$A1:$S251,4,FALSE)</f>
        <v>165.7</v>
      </c>
      <c r="AD49" s="32">
        <f>VLOOKUP($B49,Pitchers!$A1:$S251,5,FALSE)</f>
        <v>3.1041038020519012</v>
      </c>
      <c r="AE49" s="32">
        <f>VLOOKUP($B49,Pitchers!$A1:$S251,6,FALSE)</f>
        <v>1.072420036210018</v>
      </c>
      <c r="AF49" s="30">
        <f>VLOOKUP($B49,Pitchers!$A1:$S251,7,FALSE)</f>
        <v>207.2</v>
      </c>
      <c r="AG49" s="30">
        <f>VLOOKUP($B49,Pitchers!$A1:$S251,8,FALSE)</f>
        <v>12.4</v>
      </c>
      <c r="AH49" s="30">
        <f>VLOOKUP($B49,Pitchers!$A1:$S251,9,FALSE)</f>
        <v>0</v>
      </c>
      <c r="AI49" s="30">
        <f>VLOOKUP($B49,Pitchers!$A1:$S251,10,FALSE)</f>
        <v>57.15</v>
      </c>
      <c r="AJ49" s="30">
        <f>VLOOKUP($B49,Pitchers!$A1:$S251,11,FALSE)</f>
        <v>129.85</v>
      </c>
      <c r="AK49" s="30">
        <f>VLOOKUP($B49,Pitchers!$A1:$S251,12,FALSE)</f>
        <v>47.85</v>
      </c>
      <c r="AL49" s="30">
        <f>VLOOKUP($B49,Pitchers!$A1:$S251,13,FALSE)</f>
        <v>20</v>
      </c>
      <c r="AM49" s="30">
        <f>VLOOKUP($B49,Pitchers!$A1:$S251,14,FALSE)</f>
        <v>36.75</v>
      </c>
      <c r="AN49" s="30">
        <f>VLOOKUP($B49,Pitchers!$A1:$S251,15,FALSE)</f>
        <v>28.25</v>
      </c>
      <c r="AO49" s="30">
        <f>VLOOKUP($B49,Pitchers!$A1:$S251,16,FALSE)</f>
        <v>7.2</v>
      </c>
      <c r="AP49" s="30">
        <f>VLOOKUP($B49,Pitchers!$A1:$S251,17,FALSE)</f>
        <v>18</v>
      </c>
      <c r="AQ49" s="30">
        <f>VLOOKUP($B49,Pitchers!$A1:$S251,18,FALSE)</f>
        <v>0</v>
      </c>
      <c r="AR49" s="30">
        <f>VLOOKUP($B49,Pitchers!$A1:$S251,19,FALSE)</f>
        <v>0</v>
      </c>
    </row>
    <row r="50" spans="1:44" ht="18.600000000000001" customHeight="1">
      <c r="A50" s="24">
        <f ca="1">RANK(I50,I$2:I$651)</f>
        <v>62</v>
      </c>
      <c r="B50" s="25" t="s">
        <v>153</v>
      </c>
      <c r="C50" s="26" t="s">
        <v>74</v>
      </c>
      <c r="D50" s="26" t="s">
        <v>75</v>
      </c>
      <c r="E50" s="35" t="s">
        <v>31</v>
      </c>
      <c r="F50" s="36">
        <f ca="1">VLOOKUP(B50,SP!A1:I161,IF(Settings!$J$13="points",4,7),FALSE)</f>
        <v>19</v>
      </c>
      <c r="G50" s="29">
        <f>(AC50*Settings!$F$2)+(AF50*Settings!$F$5)+(AG50*Settings!$F$6)+(AH50*Settings!$F$7)+(AI50*Settings!$F$8)+(AJ50*Settings!$F$9)+(AK50*Settings!$F$10)+(AL50*Settings!$F$11)+(AM50*Settings!$F$12)+(AN50*Settings!$F$13)+(AO50*Settings!$F$14)+(AP50*Settings!$F$15)+(AQ50*Settings!$F$16)+(AR50*Settings!$F$17)</f>
        <v>470.39733333333328</v>
      </c>
      <c r="H50" s="30">
        <f>VLOOKUP(B50,'Standard Deviations'!$A1:$D651,4,FALSE)</f>
        <v>4.246322869646578</v>
      </c>
      <c r="I50" s="31">
        <f ca="1">IF(Settings!$J$16="no",VLOOKUP(B50,SP!A1:I161,IF(Settings!$J$13="points",6,9),FALSE),VLOOKUP(B50,'SP+RP'!$A1:$I251,IF(Settings!$J$13="points",6,9),FALSE))</f>
        <v>4.1103351088582709</v>
      </c>
      <c r="J50" s="30"/>
      <c r="K50" s="30">
        <f ca="1">J50-A50</f>
        <v>-62</v>
      </c>
      <c r="L50" s="30"/>
      <c r="M50" s="30"/>
      <c r="N50" s="30"/>
      <c r="O50" s="30"/>
      <c r="P50" s="30"/>
      <c r="Q50" s="30"/>
      <c r="R50" s="32"/>
      <c r="S50" s="32"/>
      <c r="T50" s="30"/>
      <c r="U50" s="30"/>
      <c r="V50" s="30"/>
      <c r="W50" s="30"/>
      <c r="X50" s="30"/>
      <c r="Y50" s="32"/>
      <c r="Z50" s="32"/>
      <c r="AA50" s="30"/>
      <c r="AB50" s="30"/>
      <c r="AC50" s="30">
        <f>VLOOKUP($B50,Pitchers!$A1:$S251,4,FALSE)</f>
        <v>182.16666666666666</v>
      </c>
      <c r="AD50" s="32">
        <f>VLOOKUP($B50,Pitchers!$A1:$S251,5,FALSE)</f>
        <v>3.3086404391582804</v>
      </c>
      <c r="AE50" s="32">
        <f>VLOOKUP($B50,Pitchers!$A1:$S251,6,FALSE)</f>
        <v>1.1634034766697166</v>
      </c>
      <c r="AF50" s="30">
        <f>VLOOKUP($B50,Pitchers!$A1:$S251,7,FALSE)</f>
        <v>166.79999999999998</v>
      </c>
      <c r="AG50" s="30">
        <f>VLOOKUP($B50,Pitchers!$A1:$S251,8,FALSE)</f>
        <v>14.033333333333333</v>
      </c>
      <c r="AH50" s="30">
        <f>VLOOKUP($B50,Pitchers!$A1:$S251,9,FALSE)</f>
        <v>0</v>
      </c>
      <c r="AI50" s="30">
        <f>VLOOKUP($B50,Pitchers!$A1:$S251,10,FALSE)</f>
        <v>66.969333333333338</v>
      </c>
      <c r="AJ50" s="30">
        <f>VLOOKUP($B50,Pitchers!$A1:$S251,11,FALSE)</f>
        <v>169.70000000000002</v>
      </c>
      <c r="AK50" s="30">
        <f>VLOOKUP($B50,Pitchers!$A1:$S251,12,FALSE)</f>
        <v>42.233333333333334</v>
      </c>
      <c r="AL50" s="30">
        <f>VLOOKUP($B50,Pitchers!$A1:$S251,13,FALSE)</f>
        <v>20</v>
      </c>
      <c r="AM50" s="30">
        <f>VLOOKUP($B50,Pitchers!$A1:$S251,14,FALSE)</f>
        <v>30.266666666666666</v>
      </c>
      <c r="AN50" s="30">
        <f>VLOOKUP($B50,Pitchers!$A1:$S251,15,FALSE)</f>
        <v>30.266666666666666</v>
      </c>
      <c r="AO50" s="30">
        <f>VLOOKUP($B50,Pitchers!$A1:$S251,16,FALSE)</f>
        <v>7.166666666666667</v>
      </c>
      <c r="AP50" s="30">
        <f>VLOOKUP($B50,Pitchers!$A1:$S251,17,FALSE)</f>
        <v>19</v>
      </c>
      <c r="AQ50" s="30">
        <f>VLOOKUP($B50,Pitchers!$A1:$S251,18,FALSE)</f>
        <v>0</v>
      </c>
      <c r="AR50" s="30">
        <f>VLOOKUP($B50,Pitchers!$A1:$S251,19,FALSE)</f>
        <v>0</v>
      </c>
    </row>
    <row r="51" spans="1:44" ht="18.600000000000001" customHeight="1">
      <c r="A51" s="24">
        <f ca="1">RANK(I51,I$2:I$651)</f>
        <v>78</v>
      </c>
      <c r="B51" s="25" t="s">
        <v>171</v>
      </c>
      <c r="C51" s="26" t="s">
        <v>95</v>
      </c>
      <c r="D51" s="26" t="s">
        <v>70</v>
      </c>
      <c r="E51" s="35" t="s">
        <v>31</v>
      </c>
      <c r="F51" s="36">
        <f ca="1">VLOOKUP(B51,SP!A1:I161,IF(Settings!$J$13="points",4,7),FALSE)</f>
        <v>26</v>
      </c>
      <c r="G51" s="29">
        <f>(AC51*Settings!$F$2)+(AF51*Settings!$F$5)+(AG51*Settings!$F$6)+(AH51*Settings!$F$7)+(AI51*Settings!$F$8)+(AJ51*Settings!$F$9)+(AK51*Settings!$F$10)+(AL51*Settings!$F$11)+(AM51*Settings!$F$12)+(AN51*Settings!$F$13)+(AO51*Settings!$F$14)+(AP51*Settings!$F$15)+(AQ51*Settings!$F$16)+(AR51*Settings!$F$17)</f>
        <v>470.10800000000012</v>
      </c>
      <c r="H51" s="30">
        <f>VLOOKUP(B51,'Standard Deviations'!$A1:$D651,4,FALSE)</f>
        <v>3.7493260640176556</v>
      </c>
      <c r="I51" s="31">
        <f ca="1">IF(Settings!$J$16="no",VLOOKUP(B51,SP!A1:I161,IF(Settings!$J$13="points",6,9),FALSE),VLOOKUP(B51,'SP+RP'!$A1:$I251,IF(Settings!$J$13="points",6,9),FALSE))</f>
        <v>3.6133432368647167</v>
      </c>
      <c r="J51" s="30"/>
      <c r="K51" s="30">
        <f ca="1">J51-A51</f>
        <v>-78</v>
      </c>
      <c r="L51" s="30"/>
      <c r="M51" s="30"/>
      <c r="N51" s="30"/>
      <c r="O51" s="30"/>
      <c r="P51" s="30"/>
      <c r="Q51" s="30"/>
      <c r="R51" s="32"/>
      <c r="S51" s="32"/>
      <c r="T51" s="30"/>
      <c r="U51" s="30"/>
      <c r="V51" s="30"/>
      <c r="W51" s="30"/>
      <c r="X51" s="30"/>
      <c r="Y51" s="32"/>
      <c r="Z51" s="32"/>
      <c r="AA51" s="30"/>
      <c r="AB51" s="30"/>
      <c r="AC51" s="30">
        <f>VLOOKUP($B51,Pitchers!$A1:$S251,4,FALSE)</f>
        <v>186.86666666666667</v>
      </c>
      <c r="AD51" s="32">
        <f>VLOOKUP($B51,Pitchers!$A1:$S251,5,FALSE)</f>
        <v>3.7803853014627182</v>
      </c>
      <c r="AE51" s="32">
        <f>VLOOKUP($B51,Pitchers!$A1:$S251,6,FALSE)</f>
        <v>1.1416339636104174</v>
      </c>
      <c r="AF51" s="30">
        <f>VLOOKUP($B51,Pitchers!$A1:$S251,7,FALSE)</f>
        <v>183.13333333333333</v>
      </c>
      <c r="AG51" s="30">
        <f>VLOOKUP($B51,Pitchers!$A1:$S251,8,FALSE)</f>
        <v>13.466666666666667</v>
      </c>
      <c r="AH51" s="30">
        <f>VLOOKUP($B51,Pitchers!$A1:$S251,9,FALSE)</f>
        <v>0</v>
      </c>
      <c r="AI51" s="30">
        <f>VLOOKUP($B51,Pitchers!$A1:$S251,10,FALSE)</f>
        <v>78.492000000000004</v>
      </c>
      <c r="AJ51" s="30">
        <f>VLOOKUP($B51,Pitchers!$A1:$S251,11,FALSE)</f>
        <v>157.16666666666666</v>
      </c>
      <c r="AK51" s="30">
        <f>VLOOKUP($B51,Pitchers!$A1:$S251,12,FALSE)</f>
        <v>56.166666666666664</v>
      </c>
      <c r="AL51" s="30">
        <f>VLOOKUP($B51,Pitchers!$A1:$S251,13,FALSE)</f>
        <v>30</v>
      </c>
      <c r="AM51" s="30">
        <f>VLOOKUP($B51,Pitchers!$A1:$S251,14,FALSE)</f>
        <v>30.933333333333334</v>
      </c>
      <c r="AN51" s="30">
        <f>VLOOKUP($B51,Pitchers!$A1:$S251,15,FALSE)</f>
        <v>30.933333333333334</v>
      </c>
      <c r="AO51" s="30">
        <f>VLOOKUP($B51,Pitchers!$A1:$S251,16,FALSE)</f>
        <v>7.7</v>
      </c>
      <c r="AP51" s="30">
        <f>VLOOKUP($B51,Pitchers!$A1:$S251,17,FALSE)</f>
        <v>18</v>
      </c>
      <c r="AQ51" s="30">
        <f>VLOOKUP($B51,Pitchers!$A1:$S251,18,FALSE)</f>
        <v>0</v>
      </c>
      <c r="AR51" s="30">
        <f>VLOOKUP($B51,Pitchers!$A1:$S251,19,FALSE)</f>
        <v>0</v>
      </c>
    </row>
    <row r="52" spans="1:44" ht="18.600000000000001" customHeight="1">
      <c r="A52" s="24">
        <f ca="1">RANK(I52,I$2:I$651)</f>
        <v>104</v>
      </c>
      <c r="B52" s="25" t="s">
        <v>198</v>
      </c>
      <c r="C52" s="26" t="s">
        <v>74</v>
      </c>
      <c r="D52" s="26" t="s">
        <v>75</v>
      </c>
      <c r="E52" s="47" t="s">
        <v>11</v>
      </c>
      <c r="F52" s="48">
        <f ca="1">VLOOKUP(B52,'2B'!A1:I50,IF(Settings!$J$13="points",4,7),FALSE)</f>
        <v>6</v>
      </c>
      <c r="G52" s="29">
        <f>(M52*Settings!$B$2)+(N52*Settings!$B$3)+(O52*Settings!$B$4)+(P52*Settings!$B$5)+(Q52*Settings!$B$6)+(T52*Settings!$B$9)+(U52*Settings!$B$10)+(V52*Settings!$B$11)+(W52*Settings!$B$12)+(X52*Settings!$B$13)+(AA52*Settings!$B$16)</f>
        <v>470.06666666666655</v>
      </c>
      <c r="H52" s="30">
        <f>VLOOKUP(B52,'Standard Deviations'!$A1:$D651,4,FALSE)</f>
        <v>5.1820346763472296</v>
      </c>
      <c r="I52" s="31">
        <f ca="1">IF(Settings!$J$16="no",VLOOKUP(B52,'2B'!A1:I50,IF(Settings!$J$13="points",6,9),FALSE),VLOOKUP(B52,'2B+SS'!$A1:$I94,IF(Settings!$J$13="points",6,9),FALSE))</f>
        <v>2.8743053163210286</v>
      </c>
      <c r="J52" s="30"/>
      <c r="K52" s="30">
        <f ca="1">J52-A52</f>
        <v>-104</v>
      </c>
      <c r="L52" s="30"/>
      <c r="M52" s="30">
        <f>VLOOKUP($B52,Hitters!$A1:$R401,4,FALSE)</f>
        <v>535</v>
      </c>
      <c r="N52" s="30">
        <f>VLOOKUP($B52,Hitters!$A1:$R401,5,FALSE)</f>
        <v>80.3333333333333</v>
      </c>
      <c r="O52" s="30">
        <f>VLOOKUP($B52,Hitters!$A1:$R401,6,FALSE)</f>
        <v>21.433333333333302</v>
      </c>
      <c r="P52" s="30">
        <f>VLOOKUP($B52,Hitters!$A1:$R401,7,FALSE)</f>
        <v>78.400000000000006</v>
      </c>
      <c r="Q52" s="30">
        <f>VLOOKUP($B52,Hitters!$A1:$R401,8,FALSE)</f>
        <v>14.1</v>
      </c>
      <c r="R52" s="32">
        <f>VLOOKUP($B52,Hitters!$A1:$R401,9,FALSE)</f>
        <v>0.26056074766355097</v>
      </c>
      <c r="S52" s="32">
        <f>VLOOKUP($B52,Hitters!$A1:$R401,10,FALSE)</f>
        <v>0.30633488077045101</v>
      </c>
      <c r="T52" s="30">
        <f>VLOOKUP($B52,Hitters!$A1:$R401,11,FALSE)</f>
        <v>139.4</v>
      </c>
      <c r="U52" s="30">
        <f>VLOOKUP($B52,Hitters!$A1:$R401,12,FALSE)</f>
        <v>31.966666666666701</v>
      </c>
      <c r="V52" s="30">
        <f>VLOOKUP($B52,Hitters!$A1:$R401,13,FALSE)</f>
        <v>3.2333333333333298</v>
      </c>
      <c r="W52" s="30">
        <f>VLOOKUP($B52,Hitters!$A1:$R401,14,FALSE)</f>
        <v>37.6666666666667</v>
      </c>
      <c r="X52" s="30">
        <f>VLOOKUP($B52,Hitters!$A1:$R401,15,FALSE)</f>
        <v>106.6</v>
      </c>
      <c r="Y52" s="32">
        <f>VLOOKUP($B52,Hitters!$A1:$R401,16,FALSE)</f>
        <v>0.45258566978193099</v>
      </c>
      <c r="Z52" s="32">
        <f>VLOOKUP($B52,Hitters!$A1:$R401,17,FALSE)</f>
        <v>0.75892055055238195</v>
      </c>
      <c r="AA52" s="30">
        <f>VLOOKUP($B52,Hitters!$A1:$R401,18,FALSE)</f>
        <v>0</v>
      </c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</row>
    <row r="53" spans="1:44" ht="18.600000000000001" customHeight="1">
      <c r="A53" s="24">
        <f ca="1">RANK(I53,I$2:I$651)</f>
        <v>76</v>
      </c>
      <c r="B53" s="25" t="s">
        <v>168</v>
      </c>
      <c r="C53" s="26" t="s">
        <v>101</v>
      </c>
      <c r="D53" s="26" t="s">
        <v>70</v>
      </c>
      <c r="E53" s="27" t="s">
        <v>23</v>
      </c>
      <c r="F53" s="28">
        <f ca="1">VLOOKUP(B53,OF!A1:I139,IF(Settings!$J$13="points",4,7),FALSE)</f>
        <v>27</v>
      </c>
      <c r="G53" s="29">
        <f>(M53*Settings!$B$2)+(N53*Settings!$B$3)+(O53*Settings!$B$4)+(P53*Settings!$B$5)+(Q53*Settings!$B$6)+(T53*Settings!$B$9)+(U53*Settings!$B$10)+(V53*Settings!$B$11)+(W53*Settings!$B$12)+(X53*Settings!$B$13)+(AA53*Settings!$B$16)</f>
        <v>467.31666666666706</v>
      </c>
      <c r="H53" s="30">
        <f>VLOOKUP(B53,'Standard Deviations'!$A1:$D651,4,FALSE)</f>
        <v>3.8018356766044987</v>
      </c>
      <c r="I53" s="31">
        <f ca="1">VLOOKUP(B53,OF!A1:I139,IF(Settings!$J$13="points",6,9),FALSE)</f>
        <v>3.6831230559503023</v>
      </c>
      <c r="J53" s="30"/>
      <c r="K53" s="30">
        <f ca="1">J53-A53</f>
        <v>-76</v>
      </c>
      <c r="L53" s="30"/>
      <c r="M53" s="30">
        <f>VLOOKUP($B53,Hitters!$A1:$R401,4,FALSE)</f>
        <v>562</v>
      </c>
      <c r="N53" s="30">
        <f>VLOOKUP($B53,Hitters!$A1:$R401,5,FALSE)</f>
        <v>77.066666666666706</v>
      </c>
      <c r="O53" s="30">
        <f>VLOOKUP($B53,Hitters!$A1:$R401,6,FALSE)</f>
        <v>29.366666666666699</v>
      </c>
      <c r="P53" s="30">
        <f>VLOOKUP($B53,Hitters!$A1:$R401,7,FALSE)</f>
        <v>87.533333333333303</v>
      </c>
      <c r="Q53" s="30">
        <f>VLOOKUP($B53,Hitters!$A1:$R401,8,FALSE)</f>
        <v>1.2666666666666699</v>
      </c>
      <c r="R53" s="32">
        <f>VLOOKUP($B53,Hitters!$A1:$R401,9,FALSE)</f>
        <v>0.24590747330960899</v>
      </c>
      <c r="S53" s="32">
        <f>VLOOKUP($B53,Hitters!$A1:$R401,10,FALSE)</f>
        <v>0.29961508350730698</v>
      </c>
      <c r="T53" s="30">
        <f>VLOOKUP($B53,Hitters!$A1:$R401,11,FALSE)</f>
        <v>138.19999999999999</v>
      </c>
      <c r="U53" s="30">
        <f>VLOOKUP($B53,Hitters!$A1:$R401,12,FALSE)</f>
        <v>29.066666666666698</v>
      </c>
      <c r="V53" s="30">
        <f>VLOOKUP($B53,Hitters!$A1:$R401,13,FALSE)</f>
        <v>0.9</v>
      </c>
      <c r="W53" s="30">
        <f>VLOOKUP($B53,Hitters!$A1:$R401,14,FALSE)</f>
        <v>45.5</v>
      </c>
      <c r="X53" s="30">
        <f>VLOOKUP($B53,Hitters!$A1:$R401,15,FALSE)</f>
        <v>123.633333333333</v>
      </c>
      <c r="Y53" s="32">
        <f>VLOOKUP($B53,Hitters!$A1:$R401,16,FALSE)</f>
        <v>0.45759193357058098</v>
      </c>
      <c r="Z53" s="32">
        <f>VLOOKUP($B53,Hitters!$A1:$R401,17,FALSE)</f>
        <v>0.75720701707788796</v>
      </c>
      <c r="AA53" s="30">
        <f>VLOOKUP($B53,Hitters!$A1:$R401,18,FALSE)</f>
        <v>0</v>
      </c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</row>
    <row r="54" spans="1:44" ht="18.600000000000001" customHeight="1">
      <c r="A54" s="24">
        <f ca="1">RANK(I54,I$2:I$651)</f>
        <v>170</v>
      </c>
      <c r="B54" s="25" t="s">
        <v>267</v>
      </c>
      <c r="C54" s="26" t="s">
        <v>92</v>
      </c>
      <c r="D54" s="26" t="s">
        <v>75</v>
      </c>
      <c r="E54" s="39" t="s">
        <v>7</v>
      </c>
      <c r="F54" s="40">
        <f ca="1">VLOOKUP(B54,'1B'!A1:I63,IF(Settings!$J$13="points",4,7),FALSE)</f>
        <v>12</v>
      </c>
      <c r="G54" s="29">
        <f>(M54*Settings!$B$2)+(N54*Settings!$B$3)+(O54*Settings!$B$4)+(P54*Settings!$B$5)+(Q54*Settings!$B$6)+(T54*Settings!$B$9)+(U54*Settings!$B$10)+(V54*Settings!$B$11)+(W54*Settings!$B$12)+(X54*Settings!$B$13)+(AA54*Settings!$B$16)</f>
        <v>467.16666666666742</v>
      </c>
      <c r="H54" s="30">
        <f>VLOOKUP(B54,'Standard Deviations'!$A1:$D651,4,FALSE)</f>
        <v>3.6526892578796741</v>
      </c>
      <c r="I54" s="31">
        <f ca="1">IF(Settings!$J$15="no",VLOOKUP(B54,'1B'!A1:I63,IF(Settings!$J$13="points",6,9),FALSE),VLOOKUP(B54,'1B+3B'!$A1:$I104,IF(Settings!$J$13="points",6,9),FALSE))</f>
        <v>1.0731636608842865</v>
      </c>
      <c r="J54" s="30"/>
      <c r="K54" s="30">
        <f ca="1">J54-A54</f>
        <v>-170</v>
      </c>
      <c r="L54" s="30"/>
      <c r="M54" s="30">
        <f>VLOOKUP($B54,Hitters!$A1:$R401,4,FALSE)</f>
        <v>520.33333333333303</v>
      </c>
      <c r="N54" s="30">
        <f>VLOOKUP($B54,Hitters!$A1:$R401,5,FALSE)</f>
        <v>81.366666666666703</v>
      </c>
      <c r="O54" s="30">
        <f>VLOOKUP($B54,Hitters!$A1:$R401,6,FALSE)</f>
        <v>28.866666666666699</v>
      </c>
      <c r="P54" s="30">
        <f>VLOOKUP($B54,Hitters!$A1:$R401,7,FALSE)</f>
        <v>81.033333333333303</v>
      </c>
      <c r="Q54" s="30">
        <f>VLOOKUP($B54,Hitters!$A1:$R401,8,FALSE)</f>
        <v>3</v>
      </c>
      <c r="R54" s="32">
        <f>VLOOKUP($B54,Hitters!$A1:$R401,9,FALSE)</f>
        <v>0.24093529788597101</v>
      </c>
      <c r="S54" s="32">
        <f>VLOOKUP($B54,Hitters!$A1:$R401,10,FALSE)</f>
        <v>0.326581440615692</v>
      </c>
      <c r="T54" s="30">
        <f>VLOOKUP($B54,Hitters!$A1:$R401,11,FALSE)</f>
        <v>125.366666666667</v>
      </c>
      <c r="U54" s="30">
        <f>VLOOKUP($B54,Hitters!$A1:$R401,12,FALSE)</f>
        <v>29.4</v>
      </c>
      <c r="V54" s="30">
        <f>VLOOKUP($B54,Hitters!$A1:$R401,13,FALSE)</f>
        <v>1.4666666666666699</v>
      </c>
      <c r="W54" s="30">
        <f>VLOOKUP($B54,Hitters!$A1:$R401,14,FALSE)</f>
        <v>68.7</v>
      </c>
      <c r="X54" s="30">
        <f>VLOOKUP($B54,Hitters!$A1:$R401,15,FALSE)</f>
        <v>147.933333333333</v>
      </c>
      <c r="Y54" s="32">
        <f>VLOOKUP($B54,Hitters!$A1:$R401,16,FALSE)</f>
        <v>0.46950672645739899</v>
      </c>
      <c r="Z54" s="32">
        <f>VLOOKUP($B54,Hitters!$A1:$R401,17,FALSE)</f>
        <v>0.79608816707309105</v>
      </c>
      <c r="AA54" s="30">
        <f>VLOOKUP($B54,Hitters!$A1:$R401,18,FALSE)</f>
        <v>0</v>
      </c>
      <c r="AB54" s="30"/>
      <c r="AC54" s="30"/>
      <c r="AD54" s="32"/>
      <c r="AE54" s="32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</row>
    <row r="55" spans="1:44" ht="18.600000000000001" customHeight="1">
      <c r="A55" s="24">
        <f ca="1">RANK(I55,I$2:I$651)</f>
        <v>52</v>
      </c>
      <c r="B55" s="25" t="s">
        <v>143</v>
      </c>
      <c r="C55" s="26" t="s">
        <v>77</v>
      </c>
      <c r="D55" s="26" t="s">
        <v>70</v>
      </c>
      <c r="E55" s="27" t="s">
        <v>23</v>
      </c>
      <c r="F55" s="28">
        <f ca="1">VLOOKUP(B55,OF!A1:I139,IF(Settings!$J$13="points",4,7),FALSE)</f>
        <v>22</v>
      </c>
      <c r="G55" s="29">
        <f>(M55*Settings!$B$2)+(N55*Settings!$B$3)+(O55*Settings!$B$4)+(P55*Settings!$B$5)+(Q55*Settings!$B$6)+(T55*Settings!$B$9)+(U55*Settings!$B$10)+(V55*Settings!$B$11)+(W55*Settings!$B$12)+(X55*Settings!$B$13)+(AA55*Settings!$B$16)</f>
        <v>462.98333333333295</v>
      </c>
      <c r="H55" s="30">
        <f>VLOOKUP(B55,'Standard Deviations'!$A1:$D651,4,FALSE)</f>
        <v>4.8140052644662266</v>
      </c>
      <c r="I55" s="31">
        <f ca="1">VLOOKUP(B55,OF!A1:I139,IF(Settings!$J$13="points",6,9),FALSE)</f>
        <v>4.6952934934209773</v>
      </c>
      <c r="J55" s="30"/>
      <c r="K55" s="30">
        <f ca="1">J55-A55</f>
        <v>-52</v>
      </c>
      <c r="L55" s="30"/>
      <c r="M55" s="30">
        <f>VLOOKUP($B55,Hitters!$A1:$R401,4,FALSE)</f>
        <v>533</v>
      </c>
      <c r="N55" s="30">
        <f>VLOOKUP($B55,Hitters!$A1:$R401,5,FALSE)</f>
        <v>84.8</v>
      </c>
      <c r="O55" s="30">
        <f>VLOOKUP($B55,Hitters!$A1:$R401,6,FALSE)</f>
        <v>8.4</v>
      </c>
      <c r="P55" s="30">
        <f>VLOOKUP($B55,Hitters!$A1:$R401,7,FALSE)</f>
        <v>53.133333333333297</v>
      </c>
      <c r="Q55" s="30">
        <f>VLOOKUP($B55,Hitters!$A1:$R401,8,FALSE)</f>
        <v>18.233333333333299</v>
      </c>
      <c r="R55" s="32">
        <f>VLOOKUP($B55,Hitters!$A1:$R401,9,FALSE)</f>
        <v>0.29349593495935</v>
      </c>
      <c r="S55" s="32">
        <f>VLOOKUP($B55,Hitters!$A1:$R401,10,FALSE)</f>
        <v>0.36044635729796398</v>
      </c>
      <c r="T55" s="30">
        <f>VLOOKUP($B55,Hitters!$A1:$R401,11,FALSE)</f>
        <v>156.433333333333</v>
      </c>
      <c r="U55" s="30">
        <f>VLOOKUP($B55,Hitters!$A1:$R401,12,FALSE)</f>
        <v>26.766666666666701</v>
      </c>
      <c r="V55" s="30">
        <f>VLOOKUP($B55,Hitters!$A1:$R401,13,FALSE)</f>
        <v>5.7666666666666702</v>
      </c>
      <c r="W55" s="30">
        <f>VLOOKUP($B55,Hitters!$A1:$R401,14,FALSE)</f>
        <v>58.8</v>
      </c>
      <c r="X55" s="30">
        <f>VLOOKUP($B55,Hitters!$A1:$R401,15,FALSE)</f>
        <v>62.1666666666667</v>
      </c>
      <c r="Y55" s="32">
        <f>VLOOKUP($B55,Hitters!$A1:$R401,16,FALSE)</f>
        <v>0.41263289555972499</v>
      </c>
      <c r="Z55" s="32">
        <f>VLOOKUP($B55,Hitters!$A1:$R401,17,FALSE)</f>
        <v>0.77307925285768897</v>
      </c>
      <c r="AA55" s="30">
        <f>VLOOKUP($B55,Hitters!$A1:$R401,18,FALSE)</f>
        <v>0</v>
      </c>
      <c r="AB55" s="30"/>
      <c r="AC55" s="30"/>
      <c r="AD55" s="32"/>
      <c r="AE55" s="32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</row>
    <row r="56" spans="1:44" ht="18.600000000000001" customHeight="1">
      <c r="A56" s="24">
        <f ca="1">RANK(I56,I$2:I$651)</f>
        <v>168</v>
      </c>
      <c r="B56" s="25" t="s">
        <v>265</v>
      </c>
      <c r="C56" s="26" t="s">
        <v>122</v>
      </c>
      <c r="D56" s="26" t="s">
        <v>75</v>
      </c>
      <c r="E56" s="39" t="s">
        <v>7</v>
      </c>
      <c r="F56" s="40">
        <f ca="1">VLOOKUP(B56,'1B'!A1:I63,IF(Settings!$J$13="points",4,7),FALSE)</f>
        <v>11</v>
      </c>
      <c r="G56" s="29">
        <f>(M56*Settings!$B$2)+(N56*Settings!$B$3)+(O56*Settings!$B$4)+(P56*Settings!$B$5)+(Q56*Settings!$B$6)+(T56*Settings!$B$9)+(U56*Settings!$B$10)+(V56*Settings!$B$11)+(W56*Settings!$B$12)+(X56*Settings!$B$13)+(AA56*Settings!$B$16)</f>
        <v>462.04999999999956</v>
      </c>
      <c r="H56" s="30">
        <f>VLOOKUP(B56,'Standard Deviations'!$A1:$D651,4,FALSE)</f>
        <v>3.6561603527555429</v>
      </c>
      <c r="I56" s="31">
        <f ca="1">IF(Settings!$J$15="no",VLOOKUP(B56,'1B'!A1:I63,IF(Settings!$J$13="points",6,9),FALSE),VLOOKUP(B56,'1B+3B'!$A1:$I104,IF(Settings!$J$13="points",6,9),FALSE))</f>
        <v>1.0766276780401731</v>
      </c>
      <c r="J56" s="30"/>
      <c r="K56" s="30">
        <f ca="1">J56-A56</f>
        <v>-168</v>
      </c>
      <c r="L56" s="30"/>
      <c r="M56" s="30">
        <f>VLOOKUP($B56,Hitters!$A1:$R401,4,FALSE)</f>
        <v>544.33333333333303</v>
      </c>
      <c r="N56" s="30">
        <f>VLOOKUP($B56,Hitters!$A1:$R401,5,FALSE)</f>
        <v>76.8</v>
      </c>
      <c r="O56" s="30">
        <f>VLOOKUP($B56,Hitters!$A1:$R401,6,FALSE)</f>
        <v>26.266666666666701</v>
      </c>
      <c r="P56" s="30">
        <f>VLOOKUP($B56,Hitters!$A1:$R401,7,FALSE)</f>
        <v>85.3333333333333</v>
      </c>
      <c r="Q56" s="30">
        <f>VLOOKUP($B56,Hitters!$A1:$R401,8,FALSE)</f>
        <v>2.1</v>
      </c>
      <c r="R56" s="32">
        <f>VLOOKUP($B56,Hitters!$A1:$R401,9,FALSE)</f>
        <v>0.25064298836497201</v>
      </c>
      <c r="S56" s="32">
        <f>VLOOKUP($B56,Hitters!$A1:$R401,10,FALSE)</f>
        <v>0.32057990389725699</v>
      </c>
      <c r="T56" s="30">
        <f>VLOOKUP($B56,Hitters!$A1:$R401,11,FALSE)</f>
        <v>136.433333333333</v>
      </c>
      <c r="U56" s="30">
        <f>VLOOKUP($B56,Hitters!$A1:$R401,12,FALSE)</f>
        <v>27.3</v>
      </c>
      <c r="V56" s="30">
        <f>VLOOKUP($B56,Hitters!$A1:$R401,13,FALSE)</f>
        <v>2</v>
      </c>
      <c r="W56" s="30">
        <f>VLOOKUP($B56,Hitters!$A1:$R401,14,FALSE)</f>
        <v>58.6</v>
      </c>
      <c r="X56" s="30">
        <f>VLOOKUP($B56,Hitters!$A1:$R401,15,FALSE)</f>
        <v>129.96666666666701</v>
      </c>
      <c r="Y56" s="32">
        <f>VLOOKUP($B56,Hitters!$A1:$R401,16,FALSE)</f>
        <v>0.45290875688916099</v>
      </c>
      <c r="Z56" s="32">
        <f>VLOOKUP($B56,Hitters!$A1:$R401,17,FALSE)</f>
        <v>0.77348866078641798</v>
      </c>
      <c r="AA56" s="30">
        <f>VLOOKUP($B56,Hitters!$A1:$R401,18,FALSE)</f>
        <v>0</v>
      </c>
      <c r="AB56" s="30"/>
      <c r="AC56" s="30"/>
      <c r="AD56" s="32"/>
      <c r="AE56" s="32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</row>
    <row r="57" spans="1:44" ht="18.600000000000001" customHeight="1">
      <c r="A57" s="24">
        <f ca="1">RANK(I57,I$2:I$651)</f>
        <v>118</v>
      </c>
      <c r="B57" s="25" t="s">
        <v>211</v>
      </c>
      <c r="C57" s="26" t="s">
        <v>160</v>
      </c>
      <c r="D57" s="26" t="s">
        <v>75</v>
      </c>
      <c r="E57" s="37" t="s">
        <v>27</v>
      </c>
      <c r="F57" s="38">
        <f ca="1">VLOOKUP(B57,SS!A1:I45,IF(Settings!$J$13="points",4,7),FALSE)</f>
        <v>8</v>
      </c>
      <c r="G57" s="29">
        <f>(M57*Settings!$B$2)+(N57*Settings!$B$3)+(O57*Settings!$B$4)+(P57*Settings!$B$5)+(Q57*Settings!$B$6)+(T57*Settings!$B$9)+(U57*Settings!$B$10)+(V57*Settings!$B$11)+(W57*Settings!$B$12)+(X57*Settings!$B$13)+(AA57*Settings!$B$16)</f>
        <v>461.49999999999932</v>
      </c>
      <c r="H57" s="30">
        <f>VLOOKUP(B57,'Standard Deviations'!$A1:$D651,4,FALSE)</f>
        <v>5.2990923311266398</v>
      </c>
      <c r="I57" s="31">
        <f ca="1">IF(Settings!$J$16="no",VLOOKUP(B57,SS!A1:I45,IF(Settings!$J$13="points",6,9),FALSE),VLOOKUP(B57,'2B+SS'!$A1:$I94,IF(Settings!$J$13="points",6,9),FALSE))</f>
        <v>2.2946720298734999</v>
      </c>
      <c r="J57" s="30"/>
      <c r="K57" s="30">
        <f ca="1">J57-A57</f>
        <v>-118</v>
      </c>
      <c r="L57" s="30"/>
      <c r="M57" s="30">
        <f>VLOOKUP($B57,Hitters!$A1:$R401,4,FALSE)</f>
        <v>584</v>
      </c>
      <c r="N57" s="30">
        <f>VLOOKUP($B57,Hitters!$A1:$R401,5,FALSE)</f>
        <v>85.533333333333303</v>
      </c>
      <c r="O57" s="30">
        <f>VLOOKUP($B57,Hitters!$A1:$R401,6,FALSE)</f>
        <v>22.633333333333301</v>
      </c>
      <c r="P57" s="30">
        <f>VLOOKUP($B57,Hitters!$A1:$R401,7,FALSE)</f>
        <v>77.033333333333303</v>
      </c>
      <c r="Q57" s="30">
        <f>VLOOKUP($B57,Hitters!$A1:$R401,8,FALSE)</f>
        <v>13.466666666666701</v>
      </c>
      <c r="R57" s="32">
        <f>VLOOKUP($B57,Hitters!$A1:$R401,9,FALSE)</f>
        <v>0.25827625570776302</v>
      </c>
      <c r="S57" s="32">
        <f>VLOOKUP($B57,Hitters!$A1:$R401,10,FALSE)</f>
        <v>0.312842399641035</v>
      </c>
      <c r="T57" s="30">
        <f>VLOOKUP($B57,Hitters!$A1:$R401,11,FALSE)</f>
        <v>150.833333333333</v>
      </c>
      <c r="U57" s="30">
        <f>VLOOKUP($B57,Hitters!$A1:$R401,12,FALSE)</f>
        <v>29.566666666666698</v>
      </c>
      <c r="V57" s="30">
        <f>VLOOKUP($B57,Hitters!$A1:$R401,13,FALSE)</f>
        <v>1.5</v>
      </c>
      <c r="W57" s="30">
        <f>VLOOKUP($B57,Hitters!$A1:$R401,14,FALSE)</f>
        <v>49.033333333333303</v>
      </c>
      <c r="X57" s="30">
        <f>VLOOKUP($B57,Hitters!$A1:$R401,15,FALSE)</f>
        <v>164.066666666667</v>
      </c>
      <c r="Y57" s="32">
        <f>VLOOKUP($B57,Hitters!$A1:$R401,16,FALSE)</f>
        <v>0.43030821917808199</v>
      </c>
      <c r="Z57" s="32">
        <f>VLOOKUP($B57,Hitters!$A1:$R401,17,FALSE)</f>
        <v>0.74315061881911704</v>
      </c>
      <c r="AA57" s="30">
        <f>VLOOKUP($B57,Hitters!$A1:$R401,18,FALSE)</f>
        <v>0</v>
      </c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</row>
    <row r="58" spans="1:44" ht="18.600000000000001" customHeight="1">
      <c r="A58" s="24">
        <f ca="1">RANK(I58,I$2:I$651)</f>
        <v>42</v>
      </c>
      <c r="B58" s="25" t="s">
        <v>130</v>
      </c>
      <c r="C58" s="26" t="s">
        <v>99</v>
      </c>
      <c r="D58" s="26" t="s">
        <v>75</v>
      </c>
      <c r="E58" s="35" t="s">
        <v>31</v>
      </c>
      <c r="F58" s="36">
        <f ca="1">VLOOKUP(B58,SP!A1:I161,IF(Settings!$J$13="points",4,7),FALSE)</f>
        <v>11</v>
      </c>
      <c r="G58" s="29">
        <f>(AC58*Settings!$F$2)+(AF58*Settings!$F$5)+(AG58*Settings!$F$6)+(AH58*Settings!$F$7)+(AI58*Settings!$F$8)+(AJ58*Settings!$F$9)+(AK58*Settings!$F$10)+(AL58*Settings!$F$11)+(AM58*Settings!$F$12)+(AN58*Settings!$F$13)+(AO58*Settings!$F$14)+(AP58*Settings!$F$15)+(AQ58*Settings!$F$16)+(AR58*Settings!$F$17)</f>
        <v>461.45</v>
      </c>
      <c r="H58" s="30">
        <f>VLOOKUP(B58,'Standard Deviations'!$A1:$D651,4,FALSE)</f>
        <v>5.2100965478067227</v>
      </c>
      <c r="I58" s="31">
        <f ca="1">IF(Settings!$J$16="no",VLOOKUP(B58,SP!A1:I161,IF(Settings!$J$13="points",6,9),FALSE),VLOOKUP(B58,'SP+RP'!$A1:$I251,IF(Settings!$J$13="points",6,9),FALSE))</f>
        <v>5.0741171859646927</v>
      </c>
      <c r="J58" s="30"/>
      <c r="K58" s="30">
        <f ca="1">J58-A58</f>
        <v>-42</v>
      </c>
      <c r="L58" s="30"/>
      <c r="M58" s="30"/>
      <c r="N58" s="30"/>
      <c r="O58" s="30"/>
      <c r="P58" s="30"/>
      <c r="Q58" s="30"/>
      <c r="R58" s="32"/>
      <c r="S58" s="32"/>
      <c r="T58" s="30"/>
      <c r="U58" s="30"/>
      <c r="V58" s="30"/>
      <c r="W58" s="30"/>
      <c r="X58" s="30"/>
      <c r="Y58" s="32"/>
      <c r="Z58" s="32"/>
      <c r="AA58" s="30"/>
      <c r="AB58" s="30"/>
      <c r="AC58" s="30">
        <f>VLOOKUP($B58,Pitchers!$A1:$S251,4,FALSE)</f>
        <v>172.79999999999998</v>
      </c>
      <c r="AD58" s="32">
        <f>VLOOKUP($B58,Pitchers!$A1:$S251,5,FALSE)</f>
        <v>3.2361111111111116</v>
      </c>
      <c r="AE58" s="32">
        <f>VLOOKUP($B58,Pitchers!$A1:$S251,6,FALSE)</f>
        <v>1.0850694444444446</v>
      </c>
      <c r="AF58" s="30">
        <f>VLOOKUP($B58,Pitchers!$A1:$S251,7,FALSE)</f>
        <v>202.9</v>
      </c>
      <c r="AG58" s="30">
        <f>VLOOKUP($B58,Pitchers!$A1:$S251,8,FALSE)</f>
        <v>11.533333333333333</v>
      </c>
      <c r="AH58" s="30">
        <f>VLOOKUP($B58,Pitchers!$A1:$S251,9,FALSE)</f>
        <v>0</v>
      </c>
      <c r="AI58" s="30">
        <f>VLOOKUP($B58,Pitchers!$A1:$S251,10,FALSE)</f>
        <v>62.133333333333333</v>
      </c>
      <c r="AJ58" s="30">
        <f>VLOOKUP($B58,Pitchers!$A1:$S251,11,FALSE)</f>
        <v>140.70000000000002</v>
      </c>
      <c r="AK58" s="30">
        <f>VLOOKUP($B58,Pitchers!$A1:$S251,12,FALSE)</f>
        <v>46.800000000000004</v>
      </c>
      <c r="AL58" s="30">
        <f>VLOOKUP($B58,Pitchers!$A1:$S251,13,FALSE)</f>
        <v>22</v>
      </c>
      <c r="AM58" s="30">
        <f>VLOOKUP($B58,Pitchers!$A1:$S251,14,FALSE)</f>
        <v>29.933333333333334</v>
      </c>
      <c r="AN58" s="30">
        <f>VLOOKUP($B58,Pitchers!$A1:$S251,15,FALSE)</f>
        <v>29.933333333333334</v>
      </c>
      <c r="AO58" s="30">
        <f>VLOOKUP($B58,Pitchers!$A1:$S251,16,FALSE)</f>
        <v>8.1</v>
      </c>
      <c r="AP58" s="30">
        <f>VLOOKUP($B58,Pitchers!$A1:$S251,17,FALSE)</f>
        <v>17</v>
      </c>
      <c r="AQ58" s="30">
        <f>VLOOKUP($B58,Pitchers!$A1:$S251,18,FALSE)</f>
        <v>0</v>
      </c>
      <c r="AR58" s="30">
        <f>VLOOKUP($B58,Pitchers!$A1:$S251,19,FALSE)</f>
        <v>0</v>
      </c>
    </row>
    <row r="59" spans="1:44" ht="18.600000000000001" customHeight="1">
      <c r="A59" s="24">
        <f ca="1">RANK(I59,I$2:I$651)</f>
        <v>165</v>
      </c>
      <c r="B59" s="25" t="s">
        <v>262</v>
      </c>
      <c r="C59" s="26" t="s">
        <v>119</v>
      </c>
      <c r="D59" s="26" t="s">
        <v>70</v>
      </c>
      <c r="E59" s="39" t="s">
        <v>7</v>
      </c>
      <c r="F59" s="40">
        <f ca="1">VLOOKUP(B59,'1B'!A1:I63,IF(Settings!$J$13="points",4,7),FALSE)</f>
        <v>10</v>
      </c>
      <c r="G59" s="29">
        <f>(M59*Settings!$B$2)+(N59*Settings!$B$3)+(O59*Settings!$B$4)+(P59*Settings!$B$5)+(Q59*Settings!$B$6)+(T59*Settings!$B$9)+(U59*Settings!$B$10)+(V59*Settings!$B$11)+(W59*Settings!$B$12)+(X59*Settings!$B$13)+(AA59*Settings!$B$16)</f>
        <v>461.29999999999984</v>
      </c>
      <c r="H59" s="30">
        <f>VLOOKUP(B59,'Standard Deviations'!$A1:$D651,4,FALSE)</f>
        <v>3.7790946206085581</v>
      </c>
      <c r="I59" s="31">
        <f ca="1">IF(Settings!$J$15="no",VLOOKUP(B59,'1B'!A1:I63,IF(Settings!$J$13="points",6,9),FALSE),VLOOKUP(B59,'1B+3B'!$A1:$I104,IF(Settings!$J$13="points",6,9),FALSE))</f>
        <v>1.1995639282514885</v>
      </c>
      <c r="J59" s="30"/>
      <c r="K59" s="30">
        <f ca="1">J59-A59</f>
        <v>-165</v>
      </c>
      <c r="L59" s="30"/>
      <c r="M59" s="30">
        <f>VLOOKUP($B59,Hitters!$A1:$R401,4,FALSE)</f>
        <v>514</v>
      </c>
      <c r="N59" s="30">
        <f>VLOOKUP($B59,Hitters!$A1:$R401,5,FALSE)</f>
        <v>65.533333333333303</v>
      </c>
      <c r="O59" s="30">
        <f>VLOOKUP($B59,Hitters!$A1:$R401,6,FALSE)</f>
        <v>22.3333333333333</v>
      </c>
      <c r="P59" s="30">
        <f>VLOOKUP($B59,Hitters!$A1:$R401,7,FALSE)</f>
        <v>72.466666666666697</v>
      </c>
      <c r="Q59" s="30">
        <f>VLOOKUP($B59,Hitters!$A1:$R401,8,FALSE)</f>
        <v>2.4666666666666699</v>
      </c>
      <c r="R59" s="32">
        <f>VLOOKUP($B59,Hitters!$A1:$R401,9,FALSE)</f>
        <v>0.28482490272373501</v>
      </c>
      <c r="S59" s="32">
        <f>VLOOKUP($B59,Hitters!$A1:$R401,10,FALSE)</f>
        <v>0.36149875522463099</v>
      </c>
      <c r="T59" s="30">
        <f>VLOOKUP($B59,Hitters!$A1:$R401,11,FALSE)</f>
        <v>146.4</v>
      </c>
      <c r="U59" s="30">
        <f>VLOOKUP($B59,Hitters!$A1:$R401,12,FALSE)</f>
        <v>26.1</v>
      </c>
      <c r="V59" s="30">
        <f>VLOOKUP($B59,Hitters!$A1:$R401,13,FALSE)</f>
        <v>1.4</v>
      </c>
      <c r="W59" s="30">
        <f>VLOOKUP($B59,Hitters!$A1:$R401,14,FALSE)</f>
        <v>64.633333333333297</v>
      </c>
      <c r="X59" s="30">
        <f>VLOOKUP($B59,Hitters!$A1:$R401,15,FALSE)</f>
        <v>76.8</v>
      </c>
      <c r="Y59" s="32">
        <f>VLOOKUP($B59,Hitters!$A1:$R401,16,FALSE)</f>
        <v>0.471400778210117</v>
      </c>
      <c r="Z59" s="32">
        <f>VLOOKUP($B59,Hitters!$A1:$R401,17,FALSE)</f>
        <v>0.83289953343474699</v>
      </c>
      <c r="AA59" s="30">
        <f>VLOOKUP($B59,Hitters!$A1:$R401,18,FALSE)</f>
        <v>0</v>
      </c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18.600000000000001" customHeight="1">
      <c r="A60" s="24">
        <f ca="1">RANK(I60,I$2:I$651)</f>
        <v>57</v>
      </c>
      <c r="B60" s="25" t="s">
        <v>148</v>
      </c>
      <c r="C60" s="26" t="s">
        <v>116</v>
      </c>
      <c r="D60" s="26" t="s">
        <v>70</v>
      </c>
      <c r="E60" s="35" t="s">
        <v>31</v>
      </c>
      <c r="F60" s="36">
        <f ca="1">VLOOKUP(B60,SP!A1:I161,IF(Settings!$J$13="points",4,7),FALSE)</f>
        <v>16</v>
      </c>
      <c r="G60" s="29">
        <f>(AC60*Settings!$F$2)+(AF60*Settings!$F$5)+(AG60*Settings!$F$6)+(AH60*Settings!$F$7)+(AI60*Settings!$F$8)+(AJ60*Settings!$F$9)+(AK60*Settings!$F$10)+(AL60*Settings!$F$11)+(AM60*Settings!$F$12)+(AN60*Settings!$F$13)+(AO60*Settings!$F$14)+(AP60*Settings!$F$15)+(AQ60*Settings!$F$16)+(AR60*Settings!$F$17)</f>
        <v>460.35000000000014</v>
      </c>
      <c r="H60" s="30">
        <f>VLOOKUP(B60,'Standard Deviations'!$A1:$D651,4,FALSE)</f>
        <v>4.5245125868036631</v>
      </c>
      <c r="I60" s="31">
        <f ca="1">IF(Settings!$J$16="no",VLOOKUP(B60,SP!A1:I161,IF(Settings!$J$13="points",6,9),FALSE),VLOOKUP(B60,'SP+RP'!$A1:$I251,IF(Settings!$J$13="points",6,9),FALSE))</f>
        <v>4.3885278615044019</v>
      </c>
      <c r="J60" s="30"/>
      <c r="K60" s="30">
        <f ca="1">J60-A60</f>
        <v>-57</v>
      </c>
      <c r="L60" s="30"/>
      <c r="M60" s="30"/>
      <c r="N60" s="30"/>
      <c r="O60" s="30"/>
      <c r="P60" s="30"/>
      <c r="Q60" s="30"/>
      <c r="R60" s="32"/>
      <c r="S60" s="32"/>
      <c r="T60" s="30"/>
      <c r="U60" s="30"/>
      <c r="V60" s="30"/>
      <c r="W60" s="30"/>
      <c r="X60" s="30"/>
      <c r="Y60" s="32"/>
      <c r="Z60" s="32"/>
      <c r="AA60" s="30"/>
      <c r="AB60" s="30"/>
      <c r="AC60" s="30">
        <f>VLOOKUP($B60,Pitchers!$A1:$S251,4,FALSE)</f>
        <v>177.56666666666669</v>
      </c>
      <c r="AD60" s="32">
        <f>VLOOKUP($B60,Pitchers!$A1:$S251,5,FALSE)</f>
        <v>3.3553594893936549</v>
      </c>
      <c r="AE60" s="32">
        <f>VLOOKUP($B60,Pitchers!$A1:$S251,6,FALSE)</f>
        <v>1.189975596020274</v>
      </c>
      <c r="AF60" s="30">
        <f>VLOOKUP($B60,Pitchers!$A1:$S251,7,FALSE)</f>
        <v>216.36666666666667</v>
      </c>
      <c r="AG60" s="30">
        <f>VLOOKUP($B60,Pitchers!$A1:$S251,8,FALSE)</f>
        <v>12.566666666666668</v>
      </c>
      <c r="AH60" s="30">
        <f>VLOOKUP($B60,Pitchers!$A1:$S251,9,FALSE)</f>
        <v>0</v>
      </c>
      <c r="AI60" s="30">
        <f>VLOOKUP($B60,Pitchers!$A1:$S251,10,FALSE)</f>
        <v>66.2</v>
      </c>
      <c r="AJ60" s="30">
        <f>VLOOKUP($B60,Pitchers!$A1:$S251,11,FALSE)</f>
        <v>138.76666666666668</v>
      </c>
      <c r="AK60" s="30">
        <f>VLOOKUP($B60,Pitchers!$A1:$S251,12,FALSE)</f>
        <v>72.533333333333331</v>
      </c>
      <c r="AL60" s="30">
        <f>VLOOKUP($B60,Pitchers!$A1:$S251,13,FALSE)</f>
        <v>25</v>
      </c>
      <c r="AM60" s="30">
        <f>VLOOKUP($B60,Pitchers!$A1:$S251,14,FALSE)</f>
        <v>31.599999999999998</v>
      </c>
      <c r="AN60" s="30">
        <f>VLOOKUP($B60,Pitchers!$A1:$S251,15,FALSE)</f>
        <v>31.266666666666666</v>
      </c>
      <c r="AO60" s="30">
        <f>VLOOKUP($B60,Pitchers!$A1:$S251,16,FALSE)</f>
        <v>8.4</v>
      </c>
      <c r="AP60" s="30">
        <f>VLOOKUP($B60,Pitchers!$A1:$S251,17,FALSE)</f>
        <v>17</v>
      </c>
      <c r="AQ60" s="30">
        <f>VLOOKUP($B60,Pitchers!$A1:$S251,18,FALSE)</f>
        <v>0</v>
      </c>
      <c r="AR60" s="30">
        <f>VLOOKUP($B60,Pitchers!$A1:$S251,19,FALSE)</f>
        <v>0</v>
      </c>
    </row>
    <row r="61" spans="1:44" ht="18.600000000000001" customHeight="1">
      <c r="A61" s="24">
        <f ca="1">RANK(I61,I$2:I$651)</f>
        <v>149</v>
      </c>
      <c r="B61" s="25" t="s">
        <v>245</v>
      </c>
      <c r="C61" s="26" t="s">
        <v>99</v>
      </c>
      <c r="D61" s="26" t="s">
        <v>75</v>
      </c>
      <c r="E61" s="37" t="s">
        <v>27</v>
      </c>
      <c r="F61" s="38">
        <f ca="1">VLOOKUP(B61,SS!A1:I45,IF(Settings!$J$13="points",4,7),FALSE)</f>
        <v>11</v>
      </c>
      <c r="G61" s="29">
        <f>(M61*Settings!$B$2)+(N61*Settings!$B$3)+(O61*Settings!$B$4)+(P61*Settings!$B$5)+(Q61*Settings!$B$6)+(T61*Settings!$B$9)+(U61*Settings!$B$10)+(V61*Settings!$B$11)+(W61*Settings!$B$12)+(X61*Settings!$B$13)+(AA61*Settings!$B$16)</f>
        <v>459.56666666666706</v>
      </c>
      <c r="H61" s="30">
        <f>VLOOKUP(B61,'Standard Deviations'!$A1:$D651,4,FALSE)</f>
        <v>4.5941942859978013</v>
      </c>
      <c r="I61" s="31">
        <f ca="1">IF(Settings!$J$16="no",VLOOKUP(B61,SS!A1:I45,IF(Settings!$J$13="points",6,9),FALSE),VLOOKUP(B61,'2B+SS'!$A1:$I94,IF(Settings!$J$13="points",6,9),FALSE))</f>
        <v>1.5897675412289369</v>
      </c>
      <c r="J61" s="30"/>
      <c r="K61" s="30">
        <f ca="1">J61-A61</f>
        <v>-149</v>
      </c>
      <c r="L61" s="30"/>
      <c r="M61" s="30">
        <f>VLOOKUP($B61,Hitters!$A1:$R401,4,FALSE)</f>
        <v>548.66666666666697</v>
      </c>
      <c r="N61" s="30">
        <f>VLOOKUP($B61,Hitters!$A1:$R401,5,FALSE)</f>
        <v>83.1</v>
      </c>
      <c r="O61" s="30">
        <f>VLOOKUP($B61,Hitters!$A1:$R401,6,FALSE)</f>
        <v>27.1666666666667</v>
      </c>
      <c r="P61" s="30">
        <f>VLOOKUP($B61,Hitters!$A1:$R401,7,FALSE)</f>
        <v>81.366666666666703</v>
      </c>
      <c r="Q61" s="30">
        <f>VLOOKUP($B61,Hitters!$A1:$R401,8,FALSE)</f>
        <v>7.6333333333333302</v>
      </c>
      <c r="R61" s="32">
        <f>VLOOKUP($B61,Hitters!$A1:$R401,9,FALSE)</f>
        <v>0.24835965978128799</v>
      </c>
      <c r="S61" s="32">
        <f>VLOOKUP($B61,Hitters!$A1:$R401,10,FALSE)</f>
        <v>0.31379997372684698</v>
      </c>
      <c r="T61" s="30">
        <f>VLOOKUP($B61,Hitters!$A1:$R401,11,FALSE)</f>
        <v>136.26666666666699</v>
      </c>
      <c r="U61" s="30">
        <f>VLOOKUP($B61,Hitters!$A1:$R401,12,FALSE)</f>
        <v>30.133333333333301</v>
      </c>
      <c r="V61" s="30">
        <f>VLOOKUP($B61,Hitters!$A1:$R401,13,FALSE)</f>
        <v>0.93333333333333302</v>
      </c>
      <c r="W61" s="30">
        <f>VLOOKUP($B61,Hitters!$A1:$R401,14,FALSE)</f>
        <v>54.8333333333333</v>
      </c>
      <c r="X61" s="30">
        <f>VLOOKUP($B61,Hitters!$A1:$R401,15,FALSE)</f>
        <v>166</v>
      </c>
      <c r="Y61" s="32">
        <f>VLOOKUP($B61,Hitters!$A1:$R401,16,FALSE)</f>
        <v>0.45522478736330502</v>
      </c>
      <c r="Z61" s="32">
        <f>VLOOKUP($B61,Hitters!$A1:$R401,17,FALSE)</f>
        <v>0.76902476109015205</v>
      </c>
      <c r="AA61" s="30">
        <f>VLOOKUP($B61,Hitters!$A1:$R401,18,FALSE)</f>
        <v>0</v>
      </c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8.600000000000001" customHeight="1">
      <c r="A62" s="24">
        <f ca="1">RANK(I62,I$2:I$651)</f>
        <v>55</v>
      </c>
      <c r="B62" s="25" t="s">
        <v>146</v>
      </c>
      <c r="C62" s="26" t="s">
        <v>92</v>
      </c>
      <c r="D62" s="26" t="s">
        <v>75</v>
      </c>
      <c r="E62" s="35" t="s">
        <v>31</v>
      </c>
      <c r="F62" s="36">
        <f ca="1">VLOOKUP(B62,SP!A1:I161,IF(Settings!$J$13="points",4,7),FALSE)</f>
        <v>15</v>
      </c>
      <c r="G62" s="29">
        <f>(AC62*Settings!$F$2)+(AF62*Settings!$F$5)+(AG62*Settings!$F$6)+(AH62*Settings!$F$7)+(AI62*Settings!$F$8)+(AJ62*Settings!$F$9)+(AK62*Settings!$F$10)+(AL62*Settings!$F$11)+(AM62*Settings!$F$12)+(AN62*Settings!$F$13)+(AO62*Settings!$F$14)+(AP62*Settings!$F$15)+(AQ62*Settings!$F$16)+(AR62*Settings!$F$17)</f>
        <v>457.83333333333331</v>
      </c>
      <c r="H62" s="30">
        <f>VLOOKUP(B62,'Standard Deviations'!$A1:$D651,4,FALSE)</f>
        <v>4.5705316197169141</v>
      </c>
      <c r="I62" s="31">
        <f ca="1">IF(Settings!$J$16="no",VLOOKUP(B62,SP!A1:I161,IF(Settings!$J$13="points",6,9),FALSE),VLOOKUP(B62,'SP+RP'!$A1:$I251,IF(Settings!$J$13="points",6,9),FALSE))</f>
        <v>4.4345453267620707</v>
      </c>
      <c r="J62" s="30"/>
      <c r="K62" s="30">
        <f ca="1">J62-A62</f>
        <v>-55</v>
      </c>
      <c r="L62" s="30"/>
      <c r="M62" s="30"/>
      <c r="N62" s="30"/>
      <c r="O62" s="30"/>
      <c r="P62" s="30"/>
      <c r="Q62" s="30"/>
      <c r="R62" s="32"/>
      <c r="S62" s="32"/>
      <c r="T62" s="30"/>
      <c r="U62" s="30"/>
      <c r="V62" s="30"/>
      <c r="W62" s="30"/>
      <c r="X62" s="30"/>
      <c r="Y62" s="32"/>
      <c r="Z62" s="32"/>
      <c r="AA62" s="30"/>
      <c r="AB62" s="30"/>
      <c r="AC62" s="30">
        <f>VLOOKUP($B62,Pitchers!$A1:$S251,4,FALSE)</f>
        <v>174.83333333333334</v>
      </c>
      <c r="AD62" s="32">
        <f>VLOOKUP($B62,Pitchers!$A1:$S251,5,FALSE)</f>
        <v>3.227645376549094</v>
      </c>
      <c r="AE62" s="32">
        <f>VLOOKUP($B62,Pitchers!$A1:$S251,6,FALSE)</f>
        <v>1.1122974261201144</v>
      </c>
      <c r="AF62" s="30">
        <f>VLOOKUP($B62,Pitchers!$A1:$S251,7,FALSE)</f>
        <v>178.06666666666669</v>
      </c>
      <c r="AG62" s="30">
        <f>VLOOKUP($B62,Pitchers!$A1:$S251,8,FALSE)</f>
        <v>12.066666666666668</v>
      </c>
      <c r="AH62" s="30">
        <f>VLOOKUP($B62,Pitchers!$A1:$S251,9,FALSE)</f>
        <v>0</v>
      </c>
      <c r="AI62" s="30">
        <f>VLOOKUP($B62,Pitchers!$A1:$S251,10,FALSE)</f>
        <v>62.699999999999996</v>
      </c>
      <c r="AJ62" s="30">
        <f>VLOOKUP($B62,Pitchers!$A1:$S251,11,FALSE)</f>
        <v>153.53333333333333</v>
      </c>
      <c r="AK62" s="30">
        <f>VLOOKUP($B62,Pitchers!$A1:$S251,12,FALSE)</f>
        <v>40.93333333333333</v>
      </c>
      <c r="AL62" s="30">
        <f>VLOOKUP($B62,Pitchers!$A1:$S251,13,FALSE)</f>
        <v>21</v>
      </c>
      <c r="AM62" s="30">
        <f>VLOOKUP($B62,Pitchers!$A1:$S251,14,FALSE)</f>
        <v>29.266666666666666</v>
      </c>
      <c r="AN62" s="30">
        <f>VLOOKUP($B62,Pitchers!$A1:$S251,15,FALSE)</f>
        <v>29.266666666666666</v>
      </c>
      <c r="AO62" s="30">
        <f>VLOOKUP($B62,Pitchers!$A1:$S251,16,FALSE)</f>
        <v>8</v>
      </c>
      <c r="AP62" s="30">
        <f>VLOOKUP($B62,Pitchers!$A1:$S251,17,FALSE)</f>
        <v>19</v>
      </c>
      <c r="AQ62" s="30">
        <f>VLOOKUP($B62,Pitchers!$A1:$S251,18,FALSE)</f>
        <v>0</v>
      </c>
      <c r="AR62" s="30">
        <f>VLOOKUP($B62,Pitchers!$A1:$S251,19,FALSE)</f>
        <v>0</v>
      </c>
    </row>
    <row r="63" spans="1:44" ht="18.600000000000001" customHeight="1">
      <c r="A63" s="24">
        <f ca="1">RANK(I63,I$2:I$651)</f>
        <v>60</v>
      </c>
      <c r="B63" s="25" t="s">
        <v>152</v>
      </c>
      <c r="C63" s="26" t="s">
        <v>82</v>
      </c>
      <c r="D63" s="26" t="s">
        <v>75</v>
      </c>
      <c r="E63" s="35" t="s">
        <v>31</v>
      </c>
      <c r="F63" s="36">
        <f ca="1">VLOOKUP(B63,SP!A1:I161,IF(Settings!$J$13="points",4,7),FALSE)</f>
        <v>18</v>
      </c>
      <c r="G63" s="29">
        <f>(AC63*Settings!$F$2)+(AF63*Settings!$F$5)+(AG63*Settings!$F$6)+(AH63*Settings!$F$7)+(AI63*Settings!$F$8)+(AJ63*Settings!$F$9)+(AK63*Settings!$F$10)+(AL63*Settings!$F$11)+(AM63*Settings!$F$12)+(AN63*Settings!$F$13)+(AO63*Settings!$F$14)+(AP63*Settings!$F$15)+(AQ63*Settings!$F$16)+(AR63*Settings!$F$17)</f>
        <v>457.41199999999986</v>
      </c>
      <c r="H63" s="30">
        <f>VLOOKUP(B63,'Standard Deviations'!$A1:$D651,4,FALSE)</f>
        <v>4.2556486102458395</v>
      </c>
      <c r="I63" s="31">
        <f ca="1">IF(Settings!$J$16="no",VLOOKUP(B63,SP!A1:I161,IF(Settings!$J$13="points",6,9),FALSE),VLOOKUP(B63,'SP+RP'!$A1:$I251,IF(Settings!$J$13="points",6,9),FALSE))</f>
        <v>4.1196670570300657</v>
      </c>
      <c r="J63" s="30"/>
      <c r="K63" s="30">
        <f ca="1">J63-A63</f>
        <v>-60</v>
      </c>
      <c r="L63" s="30"/>
      <c r="M63" s="30"/>
      <c r="N63" s="30"/>
      <c r="O63" s="30"/>
      <c r="P63" s="30"/>
      <c r="Q63" s="30"/>
      <c r="R63" s="32"/>
      <c r="S63" s="32"/>
      <c r="T63" s="30"/>
      <c r="U63" s="30"/>
      <c r="V63" s="30"/>
      <c r="W63" s="30"/>
      <c r="X63" s="30"/>
      <c r="Y63" s="32"/>
      <c r="Z63" s="32"/>
      <c r="AA63" s="30"/>
      <c r="AB63" s="30"/>
      <c r="AC63" s="30">
        <f>VLOOKUP($B63,Pitchers!$A1:$S251,4,FALSE)</f>
        <v>175.6</v>
      </c>
      <c r="AD63" s="32">
        <f>VLOOKUP($B63,Pitchers!$A1:$S251,5,FALSE)</f>
        <v>3.4546810933940777</v>
      </c>
      <c r="AE63" s="32">
        <f>VLOOKUP($B63,Pitchers!$A1:$S251,6,FALSE)</f>
        <v>1.1182611996962795</v>
      </c>
      <c r="AF63" s="30">
        <f>VLOOKUP($B63,Pitchers!$A1:$S251,7,FALSE)</f>
        <v>167.83333333333334</v>
      </c>
      <c r="AG63" s="30">
        <f>VLOOKUP($B63,Pitchers!$A1:$S251,8,FALSE)</f>
        <v>13.4</v>
      </c>
      <c r="AH63" s="30">
        <f>VLOOKUP($B63,Pitchers!$A1:$S251,9,FALSE)</f>
        <v>0</v>
      </c>
      <c r="AI63" s="30">
        <f>VLOOKUP($B63,Pitchers!$A1:$S251,10,FALSE)</f>
        <v>67.404666666666671</v>
      </c>
      <c r="AJ63" s="30">
        <f>VLOOKUP($B63,Pitchers!$A1:$S251,11,FALSE)</f>
        <v>152.5</v>
      </c>
      <c r="AK63" s="30">
        <f>VLOOKUP($B63,Pitchers!$A1:$S251,12,FALSE)</f>
        <v>43.866666666666667</v>
      </c>
      <c r="AL63" s="30">
        <f>VLOOKUP($B63,Pitchers!$A1:$S251,13,FALSE)</f>
        <v>28</v>
      </c>
      <c r="AM63" s="30">
        <f>VLOOKUP($B63,Pitchers!$A1:$S251,14,FALSE)</f>
        <v>30.933333333333334</v>
      </c>
      <c r="AN63" s="30">
        <f>VLOOKUP($B63,Pitchers!$A1:$S251,15,FALSE)</f>
        <v>30.933333333333334</v>
      </c>
      <c r="AO63" s="30">
        <f>VLOOKUP($B63,Pitchers!$A1:$S251,16,FALSE)</f>
        <v>6.8666666666666671</v>
      </c>
      <c r="AP63" s="30">
        <f>VLOOKUP($B63,Pitchers!$A1:$S251,17,FALSE)</f>
        <v>17</v>
      </c>
      <c r="AQ63" s="30">
        <f>VLOOKUP($B63,Pitchers!$A1:$S251,18,FALSE)</f>
        <v>0</v>
      </c>
      <c r="AR63" s="30">
        <f>VLOOKUP($B63,Pitchers!$A1:$S251,19,FALSE)</f>
        <v>0</v>
      </c>
    </row>
    <row r="64" spans="1:44" ht="18.600000000000001" customHeight="1">
      <c r="A64" s="24">
        <f ca="1">RANK(I64,I$2:I$651)</f>
        <v>133</v>
      </c>
      <c r="B64" s="25" t="s">
        <v>229</v>
      </c>
      <c r="C64" s="26" t="s">
        <v>178</v>
      </c>
      <c r="D64" s="26" t="s">
        <v>75</v>
      </c>
      <c r="E64" s="39" t="s">
        <v>7</v>
      </c>
      <c r="F64" s="40">
        <f ca="1">VLOOKUP(B64,'1B'!A1:I63,IF(Settings!$J$13="points",4,7),FALSE)</f>
        <v>8</v>
      </c>
      <c r="G64" s="29">
        <f>(M64*Settings!$B$2)+(N64*Settings!$B$3)+(O64*Settings!$B$4)+(P64*Settings!$B$5)+(Q64*Settings!$B$6)+(T64*Settings!$B$9)+(U64*Settings!$B$10)+(V64*Settings!$B$11)+(W64*Settings!$B$12)+(X64*Settings!$B$13)+(AA64*Settings!$B$16)</f>
        <v>456.95000000000044</v>
      </c>
      <c r="H64" s="30">
        <f>VLOOKUP(B64,'Standard Deviations'!$A1:$D651,4,FALSE)</f>
        <v>4.5280295331287848</v>
      </c>
      <c r="I64" s="31">
        <f ca="1">IF(Settings!$J$15="no",VLOOKUP(B64,'1B'!A1:I63,IF(Settings!$J$13="points",6,9),FALSE),VLOOKUP(B64,'1B+3B'!$A1:$I104,IF(Settings!$J$13="points",6,9),FALSE))</f>
        <v>1.9485019332080142</v>
      </c>
      <c r="J64" s="30"/>
      <c r="K64" s="30">
        <f ca="1">J64-A64</f>
        <v>-133</v>
      </c>
      <c r="L64" s="30"/>
      <c r="M64" s="30">
        <f>VLOOKUP($B64,Hitters!$A1:$R401,4,FALSE)</f>
        <v>526.33333333333303</v>
      </c>
      <c r="N64" s="30">
        <f>VLOOKUP($B64,Hitters!$A1:$R401,5,FALSE)</f>
        <v>77</v>
      </c>
      <c r="O64" s="30">
        <f>VLOOKUP($B64,Hitters!$A1:$R401,6,FALSE)</f>
        <v>28.033333333333299</v>
      </c>
      <c r="P64" s="30">
        <f>VLOOKUP($B64,Hitters!$A1:$R401,7,FALSE)</f>
        <v>93.1666666666667</v>
      </c>
      <c r="Q64" s="30">
        <f>VLOOKUP($B64,Hitters!$A1:$R401,8,FALSE)</f>
        <v>0.6</v>
      </c>
      <c r="R64" s="32">
        <f>VLOOKUP($B64,Hitters!$A1:$R401,9,FALSE)</f>
        <v>0.260987967067764</v>
      </c>
      <c r="S64" s="32">
        <f>VLOOKUP($B64,Hitters!$A1:$R401,10,FALSE)</f>
        <v>0.32145910188813498</v>
      </c>
      <c r="T64" s="30">
        <f>VLOOKUP($B64,Hitters!$A1:$R401,11,FALSE)</f>
        <v>137.36666666666699</v>
      </c>
      <c r="U64" s="30">
        <f>VLOOKUP($B64,Hitters!$A1:$R401,12,FALSE)</f>
        <v>26.5</v>
      </c>
      <c r="V64" s="30">
        <f>VLOOKUP($B64,Hitters!$A1:$R401,13,FALSE)</f>
        <v>2.1</v>
      </c>
      <c r="W64" s="30">
        <f>VLOOKUP($B64,Hitters!$A1:$R401,14,FALSE)</f>
        <v>49.4</v>
      </c>
      <c r="X64" s="30">
        <f>VLOOKUP($B64,Hitters!$A1:$R401,15,FALSE)</f>
        <v>145.23333333333301</v>
      </c>
      <c r="Y64" s="32">
        <f>VLOOKUP($B64,Hitters!$A1:$R401,16,FALSE)</f>
        <v>0.47910069664344501</v>
      </c>
      <c r="Z64" s="32">
        <f>VLOOKUP($B64,Hitters!$A1:$R401,17,FALSE)</f>
        <v>0.80055979853157999</v>
      </c>
      <c r="AA64" s="30">
        <f>VLOOKUP($B64,Hitters!$A1:$R401,18,FALSE)</f>
        <v>0</v>
      </c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1:44" ht="18.600000000000001" customHeight="1">
      <c r="A65" s="24">
        <f ca="1">RANK(I65,I$2:I$651)</f>
        <v>100</v>
      </c>
      <c r="B65" s="25" t="s">
        <v>194</v>
      </c>
      <c r="C65" s="26" t="s">
        <v>125</v>
      </c>
      <c r="D65" s="26" t="s">
        <v>75</v>
      </c>
      <c r="E65" s="47" t="s">
        <v>11</v>
      </c>
      <c r="F65" s="48">
        <f ca="1">VLOOKUP(B65,'2B'!A1:I50,IF(Settings!$J$13="points",4,7),FALSE)</f>
        <v>5</v>
      </c>
      <c r="G65" s="29">
        <f>(M65*Settings!$B$2)+(N65*Settings!$B$3)+(O65*Settings!$B$4)+(P65*Settings!$B$5)+(Q65*Settings!$B$6)+(T65*Settings!$B$9)+(U65*Settings!$B$10)+(V65*Settings!$B$11)+(W65*Settings!$B$12)+(X65*Settings!$B$13)+(AA65*Settings!$B$16)</f>
        <v>456.38333333333281</v>
      </c>
      <c r="H65" s="30">
        <f>VLOOKUP(B65,'Standard Deviations'!$A1:$D651,4,FALSE)</f>
        <v>5.2517165511962647</v>
      </c>
      <c r="I65" s="31">
        <f ca="1">IF(Settings!$J$16="no",VLOOKUP(B65,'2B'!A1:I50,IF(Settings!$J$13="points",6,9),FALSE),VLOOKUP(B65,'2B+SS'!$A1:$I94,IF(Settings!$J$13="points",6,9),FALSE))</f>
        <v>2.9439791354402578</v>
      </c>
      <c r="J65" s="30"/>
      <c r="K65" s="30">
        <f ca="1">J65-A65</f>
        <v>-100</v>
      </c>
      <c r="L65" s="30"/>
      <c r="M65" s="30">
        <f>VLOOKUP($B65,Hitters!$A1:$R401,4,FALSE)</f>
        <v>570</v>
      </c>
      <c r="N65" s="30">
        <f>VLOOKUP($B65,Hitters!$A1:$R401,5,FALSE)</f>
        <v>84.066666666666706</v>
      </c>
      <c r="O65" s="30">
        <f>VLOOKUP($B65,Hitters!$A1:$R401,6,FALSE)</f>
        <v>11.9</v>
      </c>
      <c r="P65" s="30">
        <f>VLOOKUP($B65,Hitters!$A1:$R401,7,FALSE)</f>
        <v>58.433333333333302</v>
      </c>
      <c r="Q65" s="30">
        <f>VLOOKUP($B65,Hitters!$A1:$R401,8,FALSE)</f>
        <v>26.466666666666701</v>
      </c>
      <c r="R65" s="32">
        <f>VLOOKUP($B65,Hitters!$A1:$R401,9,FALSE)</f>
        <v>0.26374269005848</v>
      </c>
      <c r="S65" s="32">
        <f>VLOOKUP($B65,Hitters!$A1:$R401,10,FALSE)</f>
        <v>0.31073782002808698</v>
      </c>
      <c r="T65" s="30">
        <f>VLOOKUP($B65,Hitters!$A1:$R401,11,FALSE)</f>
        <v>150.333333333333</v>
      </c>
      <c r="U65" s="30">
        <f>VLOOKUP($B65,Hitters!$A1:$R401,12,FALSE)</f>
        <v>31.733333333333299</v>
      </c>
      <c r="V65" s="30">
        <f>VLOOKUP($B65,Hitters!$A1:$R401,13,FALSE)</f>
        <v>3.2333333333333298</v>
      </c>
      <c r="W65" s="30">
        <f>VLOOKUP($B65,Hitters!$A1:$R401,14,FALSE)</f>
        <v>41.433333333333302</v>
      </c>
      <c r="X65" s="30">
        <f>VLOOKUP($B65,Hitters!$A1:$R401,15,FALSE)</f>
        <v>103.166666666667</v>
      </c>
      <c r="Y65" s="32">
        <f>VLOOKUP($B65,Hitters!$A1:$R401,16,FALSE)</f>
        <v>0.39339181286549701</v>
      </c>
      <c r="Z65" s="32">
        <f>VLOOKUP($B65,Hitters!$A1:$R401,17,FALSE)</f>
        <v>0.70412963289358399</v>
      </c>
      <c r="AA65" s="30">
        <f>VLOOKUP($B65,Hitters!$A1:$R401,18,FALSE)</f>
        <v>0</v>
      </c>
      <c r="AB65" s="30"/>
      <c r="AC65" s="30"/>
      <c r="AD65" s="32"/>
      <c r="AE65" s="32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1:44" ht="18.600000000000001" customHeight="1">
      <c r="A66" s="24">
        <f ca="1">RANK(I66,I$2:I$651)</f>
        <v>179</v>
      </c>
      <c r="B66" s="25" t="s">
        <v>275</v>
      </c>
      <c r="C66" s="26" t="s">
        <v>103</v>
      </c>
      <c r="D66" s="26" t="s">
        <v>70</v>
      </c>
      <c r="E66" s="37" t="s">
        <v>27</v>
      </c>
      <c r="F66" s="38">
        <f ca="1">VLOOKUP(B66,SS!A1:I45,IF(Settings!$J$13="points",4,7),FALSE)</f>
        <v>13</v>
      </c>
      <c r="G66" s="29">
        <f>(M66*Settings!$B$2)+(N66*Settings!$B$3)+(O66*Settings!$B$4)+(P66*Settings!$B$5)+(Q66*Settings!$B$6)+(T66*Settings!$B$9)+(U66*Settings!$B$10)+(V66*Settings!$B$11)+(W66*Settings!$B$12)+(X66*Settings!$B$13)+(AA66*Settings!$B$16)</f>
        <v>455.2166666666667</v>
      </c>
      <c r="H66" s="30">
        <f>VLOOKUP(B66,'Standard Deviations'!$A1:$D651,4,FALSE)</f>
        <v>3.9415618341639949</v>
      </c>
      <c r="I66" s="31">
        <f ca="1">IF(Settings!$J$16="no",VLOOKUP(B66,SS!A1:I45,IF(Settings!$J$13="points",6,9),FALSE),VLOOKUP(B66,'2B+SS'!$A1:$I94,IF(Settings!$J$13="points",6,9),FALSE))</f>
        <v>0.937134927136138</v>
      </c>
      <c r="J66" s="30"/>
      <c r="K66" s="30">
        <f ca="1">J66-A66</f>
        <v>-179</v>
      </c>
      <c r="L66" s="30"/>
      <c r="M66" s="30">
        <f>VLOOKUP($B66,Hitters!$A1:$R401,4,FALSE)</f>
        <v>511.33333333333297</v>
      </c>
      <c r="N66" s="30">
        <f>VLOOKUP($B66,Hitters!$A1:$R401,5,FALSE)</f>
        <v>79.866666666666703</v>
      </c>
      <c r="O66" s="30">
        <f>VLOOKUP($B66,Hitters!$A1:$R401,6,FALSE)</f>
        <v>13</v>
      </c>
      <c r="P66" s="30">
        <f>VLOOKUP($B66,Hitters!$A1:$R401,7,FALSE)</f>
        <v>63.966666666666697</v>
      </c>
      <c r="Q66" s="30">
        <f>VLOOKUP($B66,Hitters!$A1:$R401,8,FALSE)</f>
        <v>9.2333333333333307</v>
      </c>
      <c r="R66" s="32">
        <f>VLOOKUP($B66,Hitters!$A1:$R401,9,FALSE)</f>
        <v>0.28591916558018299</v>
      </c>
      <c r="S66" s="32">
        <f>VLOOKUP($B66,Hitters!$A1:$R401,10,FALSE)</f>
        <v>0.33996101827862402</v>
      </c>
      <c r="T66" s="30">
        <f>VLOOKUP($B66,Hitters!$A1:$R401,11,FALSE)</f>
        <v>146.19999999999999</v>
      </c>
      <c r="U66" s="30">
        <f>VLOOKUP($B66,Hitters!$A1:$R401,12,FALSE)</f>
        <v>32.1</v>
      </c>
      <c r="V66" s="30">
        <f>VLOOKUP($B66,Hitters!$A1:$R401,13,FALSE)</f>
        <v>5.6666666666666696</v>
      </c>
      <c r="W66" s="30">
        <f>VLOOKUP($B66,Hitters!$A1:$R401,14,FALSE)</f>
        <v>44.5</v>
      </c>
      <c r="X66" s="30">
        <f>VLOOKUP($B66,Hitters!$A1:$R401,15,FALSE)</f>
        <v>61.966666666666697</v>
      </c>
      <c r="Y66" s="32">
        <f>VLOOKUP($B66,Hitters!$A1:$R401,16,FALSE)</f>
        <v>0.44713168187744501</v>
      </c>
      <c r="Z66" s="32">
        <f>VLOOKUP($B66,Hitters!$A1:$R401,17,FALSE)</f>
        <v>0.78709270015606903</v>
      </c>
      <c r="AA66" s="30">
        <f>VLOOKUP($B66,Hitters!$A1:$R401,18,FALSE)</f>
        <v>0</v>
      </c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1:44" ht="18.600000000000001" customHeight="1">
      <c r="A67" s="24">
        <f ca="1">RANK(I67,I$2:I$651)</f>
        <v>58</v>
      </c>
      <c r="B67" s="25" t="s">
        <v>149</v>
      </c>
      <c r="C67" s="26" t="s">
        <v>95</v>
      </c>
      <c r="D67" s="26" t="s">
        <v>70</v>
      </c>
      <c r="E67" s="35" t="s">
        <v>31</v>
      </c>
      <c r="F67" s="36">
        <f ca="1">VLOOKUP(B67,SP!A1:I161,IF(Settings!$J$13="points",4,7),FALSE)</f>
        <v>17</v>
      </c>
      <c r="G67" s="29">
        <f>(AC67*Settings!$F$2)+(AF67*Settings!$F$5)+(AG67*Settings!$F$6)+(AH67*Settings!$F$7)+(AI67*Settings!$F$8)+(AJ67*Settings!$F$9)+(AK67*Settings!$F$10)+(AL67*Settings!$F$11)+(AM67*Settings!$F$12)+(AN67*Settings!$F$13)+(AO67*Settings!$F$14)+(AP67*Settings!$F$15)+(AQ67*Settings!$F$16)+(AR67*Settings!$F$17)</f>
        <v>454.2833333333333</v>
      </c>
      <c r="H67" s="30">
        <f>VLOOKUP(B67,'Standard Deviations'!$A1:$D651,4,FALSE)</f>
        <v>4.3395273173211493</v>
      </c>
      <c r="I67" s="31">
        <f ca="1">IF(Settings!$J$16="no",VLOOKUP(B67,SP!A1:I161,IF(Settings!$J$13="points",6,9),FALSE),VLOOKUP(B67,'SP+RP'!$A1:$I251,IF(Settings!$J$13="points",6,9),FALSE))</f>
        <v>4.2035427058340948</v>
      </c>
      <c r="J67" s="30"/>
      <c r="K67" s="30">
        <f ca="1">J67-A67</f>
        <v>-58</v>
      </c>
      <c r="L67" s="30"/>
      <c r="M67" s="30"/>
      <c r="N67" s="30"/>
      <c r="O67" s="30"/>
      <c r="P67" s="30"/>
      <c r="Q67" s="30"/>
      <c r="R67" s="32"/>
      <c r="S67" s="32"/>
      <c r="T67" s="30"/>
      <c r="U67" s="30"/>
      <c r="V67" s="30"/>
      <c r="W67" s="30"/>
      <c r="X67" s="30"/>
      <c r="Y67" s="32"/>
      <c r="Z67" s="32"/>
      <c r="AA67" s="30"/>
      <c r="AB67" s="30"/>
      <c r="AC67" s="30">
        <f>VLOOKUP($B67,Pitchers!$A1:$S251,4,FALSE)</f>
        <v>176.26666666666665</v>
      </c>
      <c r="AD67" s="32">
        <f>VLOOKUP($B67,Pitchers!$A1:$S251,5,FALSE)</f>
        <v>3.4022314674735257</v>
      </c>
      <c r="AE67" s="32">
        <f>VLOOKUP($B67,Pitchers!$A1:$S251,6,FALSE)</f>
        <v>1.1446671709531013</v>
      </c>
      <c r="AF67" s="30">
        <f>VLOOKUP($B67,Pitchers!$A1:$S251,7,FALSE)</f>
        <v>199.23333333333335</v>
      </c>
      <c r="AG67" s="30">
        <f>VLOOKUP($B67,Pitchers!$A1:$S251,8,FALSE)</f>
        <v>11.966666666666667</v>
      </c>
      <c r="AH67" s="30">
        <f>VLOOKUP($B67,Pitchers!$A1:$S251,9,FALSE)</f>
        <v>0</v>
      </c>
      <c r="AI67" s="30">
        <f>VLOOKUP($B67,Pitchers!$A1:$S251,10,FALSE)</f>
        <v>66.63333333333334</v>
      </c>
      <c r="AJ67" s="30">
        <f>VLOOKUP($B67,Pitchers!$A1:$S251,11,FALSE)</f>
        <v>164.13333333333333</v>
      </c>
      <c r="AK67" s="30">
        <f>VLOOKUP($B67,Pitchers!$A1:$S251,12,FALSE)</f>
        <v>37.633333333333333</v>
      </c>
      <c r="AL67" s="30">
        <f>VLOOKUP($B67,Pitchers!$A1:$S251,13,FALSE)</f>
        <v>25</v>
      </c>
      <c r="AM67" s="30">
        <f>VLOOKUP($B67,Pitchers!$A1:$S251,14,FALSE)</f>
        <v>30.933333333333334</v>
      </c>
      <c r="AN67" s="30">
        <f>VLOOKUP($B67,Pitchers!$A1:$S251,15,FALSE)</f>
        <v>30.933333333333334</v>
      </c>
      <c r="AO67" s="30">
        <f>VLOOKUP($B67,Pitchers!$A1:$S251,16,FALSE)</f>
        <v>8.1</v>
      </c>
      <c r="AP67" s="30">
        <f>VLOOKUP($B67,Pitchers!$A1:$S251,17,FALSE)</f>
        <v>17</v>
      </c>
      <c r="AQ67" s="30">
        <f>VLOOKUP($B67,Pitchers!$A1:$S251,18,FALSE)</f>
        <v>0</v>
      </c>
      <c r="AR67" s="30">
        <f>VLOOKUP($B67,Pitchers!$A1:$S251,19,FALSE)</f>
        <v>0</v>
      </c>
    </row>
    <row r="68" spans="1:44" ht="18.600000000000001" customHeight="1">
      <c r="A68" s="24">
        <f ca="1">RANK(I68,I$2:I$651)</f>
        <v>80</v>
      </c>
      <c r="B68" s="25" t="s">
        <v>173</v>
      </c>
      <c r="C68" s="26" t="s">
        <v>64</v>
      </c>
      <c r="D68" s="26" t="s">
        <v>75</v>
      </c>
      <c r="E68" s="35" t="s">
        <v>31</v>
      </c>
      <c r="F68" s="36">
        <f ca="1">VLOOKUP(B68,SP!A1:I161,IF(Settings!$J$13="points",4,7),FALSE)</f>
        <v>28</v>
      </c>
      <c r="G68" s="29">
        <f>(AC68*Settings!$F$2)+(AF68*Settings!$F$5)+(AG68*Settings!$F$6)+(AH68*Settings!$F$7)+(AI68*Settings!$F$8)+(AJ68*Settings!$F$9)+(AK68*Settings!$F$10)+(AL68*Settings!$F$11)+(AM68*Settings!$F$12)+(AN68*Settings!$F$13)+(AO68*Settings!$F$14)+(AP68*Settings!$F$15)+(AQ68*Settings!$F$16)+(AR68*Settings!$F$17)</f>
        <v>451.5333333333333</v>
      </c>
      <c r="H68" s="30">
        <f>VLOOKUP(B68,'Standard Deviations'!$A1:$D651,4,FALSE)</f>
        <v>3.7337300054057696</v>
      </c>
      <c r="I68" s="31">
        <f ca="1">IF(Settings!$J$16="no",VLOOKUP(B68,SP!A1:I161,IF(Settings!$J$13="points",6,9),FALSE),VLOOKUP(B68,'SP+RP'!$A1:$I251,IF(Settings!$J$13="points",6,9),FALSE))</f>
        <v>3.5977510584778112</v>
      </c>
      <c r="J68" s="30"/>
      <c r="K68" s="30">
        <f ca="1">J68-A68</f>
        <v>-80</v>
      </c>
      <c r="L68" s="30"/>
      <c r="M68" s="30"/>
      <c r="N68" s="30"/>
      <c r="O68" s="30"/>
      <c r="P68" s="30"/>
      <c r="Q68" s="30"/>
      <c r="R68" s="32"/>
      <c r="S68" s="32"/>
      <c r="T68" s="30"/>
      <c r="U68" s="30"/>
      <c r="V68" s="30"/>
      <c r="W68" s="30"/>
      <c r="X68" s="30"/>
      <c r="Y68" s="32"/>
      <c r="Z68" s="32"/>
      <c r="AA68" s="30"/>
      <c r="AB68" s="30"/>
      <c r="AC68" s="30">
        <f>VLOOKUP($B68,Pitchers!$A1:$S251,4,FALSE)</f>
        <v>182.23333333333335</v>
      </c>
      <c r="AD68" s="32">
        <f>VLOOKUP($B68,Pitchers!$A1:$S251,5,FALSE)</f>
        <v>3.4620449972562652</v>
      </c>
      <c r="AE68" s="32">
        <f>VLOOKUP($B68,Pitchers!$A1:$S251,6,FALSE)</f>
        <v>1.1505396012438265</v>
      </c>
      <c r="AF68" s="30">
        <f>VLOOKUP($B68,Pitchers!$A1:$S251,7,FALSE)</f>
        <v>186.79999999999998</v>
      </c>
      <c r="AG68" s="30">
        <f>VLOOKUP($B68,Pitchers!$A1:$S251,8,FALSE)</f>
        <v>11.433333333333332</v>
      </c>
      <c r="AH68" s="30">
        <f>VLOOKUP($B68,Pitchers!$A1:$S251,9,FALSE)</f>
        <v>0</v>
      </c>
      <c r="AI68" s="30">
        <f>VLOOKUP($B68,Pitchers!$A1:$S251,10,FALSE)</f>
        <v>70.100000000000009</v>
      </c>
      <c r="AJ68" s="30">
        <f>VLOOKUP($B68,Pitchers!$A1:$S251,11,FALSE)</f>
        <v>160.6</v>
      </c>
      <c r="AK68" s="30">
        <f>VLOOKUP($B68,Pitchers!$A1:$S251,12,FALSE)</f>
        <v>49.066666666666663</v>
      </c>
      <c r="AL68" s="30">
        <f>VLOOKUP($B68,Pitchers!$A1:$S251,13,FALSE)</f>
        <v>24</v>
      </c>
      <c r="AM68" s="30">
        <f>VLOOKUP($B68,Pitchers!$A1:$S251,14,FALSE)</f>
        <v>30.933333333333334</v>
      </c>
      <c r="AN68" s="30">
        <f>VLOOKUP($B68,Pitchers!$A1:$S251,15,FALSE)</f>
        <v>30.599999999999998</v>
      </c>
      <c r="AO68" s="30">
        <f>VLOOKUP($B68,Pitchers!$A1:$S251,16,FALSE)</f>
        <v>8.5666666666666664</v>
      </c>
      <c r="AP68" s="30">
        <f>VLOOKUP($B68,Pitchers!$A1:$S251,17,FALSE)</f>
        <v>18</v>
      </c>
      <c r="AQ68" s="30">
        <f>VLOOKUP($B68,Pitchers!$A1:$S251,18,FALSE)</f>
        <v>0</v>
      </c>
      <c r="AR68" s="30">
        <f>VLOOKUP($B68,Pitchers!$A1:$S251,19,FALSE)</f>
        <v>0</v>
      </c>
    </row>
    <row r="69" spans="1:44" ht="18.600000000000001" customHeight="1">
      <c r="A69" s="24">
        <f ca="1">RANK(I69,I$2:I$651)</f>
        <v>114</v>
      </c>
      <c r="B69" s="25" t="s">
        <v>208</v>
      </c>
      <c r="C69" s="26" t="s">
        <v>139</v>
      </c>
      <c r="D69" s="26" t="s">
        <v>75</v>
      </c>
      <c r="E69" s="37" t="s">
        <v>27</v>
      </c>
      <c r="F69" s="38">
        <f ca="1">VLOOKUP(B69,SS!A1:I45,IF(Settings!$J$13="points",4,7),FALSE)</f>
        <v>7</v>
      </c>
      <c r="G69" s="29">
        <f>(M69*Settings!$B$2)+(N69*Settings!$B$3)+(O69*Settings!$B$4)+(P69*Settings!$B$5)+(Q69*Settings!$B$6)+(T69*Settings!$B$9)+(U69*Settings!$B$10)+(V69*Settings!$B$11)+(W69*Settings!$B$12)+(X69*Settings!$B$13)+(AA69*Settings!$B$16)</f>
        <v>451.35</v>
      </c>
      <c r="H69" s="30">
        <f>VLOOKUP(B69,'Standard Deviations'!$A1:$D651,4,FALSE)</f>
        <v>5.404386859994271</v>
      </c>
      <c r="I69" s="31">
        <f ca="1">IF(Settings!$J$16="no",VLOOKUP(B69,SS!A1:I45,IF(Settings!$J$13="points",6,9),FALSE),VLOOKUP(B69,'2B+SS'!$A1:$I94,IF(Settings!$J$13="points",6,9),FALSE))</f>
        <v>2.3999676808016654</v>
      </c>
      <c r="J69" s="30"/>
      <c r="K69" s="30">
        <f ca="1">J69-A69</f>
        <v>-114</v>
      </c>
      <c r="L69" s="30"/>
      <c r="M69" s="30">
        <f>VLOOKUP($B69,Hitters!$A1:$R401,4,FALSE)</f>
        <v>516</v>
      </c>
      <c r="N69" s="30">
        <f>VLOOKUP($B69,Hitters!$A1:$R401,5,FALSE)</f>
        <v>81.2</v>
      </c>
      <c r="O69" s="30">
        <f>VLOOKUP($B69,Hitters!$A1:$R401,6,FALSE)</f>
        <v>25.25</v>
      </c>
      <c r="P69" s="30">
        <f>VLOOKUP($B69,Hitters!$A1:$R401,7,FALSE)</f>
        <v>70.2</v>
      </c>
      <c r="Q69" s="30">
        <f>VLOOKUP($B69,Hitters!$A1:$R401,8,FALSE)</f>
        <v>18.3</v>
      </c>
      <c r="R69" s="32">
        <f>VLOOKUP($B69,Hitters!$A1:$R401,9,FALSE)</f>
        <v>0.24932170542635701</v>
      </c>
      <c r="S69" s="32">
        <f>VLOOKUP($B69,Hitters!$A1:$R401,10,FALSE)</f>
        <v>0.31091448534962501</v>
      </c>
      <c r="T69" s="30">
        <f>VLOOKUP($B69,Hitters!$A1:$R401,11,FALSE)</f>
        <v>128.65</v>
      </c>
      <c r="U69" s="30">
        <f>VLOOKUP($B69,Hitters!$A1:$R401,12,FALSE)</f>
        <v>24.25</v>
      </c>
      <c r="V69" s="30">
        <f>VLOOKUP($B69,Hitters!$A1:$R401,13,FALSE)</f>
        <v>5.25</v>
      </c>
      <c r="W69" s="30">
        <f>VLOOKUP($B69,Hitters!$A1:$R401,14,FALSE)</f>
        <v>48.45</v>
      </c>
      <c r="X69" s="30">
        <f>VLOOKUP($B69,Hitters!$A1:$R401,15,FALSE)</f>
        <v>158</v>
      </c>
      <c r="Y69" s="32">
        <f>VLOOKUP($B69,Hitters!$A1:$R401,16,FALSE)</f>
        <v>0.46346899224806198</v>
      </c>
      <c r="Z69" s="32">
        <f>VLOOKUP($B69,Hitters!$A1:$R401,17,FALSE)</f>
        <v>0.774383477597687</v>
      </c>
      <c r="AA69" s="30">
        <f>VLOOKUP($B69,Hitters!$A1:$R401,18,FALSE)</f>
        <v>0</v>
      </c>
      <c r="AB69" s="30"/>
      <c r="AC69" s="30"/>
      <c r="AD69" s="32"/>
      <c r="AE69" s="32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1:44" ht="18.600000000000001" customHeight="1">
      <c r="A70" s="24">
        <f ca="1">RANK(I70,I$2:I$651)</f>
        <v>70</v>
      </c>
      <c r="B70" s="25" t="s">
        <v>164</v>
      </c>
      <c r="C70" s="26" t="s">
        <v>122</v>
      </c>
      <c r="D70" s="26" t="s">
        <v>75</v>
      </c>
      <c r="E70" s="35" t="s">
        <v>31</v>
      </c>
      <c r="F70" s="36">
        <f ca="1">VLOOKUP(B70,SP!A1:I161,IF(Settings!$J$13="points",4,7),FALSE)</f>
        <v>23</v>
      </c>
      <c r="G70" s="29">
        <f>(AC70*Settings!$F$2)+(AF70*Settings!$F$5)+(AG70*Settings!$F$6)+(AH70*Settings!$F$7)+(AI70*Settings!$F$8)+(AJ70*Settings!$F$9)+(AK70*Settings!$F$10)+(AL70*Settings!$F$11)+(AM70*Settings!$F$12)+(AN70*Settings!$F$13)+(AO70*Settings!$F$14)+(AP70*Settings!$F$15)+(AQ70*Settings!$F$16)+(AR70*Settings!$F$17)</f>
        <v>449.16666666666663</v>
      </c>
      <c r="H70" s="30">
        <f>VLOOKUP(B70,'Standard Deviations'!$A1:$D651,4,FALSE)</f>
        <v>3.9079555408142506</v>
      </c>
      <c r="I70" s="31">
        <f ca="1">IF(Settings!$J$16="no",VLOOKUP(B70,SP!A1:I161,IF(Settings!$J$13="points",6,9),FALSE),VLOOKUP(B70,'SP+RP'!$A1:$I251,IF(Settings!$J$13="points",6,9),FALSE))</f>
        <v>3.771967716398962</v>
      </c>
      <c r="J70" s="30"/>
      <c r="K70" s="30">
        <f ca="1">J70-A70</f>
        <v>-70</v>
      </c>
      <c r="L70" s="30"/>
      <c r="M70" s="30"/>
      <c r="N70" s="30"/>
      <c r="O70" s="30"/>
      <c r="P70" s="30"/>
      <c r="Q70" s="30"/>
      <c r="R70" s="32"/>
      <c r="S70" s="32"/>
      <c r="T70" s="30"/>
      <c r="U70" s="30"/>
      <c r="V70" s="30"/>
      <c r="W70" s="30"/>
      <c r="X70" s="30"/>
      <c r="Y70" s="32"/>
      <c r="Z70" s="32"/>
      <c r="AA70" s="30"/>
      <c r="AB70" s="30"/>
      <c r="AC70" s="30">
        <f>VLOOKUP($B70,Pitchers!$A1:$S251,4,FALSE)</f>
        <v>179.93333333333331</v>
      </c>
      <c r="AD70" s="32">
        <f>VLOOKUP($B70,Pitchers!$A1:$S251,5,FALSE)</f>
        <v>3.4362726935902193</v>
      </c>
      <c r="AE70" s="32">
        <f>VLOOKUP($B70,Pitchers!$A1:$S251,6,FALSE)</f>
        <v>1.1283808818080772</v>
      </c>
      <c r="AF70" s="30">
        <f>VLOOKUP($B70,Pitchers!$A1:$S251,7,FALSE)</f>
        <v>191.93333333333331</v>
      </c>
      <c r="AG70" s="30">
        <f>VLOOKUP($B70,Pitchers!$A1:$S251,8,FALSE)</f>
        <v>10.733333333333334</v>
      </c>
      <c r="AH70" s="30">
        <f>VLOOKUP($B70,Pitchers!$A1:$S251,9,FALSE)</f>
        <v>0</v>
      </c>
      <c r="AI70" s="30">
        <f>VLOOKUP($B70,Pitchers!$A1:$S251,10,FALSE)</f>
        <v>68.7</v>
      </c>
      <c r="AJ70" s="30">
        <f>VLOOKUP($B70,Pitchers!$A1:$S251,11,FALSE)</f>
        <v>147.13333333333333</v>
      </c>
      <c r="AK70" s="30">
        <f>VLOOKUP($B70,Pitchers!$A1:$S251,12,FALSE)</f>
        <v>55.9</v>
      </c>
      <c r="AL70" s="30">
        <f>VLOOKUP($B70,Pitchers!$A1:$S251,13,FALSE)</f>
        <v>21</v>
      </c>
      <c r="AM70" s="30">
        <f>VLOOKUP($B70,Pitchers!$A1:$S251,14,FALSE)</f>
        <v>30.933333333333334</v>
      </c>
      <c r="AN70" s="30">
        <f>VLOOKUP($B70,Pitchers!$A1:$S251,15,FALSE)</f>
        <v>30.933333333333334</v>
      </c>
      <c r="AO70" s="30">
        <f>VLOOKUP($B70,Pitchers!$A1:$S251,16,FALSE)</f>
        <v>8.2000000000000011</v>
      </c>
      <c r="AP70" s="30">
        <f>VLOOKUP($B70,Pitchers!$A1:$S251,17,FALSE)</f>
        <v>17</v>
      </c>
      <c r="AQ70" s="30">
        <f>VLOOKUP($B70,Pitchers!$A1:$S251,18,FALSE)</f>
        <v>0</v>
      </c>
      <c r="AR70" s="30">
        <f>VLOOKUP($B70,Pitchers!$A1:$S251,19,FALSE)</f>
        <v>0</v>
      </c>
    </row>
    <row r="71" spans="1:44" ht="20.100000000000001" customHeight="1">
      <c r="A71" s="24">
        <f ca="1">RANK(I71,I$2:I$651)</f>
        <v>69</v>
      </c>
      <c r="B71" s="25" t="s">
        <v>162</v>
      </c>
      <c r="C71" s="26" t="s">
        <v>136</v>
      </c>
      <c r="D71" s="26" t="s">
        <v>75</v>
      </c>
      <c r="E71" s="47" t="s">
        <v>11</v>
      </c>
      <c r="F71" s="48">
        <f ca="1">VLOOKUP(B71,'2B'!A1:I50,IF(Settings!$J$13="points",4,7),FALSE)</f>
        <v>3</v>
      </c>
      <c r="G71" s="29">
        <f>(M71*Settings!$B$2)+(N71*Settings!$B$3)+(O71*Settings!$B$4)+(P71*Settings!$B$5)+(Q71*Settings!$B$6)+(T71*Settings!$B$9)+(U71*Settings!$B$10)+(V71*Settings!$B$11)+(W71*Settings!$B$12)+(X71*Settings!$B$13)+(AA71*Settings!$B$16)</f>
        <v>448.58333333333394</v>
      </c>
      <c r="H71" s="30">
        <f>VLOOKUP(B71,'Standard Deviations'!$A1:$D651,4,FALSE)</f>
        <v>6.0994740710770161</v>
      </c>
      <c r="I71" s="31">
        <f ca="1">IF(Settings!$J$16="no",VLOOKUP(B71,'2B'!A1:I50,IF(Settings!$J$13="points",6,9),FALSE),VLOOKUP(B71,'2B+SS'!$A1:$I94,IF(Settings!$J$13="points",6,9),FALSE))</f>
        <v>3.7917374511033097</v>
      </c>
      <c r="J71" s="30"/>
      <c r="K71" s="30">
        <f ca="1">J71-A71</f>
        <v>-69</v>
      </c>
      <c r="L71" s="30"/>
      <c r="M71" s="30">
        <f>VLOOKUP($B71,Hitters!$A1:$R401,4,FALSE)</f>
        <v>498</v>
      </c>
      <c r="N71" s="30">
        <f>VLOOKUP($B71,Hitters!$A1:$R401,5,FALSE)</f>
        <v>77.3</v>
      </c>
      <c r="O71" s="30">
        <f>VLOOKUP($B71,Hitters!$A1:$R401,6,FALSE)</f>
        <v>24.566666666666698</v>
      </c>
      <c r="P71" s="30">
        <f>VLOOKUP($B71,Hitters!$A1:$R401,7,FALSE)</f>
        <v>71.633333333333297</v>
      </c>
      <c r="Q71" s="30">
        <f>VLOOKUP($B71,Hitters!$A1:$R401,8,FALSE)</f>
        <v>25.066666666666698</v>
      </c>
      <c r="R71" s="32">
        <f>VLOOKUP($B71,Hitters!$A1:$R401,9,FALSE)</f>
        <v>0.24672021419009399</v>
      </c>
      <c r="S71" s="32">
        <f>VLOOKUP($B71,Hitters!$A1:$R401,10,FALSE)</f>
        <v>0.30473008401721802</v>
      </c>
      <c r="T71" s="30">
        <f>VLOOKUP($B71,Hitters!$A1:$R401,11,FALSE)</f>
        <v>122.866666666667</v>
      </c>
      <c r="U71" s="30">
        <f>VLOOKUP($B71,Hitters!$A1:$R401,12,FALSE)</f>
        <v>21.133333333333301</v>
      </c>
      <c r="V71" s="30">
        <f>VLOOKUP($B71,Hitters!$A1:$R401,13,FALSE)</f>
        <v>5.2333333333333298</v>
      </c>
      <c r="W71" s="30">
        <f>VLOOKUP($B71,Hitters!$A1:$R401,14,FALSE)</f>
        <v>43.733333333333299</v>
      </c>
      <c r="X71" s="30">
        <f>VLOOKUP($B71,Hitters!$A1:$R401,15,FALSE)</f>
        <v>146.63333333333301</v>
      </c>
      <c r="Y71" s="32">
        <f>VLOOKUP($B71,Hitters!$A1:$R401,16,FALSE)</f>
        <v>0.45816599732262397</v>
      </c>
      <c r="Z71" s="32">
        <f>VLOOKUP($B71,Hitters!$A1:$R401,17,FALSE)</f>
        <v>0.76289608133984199</v>
      </c>
      <c r="AA71" s="30">
        <f>VLOOKUP($B71,Hitters!$A1:$R401,18,FALSE)</f>
        <v>0</v>
      </c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1:44" ht="18.600000000000001" customHeight="1">
      <c r="A72" s="24">
        <f ca="1">RANK(I72,I$2:I$651)</f>
        <v>75</v>
      </c>
      <c r="B72" s="25" t="s">
        <v>167</v>
      </c>
      <c r="C72" s="26" t="s">
        <v>99</v>
      </c>
      <c r="D72" s="26" t="s">
        <v>75</v>
      </c>
      <c r="E72" s="27" t="s">
        <v>23</v>
      </c>
      <c r="F72" s="28">
        <f ca="1">VLOOKUP(B72,OF!A1:I139,IF(Settings!$J$13="points",4,7),FALSE)</f>
        <v>26</v>
      </c>
      <c r="G72" s="29">
        <f>(M72*Settings!$B$2)+(N72*Settings!$B$3)+(O72*Settings!$B$4)+(P72*Settings!$B$5)+(Q72*Settings!$B$6)+(T72*Settings!$B$9)+(U72*Settings!$B$10)+(V72*Settings!$B$11)+(W72*Settings!$B$12)+(X72*Settings!$B$13)+(AA72*Settings!$B$16)</f>
        <v>447.78333333333313</v>
      </c>
      <c r="H72" s="30">
        <f>VLOOKUP(B72,'Standard Deviations'!$A1:$D651,4,FALSE)</f>
        <v>3.8035033340316677</v>
      </c>
      <c r="I72" s="31">
        <f ca="1">VLOOKUP(B72,OF!A1:I139,IF(Settings!$J$13="points",6,9),FALSE)</f>
        <v>3.6847839805360572</v>
      </c>
      <c r="J72" s="30"/>
      <c r="K72" s="30">
        <f ca="1">J72-A72</f>
        <v>-75</v>
      </c>
      <c r="L72" s="30"/>
      <c r="M72" s="30">
        <f>VLOOKUP($B72,Hitters!$A1:$R401,4,FALSE)</f>
        <v>530.66666666666697</v>
      </c>
      <c r="N72" s="30">
        <f>VLOOKUP($B72,Hitters!$A1:$R401,5,FALSE)</f>
        <v>90.3</v>
      </c>
      <c r="O72" s="30">
        <f>VLOOKUP($B72,Hitters!$A1:$R401,6,FALSE)</f>
        <v>17.399999999999999</v>
      </c>
      <c r="P72" s="30">
        <f>VLOOKUP($B72,Hitters!$A1:$R401,7,FALSE)</f>
        <v>60.1</v>
      </c>
      <c r="Q72" s="30">
        <f>VLOOKUP($B72,Hitters!$A1:$R401,8,FALSE)</f>
        <v>14.8</v>
      </c>
      <c r="R72" s="32">
        <f>VLOOKUP($B72,Hitters!$A1:$R401,9,FALSE)</f>
        <v>0.24855527638191</v>
      </c>
      <c r="S72" s="32">
        <f>VLOOKUP($B72,Hitters!$A1:$R401,10,FALSE)</f>
        <v>0.34960457554914098</v>
      </c>
      <c r="T72" s="30">
        <f>VLOOKUP($B72,Hitters!$A1:$R401,11,FALSE)</f>
        <v>131.9</v>
      </c>
      <c r="U72" s="30">
        <f>VLOOKUP($B72,Hitters!$A1:$R401,12,FALSE)</f>
        <v>24.733333333333299</v>
      </c>
      <c r="V72" s="30">
        <f>VLOOKUP($B72,Hitters!$A1:$R401,13,FALSE)</f>
        <v>2.9666666666666699</v>
      </c>
      <c r="W72" s="30">
        <f>VLOOKUP($B72,Hitters!$A1:$R401,14,FALSE)</f>
        <v>85.3</v>
      </c>
      <c r="X72" s="30">
        <f>VLOOKUP($B72,Hitters!$A1:$R401,15,FALSE)</f>
        <v>154.76666666666699</v>
      </c>
      <c r="Y72" s="32">
        <f>VLOOKUP($B72,Hitters!$A1:$R401,16,FALSE)</f>
        <v>0.40471105527638201</v>
      </c>
      <c r="Z72" s="32">
        <f>VLOOKUP($B72,Hitters!$A1:$R401,17,FALSE)</f>
        <v>0.754315630825523</v>
      </c>
      <c r="AA72" s="30">
        <f>VLOOKUP($B72,Hitters!$A1:$R401,18,FALSE)</f>
        <v>0</v>
      </c>
      <c r="AB72" s="30"/>
      <c r="AC72" s="30"/>
      <c r="AD72" s="32"/>
      <c r="AE72" s="32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1:44" ht="18.600000000000001" customHeight="1">
      <c r="A73" s="24">
        <f ca="1">RANK(I73,I$2:I$651)</f>
        <v>85</v>
      </c>
      <c r="B73" s="25" t="s">
        <v>179</v>
      </c>
      <c r="C73" s="26" t="s">
        <v>72</v>
      </c>
      <c r="D73" s="26" t="s">
        <v>70</v>
      </c>
      <c r="E73" s="35" t="s">
        <v>31</v>
      </c>
      <c r="F73" s="36">
        <f ca="1">VLOOKUP(B73,SP!A1:I161,IF(Settings!$J$13="points",4,7),FALSE)</f>
        <v>29</v>
      </c>
      <c r="G73" s="29">
        <f>(AC73*Settings!$F$2)+(AF73*Settings!$F$5)+(AG73*Settings!$F$6)+(AH73*Settings!$F$7)+(AI73*Settings!$F$8)+(AJ73*Settings!$F$9)+(AK73*Settings!$F$10)+(AL73*Settings!$F$11)+(AM73*Settings!$F$12)+(AN73*Settings!$F$13)+(AO73*Settings!$F$14)+(AP73*Settings!$F$15)+(AQ73*Settings!$F$16)+(AR73*Settings!$F$17)</f>
        <v>447.31666666666683</v>
      </c>
      <c r="H73" s="30">
        <f>VLOOKUP(B73,'Standard Deviations'!$A1:$D651,4,FALSE)</f>
        <v>3.5751461390181052</v>
      </c>
      <c r="I73" s="31">
        <f ca="1">IF(Settings!$J$16="no",VLOOKUP(B73,SP!A1:I161,IF(Settings!$J$13="points",6,9),FALSE),VLOOKUP(B73,'SP+RP'!$A1:$I251,IF(Settings!$J$13="points",6,9),FALSE))</f>
        <v>3.4391599927239267</v>
      </c>
      <c r="J73" s="30"/>
      <c r="K73" s="30">
        <f ca="1">J73-A73</f>
        <v>-85</v>
      </c>
      <c r="L73" s="30"/>
      <c r="M73" s="30"/>
      <c r="N73" s="30"/>
      <c r="O73" s="30"/>
      <c r="P73" s="30"/>
      <c r="Q73" s="30"/>
      <c r="R73" s="32"/>
      <c r="S73" s="32"/>
      <c r="T73" s="30"/>
      <c r="U73" s="30"/>
      <c r="V73" s="30"/>
      <c r="W73" s="30"/>
      <c r="X73" s="30"/>
      <c r="Y73" s="32"/>
      <c r="Z73" s="32"/>
      <c r="AA73" s="30"/>
      <c r="AB73" s="30"/>
      <c r="AC73" s="30">
        <f>VLOOKUP($B73,Pitchers!$A1:$S251,4,FALSE)</f>
        <v>180.13333333333335</v>
      </c>
      <c r="AD73" s="32">
        <f>VLOOKUP($B73,Pitchers!$A1:$S251,5,FALSE)</f>
        <v>3.3691709844559585</v>
      </c>
      <c r="AE73" s="32">
        <f>VLOOKUP($B73,Pitchers!$A1:$S251,6,FALSE)</f>
        <v>1.1930051813471501</v>
      </c>
      <c r="AF73" s="30">
        <f>VLOOKUP($B73,Pitchers!$A1:$S251,7,FALSE)</f>
        <v>192.96666666666667</v>
      </c>
      <c r="AG73" s="30">
        <f>VLOOKUP($B73,Pitchers!$A1:$S251,8,FALSE)</f>
        <v>11.299999999999999</v>
      </c>
      <c r="AH73" s="30">
        <f>VLOOKUP($B73,Pitchers!$A1:$S251,9,FALSE)</f>
        <v>0</v>
      </c>
      <c r="AI73" s="30">
        <f>VLOOKUP($B73,Pitchers!$A1:$S251,10,FALSE)</f>
        <v>67.433333333333337</v>
      </c>
      <c r="AJ73" s="30">
        <f>VLOOKUP($B73,Pitchers!$A1:$S251,11,FALSE)</f>
        <v>156.6</v>
      </c>
      <c r="AK73" s="30">
        <f>VLOOKUP($B73,Pitchers!$A1:$S251,12,FALSE)</f>
        <v>58.300000000000004</v>
      </c>
      <c r="AL73" s="30">
        <f>VLOOKUP($B73,Pitchers!$A1:$S251,13,FALSE)</f>
        <v>19</v>
      </c>
      <c r="AM73" s="30">
        <f>VLOOKUP($B73,Pitchers!$A1:$S251,14,FALSE)</f>
        <v>30.599999999999998</v>
      </c>
      <c r="AN73" s="30">
        <f>VLOOKUP($B73,Pitchers!$A1:$S251,15,FALSE)</f>
        <v>30.599999999999998</v>
      </c>
      <c r="AO73" s="30">
        <f>VLOOKUP($B73,Pitchers!$A1:$S251,16,FALSE)</f>
        <v>9.2666666666666675</v>
      </c>
      <c r="AP73" s="30">
        <f>VLOOKUP($B73,Pitchers!$A1:$S251,17,FALSE)</f>
        <v>20</v>
      </c>
      <c r="AQ73" s="30">
        <f>VLOOKUP($B73,Pitchers!$A1:$S251,18,FALSE)</f>
        <v>0</v>
      </c>
      <c r="AR73" s="30">
        <f>VLOOKUP($B73,Pitchers!$A1:$S251,19,FALSE)</f>
        <v>0</v>
      </c>
    </row>
    <row r="74" spans="1:44" ht="18.600000000000001" customHeight="1">
      <c r="A74" s="24">
        <f ca="1">RANK(I74,I$2:I$651)</f>
        <v>139</v>
      </c>
      <c r="B74" s="25" t="s">
        <v>235</v>
      </c>
      <c r="C74" s="26" t="s">
        <v>87</v>
      </c>
      <c r="D74" s="26" t="s">
        <v>70</v>
      </c>
      <c r="E74" s="39" t="s">
        <v>7</v>
      </c>
      <c r="F74" s="40">
        <f ca="1">VLOOKUP(B74,'1B'!A1:I63,IF(Settings!$J$13="points",4,7),FALSE)</f>
        <v>9</v>
      </c>
      <c r="G74" s="29">
        <f>(M74*Settings!$B$2)+(N74*Settings!$B$3)+(O74*Settings!$B$4)+(P74*Settings!$B$5)+(Q74*Settings!$B$6)+(T74*Settings!$B$9)+(U74*Settings!$B$10)+(V74*Settings!$B$11)+(W74*Settings!$B$12)+(X74*Settings!$B$13)+(AA74*Settings!$B$16)</f>
        <v>446.35000000000048</v>
      </c>
      <c r="H74" s="30">
        <f>VLOOKUP(B74,'Standard Deviations'!$A1:$D651,4,FALSE)</f>
        <v>4.4354477592065642</v>
      </c>
      <c r="I74" s="31">
        <f ca="1">IF(Settings!$J$15="no",VLOOKUP(B74,'1B'!A1:I63,IF(Settings!$J$13="points",6,9),FALSE),VLOOKUP(B74,'1B+3B'!$A1:$I104,IF(Settings!$J$13="points",6,9),FALSE))</f>
        <v>1.8559161897457654</v>
      </c>
      <c r="J74" s="30"/>
      <c r="K74" s="30">
        <f ca="1">J74-A74</f>
        <v>-139</v>
      </c>
      <c r="L74" s="30"/>
      <c r="M74" s="30">
        <f>VLOOKUP($B74,Hitters!$A1:$R401,4,FALSE)</f>
        <v>530.33333333333303</v>
      </c>
      <c r="N74" s="30">
        <f>VLOOKUP($B74,Hitters!$A1:$R401,5,FALSE)</f>
        <v>74.1666666666667</v>
      </c>
      <c r="O74" s="30">
        <f>VLOOKUP($B74,Hitters!$A1:$R401,6,FALSE)</f>
        <v>23.3</v>
      </c>
      <c r="P74" s="30">
        <f>VLOOKUP($B74,Hitters!$A1:$R401,7,FALSE)</f>
        <v>76</v>
      </c>
      <c r="Q74" s="30">
        <f>VLOOKUP($B74,Hitters!$A1:$R401,8,FALSE)</f>
        <v>3.9666666666666699</v>
      </c>
      <c r="R74" s="32">
        <f>VLOOKUP($B74,Hitters!$A1:$R401,9,FALSE)</f>
        <v>0.279761156505343</v>
      </c>
      <c r="S74" s="32">
        <f>VLOOKUP($B74,Hitters!$A1:$R401,10,FALSE)</f>
        <v>0.34832651824928101</v>
      </c>
      <c r="T74" s="30">
        <f>VLOOKUP($B74,Hitters!$A1:$R401,11,FALSE)</f>
        <v>148.36666666666699</v>
      </c>
      <c r="U74" s="30">
        <f>VLOOKUP($B74,Hitters!$A1:$R401,12,FALSE)</f>
        <v>25.433333333333302</v>
      </c>
      <c r="V74" s="30">
        <f>VLOOKUP($B74,Hitters!$A1:$R401,13,FALSE)</f>
        <v>2.5</v>
      </c>
      <c r="W74" s="30">
        <f>VLOOKUP($B74,Hitters!$A1:$R401,14,FALSE)</f>
        <v>58.633333333333297</v>
      </c>
      <c r="X74" s="30">
        <f>VLOOKUP($B74,Hitters!$A1:$R401,15,FALSE)</f>
        <v>140.63333333333301</v>
      </c>
      <c r="Y74" s="32">
        <f>VLOOKUP($B74,Hitters!$A1:$R401,16,FALSE)</f>
        <v>0.46895034569453198</v>
      </c>
      <c r="Z74" s="32">
        <f>VLOOKUP($B74,Hitters!$A1:$R401,17,FALSE)</f>
        <v>0.81727686394381205</v>
      </c>
      <c r="AA74" s="30">
        <f>VLOOKUP($B74,Hitters!$A1:$R401,18,FALSE)</f>
        <v>0</v>
      </c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1:44" ht="18.600000000000001" customHeight="1">
      <c r="A75" s="24">
        <f ca="1">RANK(I75,I$2:I$651)</f>
        <v>48</v>
      </c>
      <c r="B75" s="25" t="s">
        <v>137</v>
      </c>
      <c r="C75" s="26" t="s">
        <v>116</v>
      </c>
      <c r="D75" s="26" t="s">
        <v>70</v>
      </c>
      <c r="E75" s="27" t="s">
        <v>23</v>
      </c>
      <c r="F75" s="28">
        <f ca="1">VLOOKUP(B75,OF!A1:I139,IF(Settings!$J$13="points",4,7),FALSE)</f>
        <v>19</v>
      </c>
      <c r="G75" s="29">
        <f>(M75*Settings!$B$2)+(N75*Settings!$B$3)+(O75*Settings!$B$4)+(P75*Settings!$B$5)+(Q75*Settings!$B$6)+(T75*Settings!$B$9)+(U75*Settings!$B$10)+(V75*Settings!$B$11)+(W75*Settings!$B$12)+(X75*Settings!$B$13)+(AA75*Settings!$B$16)</f>
        <v>446.0999999999994</v>
      </c>
      <c r="H75" s="30">
        <f>VLOOKUP(B75,'Standard Deviations'!$A1:$D651,4,FALSE)</f>
        <v>4.9855336305920233</v>
      </c>
      <c r="I75" s="31">
        <f ca="1">VLOOKUP(B75,OF!A1:I139,IF(Settings!$J$13="points",6,9),FALSE)</f>
        <v>4.8668167510792477</v>
      </c>
      <c r="J75" s="30"/>
      <c r="K75" s="30">
        <f ca="1">J75-A75</f>
        <v>-48</v>
      </c>
      <c r="L75" s="30"/>
      <c r="M75" s="30">
        <f>VLOOKUP($B75,Hitters!$A1:$R401,4,FALSE)</f>
        <v>501.66666666666703</v>
      </c>
      <c r="N75" s="30">
        <f>VLOOKUP($B75,Hitters!$A1:$R401,5,FALSE)</f>
        <v>69.933333333333294</v>
      </c>
      <c r="O75" s="30">
        <f>VLOOKUP($B75,Hitters!$A1:$R401,6,FALSE)</f>
        <v>28.133333333333301</v>
      </c>
      <c r="P75" s="30">
        <f>VLOOKUP($B75,Hitters!$A1:$R401,7,FALSE)</f>
        <v>90.066666666666706</v>
      </c>
      <c r="Q75" s="30">
        <f>VLOOKUP($B75,Hitters!$A1:$R401,8,FALSE)</f>
        <v>0.56666666666666698</v>
      </c>
      <c r="R75" s="32">
        <f>VLOOKUP($B75,Hitters!$A1:$R401,9,FALSE)</f>
        <v>0.27973421926910302</v>
      </c>
      <c r="S75" s="32">
        <f>VLOOKUP($B75,Hitters!$A1:$R401,10,FALSE)</f>
        <v>0.33162039711740199</v>
      </c>
      <c r="T75" s="30">
        <f>VLOOKUP($B75,Hitters!$A1:$R401,11,FALSE)</f>
        <v>140.333333333333</v>
      </c>
      <c r="U75" s="30">
        <f>VLOOKUP($B75,Hitters!$A1:$R401,12,FALSE)</f>
        <v>26.233333333333299</v>
      </c>
      <c r="V75" s="30">
        <f>VLOOKUP($B75,Hitters!$A1:$R401,13,FALSE)</f>
        <v>0.56666666666666698</v>
      </c>
      <c r="W75" s="30">
        <f>VLOOKUP($B75,Hitters!$A1:$R401,14,FALSE)</f>
        <v>41.433333333333302</v>
      </c>
      <c r="X75" s="30">
        <f>VLOOKUP($B75,Hitters!$A1:$R401,15,FALSE)</f>
        <v>127</v>
      </c>
      <c r="Y75" s="32">
        <f>VLOOKUP($B75,Hitters!$A1:$R401,16,FALSE)</f>
        <v>0.50252491694352197</v>
      </c>
      <c r="Z75" s="32">
        <f>VLOOKUP($B75,Hitters!$A1:$R401,17,FALSE)</f>
        <v>0.83414531406092396</v>
      </c>
      <c r="AA75" s="30">
        <f>VLOOKUP($B75,Hitters!$A1:$R401,18,FALSE)</f>
        <v>0</v>
      </c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1:44" ht="18.600000000000001" customHeight="1">
      <c r="A76" s="24">
        <f ca="1">RANK(I76,I$2:I$651)</f>
        <v>224</v>
      </c>
      <c r="B76" s="25" t="s">
        <v>321</v>
      </c>
      <c r="C76" s="26" t="s">
        <v>77</v>
      </c>
      <c r="D76" s="26" t="s">
        <v>70</v>
      </c>
      <c r="E76" s="39" t="s">
        <v>7</v>
      </c>
      <c r="F76" s="40">
        <f ca="1">VLOOKUP(B76,'1B'!A1:I63,IF(Settings!$J$13="points",4,7),FALSE)</f>
        <v>17</v>
      </c>
      <c r="G76" s="29">
        <f>(M76*Settings!$B$2)+(N76*Settings!$B$3)+(O76*Settings!$B$4)+(P76*Settings!$B$5)+(Q76*Settings!$B$6)+(T76*Settings!$B$9)+(U76*Settings!$B$10)+(V76*Settings!$B$11)+(W76*Settings!$B$12)+(X76*Settings!$B$13)+(AA76*Settings!$B$16)</f>
        <v>444.30000000000052</v>
      </c>
      <c r="H76" s="30">
        <f>VLOOKUP(B76,'Standard Deviations'!$A1:$D651,4,FALSE)</f>
        <v>2.7675147170232886</v>
      </c>
      <c r="I76" s="31">
        <f ca="1">IF(Settings!$J$15="no",VLOOKUP(B76,'1B'!A1:I63,IF(Settings!$J$13="points",6,9),FALSE),VLOOKUP(B76,'1B+3B'!$A1:$I104,IF(Settings!$J$13="points",6,9),FALSE))</f>
        <v>0.18798662058521076</v>
      </c>
      <c r="J76" s="30"/>
      <c r="K76" s="30">
        <f ca="1">J76-A76</f>
        <v>-224</v>
      </c>
      <c r="L76" s="30"/>
      <c r="M76" s="30">
        <f>VLOOKUP($B76,Hitters!$A1:$R401,4,FALSE)</f>
        <v>515</v>
      </c>
      <c r="N76" s="30">
        <f>VLOOKUP($B76,Hitters!$A1:$R401,5,FALSE)</f>
        <v>73.933333333333294</v>
      </c>
      <c r="O76" s="30">
        <f>VLOOKUP($B76,Hitters!$A1:$R401,6,FALSE)</f>
        <v>21.066666666666698</v>
      </c>
      <c r="P76" s="30">
        <f>VLOOKUP($B76,Hitters!$A1:$R401,7,FALSE)</f>
        <v>78.1666666666667</v>
      </c>
      <c r="Q76" s="30">
        <f>VLOOKUP($B76,Hitters!$A1:$R401,8,FALSE)</f>
        <v>0.266666666666667</v>
      </c>
      <c r="R76" s="32">
        <f>VLOOKUP($B76,Hitters!$A1:$R401,9,FALSE)</f>
        <v>0.260906148867314</v>
      </c>
      <c r="S76" s="32">
        <f>VLOOKUP($B76,Hitters!$A1:$R401,10,FALSE)</f>
        <v>0.34474168435951902</v>
      </c>
      <c r="T76" s="30">
        <f>VLOOKUP($B76,Hitters!$A1:$R401,11,FALSE)</f>
        <v>134.36666666666699</v>
      </c>
      <c r="U76" s="30">
        <f>VLOOKUP($B76,Hitters!$A1:$R401,12,FALSE)</f>
        <v>25.466666666666701</v>
      </c>
      <c r="V76" s="30">
        <f>VLOOKUP($B76,Hitters!$A1:$R401,13,FALSE)</f>
        <v>2</v>
      </c>
      <c r="W76" s="30">
        <f>VLOOKUP($B76,Hitters!$A1:$R401,14,FALSE)</f>
        <v>68.599999999999994</v>
      </c>
      <c r="X76" s="30">
        <f>VLOOKUP($B76,Hitters!$A1:$R401,15,FALSE)</f>
        <v>105</v>
      </c>
      <c r="Y76" s="32">
        <f>VLOOKUP($B76,Hitters!$A1:$R401,16,FALSE)</f>
        <v>0.44084142394822001</v>
      </c>
      <c r="Z76" s="32">
        <f>VLOOKUP($B76,Hitters!$A1:$R401,17,FALSE)</f>
        <v>0.78558310830773903</v>
      </c>
      <c r="AA76" s="30">
        <f>VLOOKUP($B76,Hitters!$A1:$R401,18,FALSE)</f>
        <v>0</v>
      </c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1:44" ht="18.600000000000001" customHeight="1">
      <c r="A77" s="24">
        <f ca="1">RANK(I77,I$2:I$651)</f>
        <v>108</v>
      </c>
      <c r="B77" s="25" t="s">
        <v>202</v>
      </c>
      <c r="C77" s="26" t="s">
        <v>119</v>
      </c>
      <c r="D77" s="26" t="s">
        <v>70</v>
      </c>
      <c r="E77" s="45" t="s">
        <v>19</v>
      </c>
      <c r="F77" s="46">
        <f ca="1">VLOOKUP(B77,'C'!A1:I54,IF(Settings!$J$13="points",4,7),FALSE)</f>
        <v>6</v>
      </c>
      <c r="G77" s="29">
        <f>(M77*Settings!$B$2)+(N77*Settings!$B$3)+(O77*Settings!$B$4)+(P77*Settings!$B$5)+(Q77*Settings!$B$6)+(T77*Settings!$B$9)+(U77*Settings!$B$10)+(V77*Settings!$B$11)+(W77*Settings!$B$12)+(X77*Settings!$B$13)+(AA77*Settings!$B$16)</f>
        <v>444.14166666666659</v>
      </c>
      <c r="H77" s="30">
        <f>VLOOKUP(B77,'Standard Deviations'!$A1:$D651,4,FALSE)</f>
        <v>2.2945859242124942</v>
      </c>
      <c r="I77" s="31">
        <f ca="1">VLOOKUP(B77,'C'!A1:I54,IF(Settings!$J$13="points",6,9),FALSE)</f>
        <v>2.6116816270519925</v>
      </c>
      <c r="J77" s="30"/>
      <c r="K77" s="30">
        <f ca="1">J77-A77</f>
        <v>-108</v>
      </c>
      <c r="L77" s="30"/>
      <c r="M77" s="30">
        <f>VLOOKUP($B77,Hitters!$A1:$R401,4,FALSE)</f>
        <v>544.66666666666697</v>
      </c>
      <c r="N77" s="30">
        <f>VLOOKUP($B77,Hitters!$A1:$R401,5,FALSE)</f>
        <v>78.483333333333306</v>
      </c>
      <c r="O77" s="30">
        <f>VLOOKUP($B77,Hitters!$A1:$R401,6,FALSE)</f>
        <v>24.4166666666667</v>
      </c>
      <c r="P77" s="30">
        <f>VLOOKUP($B77,Hitters!$A1:$R401,7,FALSE)</f>
        <v>72.05</v>
      </c>
      <c r="Q77" s="30">
        <f>VLOOKUP($B77,Hitters!$A1:$R401,8,FALSE)</f>
        <v>4.93333333333333</v>
      </c>
      <c r="R77" s="32">
        <f>VLOOKUP($B77,Hitters!$A1:$R401,9,FALSE)</f>
        <v>0.22977356181150599</v>
      </c>
      <c r="S77" s="32">
        <f>VLOOKUP($B77,Hitters!$A1:$R401,10,FALSE)</f>
        <v>0.31916541168680002</v>
      </c>
      <c r="T77" s="30">
        <f>VLOOKUP($B77,Hitters!$A1:$R401,11,FALSE)</f>
        <v>125.15</v>
      </c>
      <c r="U77" s="30">
        <f>VLOOKUP($B77,Hitters!$A1:$R401,12,FALSE)</f>
        <v>25.733333333333299</v>
      </c>
      <c r="V77" s="30">
        <f>VLOOKUP($B77,Hitters!$A1:$R401,13,FALSE)</f>
        <v>3.3</v>
      </c>
      <c r="W77" s="30">
        <f>VLOOKUP($B77,Hitters!$A1:$R401,14,FALSE)</f>
        <v>74.066666666666706</v>
      </c>
      <c r="X77" s="30">
        <f>VLOOKUP($B77,Hitters!$A1:$R401,15,FALSE)</f>
        <v>149.01666666666699</v>
      </c>
      <c r="Y77" s="32">
        <f>VLOOKUP($B77,Hitters!$A1:$R401,16,FALSE)</f>
        <v>0.42362301101591199</v>
      </c>
      <c r="Z77" s="32">
        <f>VLOOKUP($B77,Hitters!$A1:$R401,17,FALSE)</f>
        <v>0.74278842270271195</v>
      </c>
      <c r="AA77" s="30">
        <f>VLOOKUP($B77,Hitters!$A1:$R401,18,FALSE)</f>
        <v>0</v>
      </c>
      <c r="AB77" s="30"/>
      <c r="AC77" s="30"/>
      <c r="AD77" s="32"/>
      <c r="AE77" s="32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1:44" ht="18.600000000000001" customHeight="1">
      <c r="A78" s="24">
        <f ca="1">RANK(I78,I$2:I$651)</f>
        <v>97</v>
      </c>
      <c r="B78" s="25" t="s">
        <v>191</v>
      </c>
      <c r="C78" s="26" t="s">
        <v>72</v>
      </c>
      <c r="D78" s="26" t="s">
        <v>70</v>
      </c>
      <c r="E78" s="35" t="s">
        <v>31</v>
      </c>
      <c r="F78" s="36">
        <f ca="1">VLOOKUP(B78,SP!A1:I161,IF(Settings!$J$13="points",4,7),FALSE)</f>
        <v>31</v>
      </c>
      <c r="G78" s="29">
        <f>(AC78*Settings!$F$2)+(AF78*Settings!$F$5)+(AG78*Settings!$F$6)+(AH78*Settings!$F$7)+(AI78*Settings!$F$8)+(AJ78*Settings!$F$9)+(AK78*Settings!$F$10)+(AL78*Settings!$F$11)+(AM78*Settings!$F$12)+(AN78*Settings!$F$13)+(AO78*Settings!$F$14)+(AP78*Settings!$F$15)+(AQ78*Settings!$F$16)+(AR78*Settings!$F$17)</f>
        <v>443.48333333333323</v>
      </c>
      <c r="H78" s="30">
        <f>VLOOKUP(B78,'Standard Deviations'!$A1:$D651,4,FALSE)</f>
        <v>3.1636833792341559</v>
      </c>
      <c r="I78" s="31">
        <f ca="1">IF(Settings!$J$16="no",VLOOKUP(B78,SP!A1:I161,IF(Settings!$J$13="points",6,9),FALSE),VLOOKUP(B78,'SP+RP'!$A1:$I251,IF(Settings!$J$13="points",6,9),FALSE))</f>
        <v>3.0276973993304295</v>
      </c>
      <c r="J78" s="30"/>
      <c r="K78" s="30">
        <f ca="1">J78-A78</f>
        <v>-97</v>
      </c>
      <c r="L78" s="30"/>
      <c r="M78" s="30"/>
      <c r="N78" s="30"/>
      <c r="O78" s="30"/>
      <c r="P78" s="30"/>
      <c r="Q78" s="30"/>
      <c r="R78" s="32"/>
      <c r="S78" s="32"/>
      <c r="T78" s="30"/>
      <c r="U78" s="30"/>
      <c r="V78" s="30"/>
      <c r="W78" s="30"/>
      <c r="X78" s="30"/>
      <c r="Y78" s="32"/>
      <c r="Z78" s="32"/>
      <c r="AA78" s="30"/>
      <c r="AB78" s="30"/>
      <c r="AC78" s="30">
        <f>VLOOKUP($B78,Pitchers!$A1:$S251,4,FALSE)</f>
        <v>183.0333333333333</v>
      </c>
      <c r="AD78" s="32">
        <f>VLOOKUP($B78,Pitchers!$A1:$S251,5,FALSE)</f>
        <v>3.7845565470770359</v>
      </c>
      <c r="AE78" s="32">
        <f>VLOOKUP($B78,Pitchers!$A1:$S251,6,FALSE)</f>
        <v>1.1995993443817157</v>
      </c>
      <c r="AF78" s="30">
        <f>VLOOKUP($B78,Pitchers!$A1:$S251,7,FALSE)</f>
        <v>211.76666666666665</v>
      </c>
      <c r="AG78" s="30">
        <f>VLOOKUP($B78,Pitchers!$A1:$S251,8,FALSE)</f>
        <v>11.433333333333332</v>
      </c>
      <c r="AH78" s="30">
        <f>VLOOKUP($B78,Pitchers!$A1:$S251,9,FALSE)</f>
        <v>0</v>
      </c>
      <c r="AI78" s="30">
        <f>VLOOKUP($B78,Pitchers!$A1:$S251,10,FALSE)</f>
        <v>76.966666666666669</v>
      </c>
      <c r="AJ78" s="30">
        <f>VLOOKUP($B78,Pitchers!$A1:$S251,11,FALSE)</f>
        <v>158.53333333333333</v>
      </c>
      <c r="AK78" s="30">
        <f>VLOOKUP($B78,Pitchers!$A1:$S251,12,FALSE)</f>
        <v>61.033333333333331</v>
      </c>
      <c r="AL78" s="30">
        <f>VLOOKUP($B78,Pitchers!$A1:$S251,13,FALSE)</f>
        <v>28</v>
      </c>
      <c r="AM78" s="30">
        <f>VLOOKUP($B78,Pitchers!$A1:$S251,14,FALSE)</f>
        <v>31.266666666666666</v>
      </c>
      <c r="AN78" s="30">
        <f>VLOOKUP($B78,Pitchers!$A1:$S251,15,FALSE)</f>
        <v>31.266666666666666</v>
      </c>
      <c r="AO78" s="30">
        <f>VLOOKUP($B78,Pitchers!$A1:$S251,16,FALSE)</f>
        <v>9.7999999999999989</v>
      </c>
      <c r="AP78" s="30">
        <f>VLOOKUP($B78,Pitchers!$A1:$S251,17,FALSE)</f>
        <v>18</v>
      </c>
      <c r="AQ78" s="30">
        <f>VLOOKUP($B78,Pitchers!$A1:$S251,18,FALSE)</f>
        <v>0</v>
      </c>
      <c r="AR78" s="30">
        <f>VLOOKUP($B78,Pitchers!$A1:$S251,19,FALSE)</f>
        <v>0</v>
      </c>
    </row>
    <row r="79" spans="1:44" ht="18.600000000000001" customHeight="1">
      <c r="A79" s="24">
        <f ca="1">RANK(I79,I$2:I$651)</f>
        <v>102</v>
      </c>
      <c r="B79" s="25" t="s">
        <v>196</v>
      </c>
      <c r="C79" s="26" t="s">
        <v>97</v>
      </c>
      <c r="D79" s="26" t="s">
        <v>75</v>
      </c>
      <c r="E79" s="27" t="s">
        <v>23</v>
      </c>
      <c r="F79" s="28">
        <f ca="1">VLOOKUP(B79,OF!A1:I139,IF(Settings!$J$13="points",4,7),FALSE)</f>
        <v>36</v>
      </c>
      <c r="G79" s="29">
        <f>(M79*Settings!$B$2)+(N79*Settings!$B$3)+(O79*Settings!$B$4)+(P79*Settings!$B$5)+(Q79*Settings!$B$6)+(T79*Settings!$B$9)+(U79*Settings!$B$10)+(V79*Settings!$B$11)+(W79*Settings!$B$12)+(X79*Settings!$B$13)+(AA79*Settings!$B$16)</f>
        <v>443.43333333333379</v>
      </c>
      <c r="H79" s="30">
        <f>VLOOKUP(B79,'Standard Deviations'!$A1:$D651,4,FALSE)</f>
        <v>3.0234975531694639</v>
      </c>
      <c r="I79" s="31">
        <f ca="1">VLOOKUP(B79,OF!A1:I139,IF(Settings!$J$13="points",6,9),FALSE)</f>
        <v>2.904779169870451</v>
      </c>
      <c r="J79" s="30"/>
      <c r="K79" s="30">
        <f ca="1">J79-A79</f>
        <v>-102</v>
      </c>
      <c r="L79" s="30"/>
      <c r="M79" s="30">
        <f>VLOOKUP($B79,Hitters!$A1:$R401,4,FALSE)</f>
        <v>518</v>
      </c>
      <c r="N79" s="30">
        <f>VLOOKUP($B79,Hitters!$A1:$R401,5,FALSE)</f>
        <v>88.233333333333306</v>
      </c>
      <c r="O79" s="30">
        <f>VLOOKUP($B79,Hitters!$A1:$R401,6,FALSE)</f>
        <v>15.1</v>
      </c>
      <c r="P79" s="30">
        <f>VLOOKUP($B79,Hitters!$A1:$R401,7,FALSE)</f>
        <v>56.7</v>
      </c>
      <c r="Q79" s="30">
        <f>VLOOKUP($B79,Hitters!$A1:$R401,8,FALSE)</f>
        <v>4.93333333333333</v>
      </c>
      <c r="R79" s="32">
        <f>VLOOKUP($B79,Hitters!$A1:$R401,9,FALSE)</f>
        <v>0.27406692406692401</v>
      </c>
      <c r="S79" s="32">
        <f>VLOOKUP($B79,Hitters!$A1:$R401,10,FALSE)</f>
        <v>0.35892462750989401</v>
      </c>
      <c r="T79" s="30">
        <f>VLOOKUP($B79,Hitters!$A1:$R401,11,FALSE)</f>
        <v>141.96666666666701</v>
      </c>
      <c r="U79" s="30">
        <f>VLOOKUP($B79,Hitters!$A1:$R401,12,FALSE)</f>
        <v>27.033333333333299</v>
      </c>
      <c r="V79" s="30">
        <f>VLOOKUP($B79,Hitters!$A1:$R401,13,FALSE)</f>
        <v>5.3666666666666698</v>
      </c>
      <c r="W79" s="30">
        <f>VLOOKUP($B79,Hitters!$A1:$R401,14,FALSE)</f>
        <v>71.466666666666697</v>
      </c>
      <c r="X79" s="30">
        <f>VLOOKUP($B79,Hitters!$A1:$R401,15,FALSE)</f>
        <v>110.73333333333299</v>
      </c>
      <c r="Y79" s="32">
        <f>VLOOKUP($B79,Hitters!$A1:$R401,16,FALSE)</f>
        <v>0.43442728442728401</v>
      </c>
      <c r="Z79" s="32">
        <f>VLOOKUP($B79,Hitters!$A1:$R401,17,FALSE)</f>
        <v>0.79335191193717802</v>
      </c>
      <c r="AA79" s="30">
        <f>VLOOKUP($B79,Hitters!$A1:$R401,18,FALSE)</f>
        <v>0</v>
      </c>
      <c r="AB79" s="30"/>
      <c r="AC79" s="30"/>
      <c r="AD79" s="32"/>
      <c r="AE79" s="32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1:44" ht="18.600000000000001" customHeight="1">
      <c r="A80" s="24">
        <f ca="1">RANK(I80,I$2:I$651)</f>
        <v>31</v>
      </c>
      <c r="B80" s="25" t="s">
        <v>115</v>
      </c>
      <c r="C80" s="26" t="s">
        <v>116</v>
      </c>
      <c r="D80" s="26" t="s">
        <v>70</v>
      </c>
      <c r="E80" s="27" t="s">
        <v>23</v>
      </c>
      <c r="F80" s="28">
        <f ca="1">VLOOKUP(B80,OF!A1:I139,IF(Settings!$J$13="points",4,7),FALSE)</f>
        <v>13</v>
      </c>
      <c r="G80" s="29">
        <f>(M80*Settings!$B$2)+(N80*Settings!$B$3)+(O80*Settings!$B$4)+(P80*Settings!$B$5)+(Q80*Settings!$B$6)+(T80*Settings!$B$9)+(U80*Settings!$B$10)+(V80*Settings!$B$11)+(W80*Settings!$B$12)+(X80*Settings!$B$13)+(AA80*Settings!$B$16)</f>
        <v>443.21666666666692</v>
      </c>
      <c r="H80" s="30">
        <f>VLOOKUP(B80,'Standard Deviations'!$A1:$D651,4,FALSE)</f>
        <v>6.0209796222974585</v>
      </c>
      <c r="I80" s="31">
        <f ca="1">VLOOKUP(B80,OF!A1:I139,IF(Settings!$J$13="points",6,9),FALSE)</f>
        <v>5.9022681389881022</v>
      </c>
      <c r="J80" s="30"/>
      <c r="K80" s="30">
        <f ca="1">J80-A80</f>
        <v>-31</v>
      </c>
      <c r="L80" s="30"/>
      <c r="M80" s="30">
        <f>VLOOKUP($B80,Hitters!$A1:$R401,4,FALSE)</f>
        <v>502.66666666666703</v>
      </c>
      <c r="N80" s="30">
        <f>VLOOKUP($B80,Hitters!$A1:$R401,5,FALSE)</f>
        <v>73.933333333333294</v>
      </c>
      <c r="O80" s="30">
        <f>VLOOKUP($B80,Hitters!$A1:$R401,6,FALSE)</f>
        <v>21.233333333333299</v>
      </c>
      <c r="P80" s="30">
        <f>VLOOKUP($B80,Hitters!$A1:$R401,7,FALSE)</f>
        <v>77.1666666666667</v>
      </c>
      <c r="Q80" s="30">
        <f>VLOOKUP($B80,Hitters!$A1:$R401,8,FALSE)</f>
        <v>13.966666666666701</v>
      </c>
      <c r="R80" s="32">
        <f>VLOOKUP($B80,Hitters!$A1:$R401,9,FALSE)</f>
        <v>0.28580901856763902</v>
      </c>
      <c r="S80" s="32">
        <f>VLOOKUP($B80,Hitters!$A1:$R401,10,FALSE)</f>
        <v>0.32352977613696898</v>
      </c>
      <c r="T80" s="30">
        <f>VLOOKUP($B80,Hitters!$A1:$R401,11,FALSE)</f>
        <v>143.666666666667</v>
      </c>
      <c r="U80" s="30">
        <f>VLOOKUP($B80,Hitters!$A1:$R401,12,FALSE)</f>
        <v>30.233333333333299</v>
      </c>
      <c r="V80" s="30">
        <f>VLOOKUP($B80,Hitters!$A1:$R401,13,FALSE)</f>
        <v>0.63333333333333297</v>
      </c>
      <c r="W80" s="30">
        <f>VLOOKUP($B80,Hitters!$A1:$R401,14,FALSE)</f>
        <v>30.433333333333302</v>
      </c>
      <c r="X80" s="30">
        <f>VLOOKUP($B80,Hitters!$A1:$R401,15,FALSE)</f>
        <v>114.433333333333</v>
      </c>
      <c r="Y80" s="32">
        <f>VLOOKUP($B80,Hitters!$A1:$R401,16,FALSE)</f>
        <v>0.47519893899204202</v>
      </c>
      <c r="Z80" s="32">
        <f>VLOOKUP($B80,Hitters!$A1:$R401,17,FALSE)</f>
        <v>0.798728715129011</v>
      </c>
      <c r="AA80" s="30">
        <f>VLOOKUP($B80,Hitters!$A1:$R401,18,FALSE)</f>
        <v>0</v>
      </c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1:44" ht="18.600000000000001" customHeight="1">
      <c r="A81" s="24">
        <f ca="1">RANK(I81,I$2:I$651)</f>
        <v>196</v>
      </c>
      <c r="B81" s="25" t="s">
        <v>293</v>
      </c>
      <c r="C81" s="26" t="s">
        <v>158</v>
      </c>
      <c r="D81" s="26" t="s">
        <v>70</v>
      </c>
      <c r="E81" s="37" t="s">
        <v>27</v>
      </c>
      <c r="F81" s="38">
        <f ca="1">VLOOKUP(B81,SS!A1:I45,IF(Settings!$J$13="points",4,7),FALSE)</f>
        <v>14</v>
      </c>
      <c r="G81" s="29">
        <f>(M81*Settings!$B$2)+(N81*Settings!$B$3)+(O81*Settings!$B$4)+(P81*Settings!$B$5)+(Q81*Settings!$B$6)+(T81*Settings!$B$9)+(U81*Settings!$B$10)+(V81*Settings!$B$11)+(W81*Settings!$B$12)+(X81*Settings!$B$13)+(AA81*Settings!$B$16)</f>
        <v>443.0499999999999</v>
      </c>
      <c r="H81" s="30">
        <f>VLOOKUP(B81,'Standard Deviations'!$A1:$D651,4,FALSE)</f>
        <v>3.5457448392246587</v>
      </c>
      <c r="I81" s="31">
        <f ca="1">IF(Settings!$J$16="no",VLOOKUP(B81,SS!A1:I45,IF(Settings!$J$13="points",6,9),FALSE),VLOOKUP(B81,'2B+SS'!$A1:$I94,IF(Settings!$J$13="points",6,9),FALSE))</f>
        <v>0.54132317031400268</v>
      </c>
      <c r="J81" s="30"/>
      <c r="K81" s="30">
        <f ca="1">J81-A81</f>
        <v>-196</v>
      </c>
      <c r="L81" s="30"/>
      <c r="M81" s="30">
        <f>VLOOKUP($B81,Hitters!$A1:$R401,4,FALSE)</f>
        <v>519.66666666666697</v>
      </c>
      <c r="N81" s="30">
        <f>VLOOKUP($B81,Hitters!$A1:$R401,5,FALSE)</f>
        <v>78.133333333333297</v>
      </c>
      <c r="O81" s="30">
        <f>VLOOKUP($B81,Hitters!$A1:$R401,6,FALSE)</f>
        <v>21.8</v>
      </c>
      <c r="P81" s="30">
        <f>VLOOKUP($B81,Hitters!$A1:$R401,7,FALSE)</f>
        <v>71.3</v>
      </c>
      <c r="Q81" s="30">
        <f>VLOOKUP($B81,Hitters!$A1:$R401,8,FALSE)</f>
        <v>0.76666666666666705</v>
      </c>
      <c r="R81" s="32">
        <f>VLOOKUP($B81,Hitters!$A1:$R401,9,FALSE)</f>
        <v>0.27601026298909598</v>
      </c>
      <c r="S81" s="32">
        <f>VLOOKUP($B81,Hitters!$A1:$R401,10,FALSE)</f>
        <v>0.348350503134984</v>
      </c>
      <c r="T81" s="30">
        <f>VLOOKUP($B81,Hitters!$A1:$R401,11,FALSE)</f>
        <v>143.433333333333</v>
      </c>
      <c r="U81" s="30">
        <f>VLOOKUP($B81,Hitters!$A1:$R401,12,FALSE)</f>
        <v>28</v>
      </c>
      <c r="V81" s="30">
        <f>VLOOKUP($B81,Hitters!$A1:$R401,13,FALSE)</f>
        <v>1.1000000000000001</v>
      </c>
      <c r="W81" s="30">
        <f>VLOOKUP($B81,Hitters!$A1:$R401,14,FALSE)</f>
        <v>60.466666666666697</v>
      </c>
      <c r="X81" s="30">
        <f>VLOOKUP($B81,Hitters!$A1:$R401,15,FALSE)</f>
        <v>116.633333333333</v>
      </c>
      <c r="Y81" s="32">
        <f>VLOOKUP($B81,Hitters!$A1:$R401,16,FALSE)</f>
        <v>0.45997434252726099</v>
      </c>
      <c r="Z81" s="32">
        <f>VLOOKUP($B81,Hitters!$A1:$R401,17,FALSE)</f>
        <v>0.80832484566224505</v>
      </c>
      <c r="AA81" s="30">
        <f>VLOOKUP($B81,Hitters!$A1:$R401,18,FALSE)</f>
        <v>0</v>
      </c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1:44" ht="20.100000000000001" customHeight="1">
      <c r="A82" s="24">
        <f ca="1">RANK(I82,I$2:I$651)</f>
        <v>91</v>
      </c>
      <c r="B82" s="25" t="s">
        <v>185</v>
      </c>
      <c r="C82" s="26" t="s">
        <v>116</v>
      </c>
      <c r="D82" s="26" t="s">
        <v>70</v>
      </c>
      <c r="E82" s="37" t="s">
        <v>27</v>
      </c>
      <c r="F82" s="38">
        <f ca="1">VLOOKUP(B82,SS!A1:I45,IF(Settings!$J$13="points",4,7),FALSE)</f>
        <v>5</v>
      </c>
      <c r="G82" s="29">
        <f>(M82*Settings!$B$2)+(N82*Settings!$B$3)+(O82*Settings!$B$4)+(P82*Settings!$B$5)+(Q82*Settings!$B$6)+(T82*Settings!$B$9)+(U82*Settings!$B$10)+(V82*Settings!$B$11)+(W82*Settings!$B$12)+(X82*Settings!$B$13)+(AA82*Settings!$B$16)</f>
        <v>442.71666666666692</v>
      </c>
      <c r="H82" s="30">
        <f>VLOOKUP(B82,'Standard Deviations'!$A1:$D651,4,FALSE)</f>
        <v>6.2668906445336834</v>
      </c>
      <c r="I82" s="31">
        <f ca="1">IF(Settings!$J$16="no",VLOOKUP(B82,SS!A1:I45,IF(Settings!$J$13="points",6,9),FALSE),VLOOKUP(B82,'2B+SS'!$A1:$I94,IF(Settings!$J$13="points",6,9),FALSE))</f>
        <v>3.2624679703388355</v>
      </c>
      <c r="J82" s="30"/>
      <c r="K82" s="30">
        <f ca="1">J82-A82</f>
        <v>-91</v>
      </c>
      <c r="L82" s="30"/>
      <c r="M82" s="30">
        <f>VLOOKUP($B82,Hitters!$A1:$R401,4,FALSE)</f>
        <v>558.66666666666697</v>
      </c>
      <c r="N82" s="30">
        <f>VLOOKUP($B82,Hitters!$A1:$R401,5,FALSE)</f>
        <v>88.6</v>
      </c>
      <c r="O82" s="30">
        <f>VLOOKUP($B82,Hitters!$A1:$R401,6,FALSE)</f>
        <v>15.866666666666699</v>
      </c>
      <c r="P82" s="30">
        <f>VLOOKUP($B82,Hitters!$A1:$R401,7,FALSE)</f>
        <v>57.2</v>
      </c>
      <c r="Q82" s="30">
        <f>VLOOKUP($B82,Hitters!$A1:$R401,8,FALSE)</f>
        <v>17.8</v>
      </c>
      <c r="R82" s="32">
        <f>VLOOKUP($B82,Hitters!$A1:$R401,9,FALSE)</f>
        <v>0.298031026252983</v>
      </c>
      <c r="S82" s="32">
        <f>VLOOKUP($B82,Hitters!$A1:$R401,10,FALSE)</f>
        <v>0.32510208929561202</v>
      </c>
      <c r="T82" s="30">
        <f>VLOOKUP($B82,Hitters!$A1:$R401,11,FALSE)</f>
        <v>166.5</v>
      </c>
      <c r="U82" s="30">
        <f>VLOOKUP($B82,Hitters!$A1:$R401,12,FALSE)</f>
        <v>29.633333333333301</v>
      </c>
      <c r="V82" s="30">
        <f>VLOOKUP($B82,Hitters!$A1:$R401,13,FALSE)</f>
        <v>1.1000000000000001</v>
      </c>
      <c r="W82" s="30">
        <f>VLOOKUP($B82,Hitters!$A1:$R401,14,FALSE)</f>
        <v>25.1</v>
      </c>
      <c r="X82" s="30">
        <f>VLOOKUP($B82,Hitters!$A1:$R401,15,FALSE)</f>
        <v>112.633333333333</v>
      </c>
      <c r="Y82" s="32">
        <f>VLOOKUP($B82,Hitters!$A1:$R401,16,FALSE)</f>
        <v>0.44021479713603801</v>
      </c>
      <c r="Z82" s="32">
        <f>VLOOKUP($B82,Hitters!$A1:$R401,17,FALSE)</f>
        <v>0.76531688643164997</v>
      </c>
      <c r="AA82" s="30">
        <f>VLOOKUP($B82,Hitters!$A1:$R401,18,FALSE)</f>
        <v>0</v>
      </c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1:44" ht="18.600000000000001" customHeight="1">
      <c r="A83" s="24">
        <f ca="1">RANK(I83,I$2:I$651)</f>
        <v>29</v>
      </c>
      <c r="B83" s="25" t="s">
        <v>113</v>
      </c>
      <c r="C83" s="26" t="s">
        <v>74</v>
      </c>
      <c r="D83" s="26" t="s">
        <v>75</v>
      </c>
      <c r="E83" s="35" t="s">
        <v>31</v>
      </c>
      <c r="F83" s="36">
        <f ca="1">VLOOKUP(B83,SP!A1:I161,IF(Settings!$J$13="points",4,7),FALSE)</f>
        <v>8</v>
      </c>
      <c r="G83" s="29">
        <f>(AC83*Settings!$F$2)+(AF83*Settings!$F$5)+(AG83*Settings!$F$6)+(AH83*Settings!$F$7)+(AI83*Settings!$F$8)+(AJ83*Settings!$F$9)+(AK83*Settings!$F$10)+(AL83*Settings!$F$11)+(AM83*Settings!$F$12)+(AN83*Settings!$F$13)+(AO83*Settings!$F$14)+(AP83*Settings!$F$15)+(AQ83*Settings!$F$16)+(AR83*Settings!$F$17)</f>
        <v>441.7000000000001</v>
      </c>
      <c r="H83" s="30">
        <f>VLOOKUP(B83,'Standard Deviations'!$A1:$D651,4,FALSE)</f>
        <v>6.0611641089125827</v>
      </c>
      <c r="I83" s="31">
        <f ca="1">IF(Settings!$J$16="no",VLOOKUP(B83,SP!A1:I161,IF(Settings!$J$13="points",6,9),FALSE),VLOOKUP(B83,'SP+RP'!$A1:$I251,IF(Settings!$J$13="points",6,9),FALSE))</f>
        <v>5.9251860819079134</v>
      </c>
      <c r="J83" s="30"/>
      <c r="K83" s="30">
        <f ca="1">J83-A83</f>
        <v>-29</v>
      </c>
      <c r="L83" s="30"/>
      <c r="M83" s="30"/>
      <c r="N83" s="30"/>
      <c r="O83" s="30"/>
      <c r="P83" s="30"/>
      <c r="Q83" s="30"/>
      <c r="R83" s="32"/>
      <c r="S83" s="32"/>
      <c r="T83" s="30"/>
      <c r="U83" s="30"/>
      <c r="V83" s="30"/>
      <c r="W83" s="30"/>
      <c r="X83" s="30"/>
      <c r="Y83" s="32"/>
      <c r="Z83" s="32"/>
      <c r="AA83" s="30"/>
      <c r="AB83" s="30"/>
      <c r="AC83" s="30">
        <f>VLOOKUP($B83,Pitchers!$A1:$S251,4,FALSE)</f>
        <v>148.79999999999998</v>
      </c>
      <c r="AD83" s="32">
        <f>VLOOKUP($B83,Pitchers!$A1:$S251,5,FALSE)</f>
        <v>2.995967741935484</v>
      </c>
      <c r="AE83" s="32">
        <f>VLOOKUP($B83,Pitchers!$A1:$S251,6,FALSE)</f>
        <v>1.0683243727598568</v>
      </c>
      <c r="AF83" s="30">
        <f>VLOOKUP($B83,Pitchers!$A1:$S251,7,FALSE)</f>
        <v>209.4</v>
      </c>
      <c r="AG83" s="30">
        <f>VLOOKUP($B83,Pitchers!$A1:$S251,8,FALSE)</f>
        <v>11.799999999999999</v>
      </c>
      <c r="AH83" s="30">
        <f>VLOOKUP($B83,Pitchers!$A1:$S251,9,FALSE)</f>
        <v>0</v>
      </c>
      <c r="AI83" s="30">
        <f>VLOOKUP($B83,Pitchers!$A1:$S251,10,FALSE)</f>
        <v>49.533333333333331</v>
      </c>
      <c r="AJ83" s="30">
        <f>VLOOKUP($B83,Pitchers!$A1:$S251,11,FALSE)</f>
        <v>106.83333333333333</v>
      </c>
      <c r="AK83" s="30">
        <f>VLOOKUP($B83,Pitchers!$A1:$S251,12,FALSE)</f>
        <v>52.133333333333333</v>
      </c>
      <c r="AL83" s="30">
        <f>VLOOKUP($B83,Pitchers!$A1:$S251,13,FALSE)</f>
        <v>15</v>
      </c>
      <c r="AM83" s="30">
        <f>VLOOKUP($B83,Pitchers!$A1:$S251,14,FALSE)</f>
        <v>27.933333333333334</v>
      </c>
      <c r="AN83" s="30">
        <f>VLOOKUP($B83,Pitchers!$A1:$S251,15,FALSE)</f>
        <v>27.933333333333334</v>
      </c>
      <c r="AO83" s="30">
        <f>VLOOKUP($B83,Pitchers!$A1:$S251,16,FALSE)</f>
        <v>6.3</v>
      </c>
      <c r="AP83" s="30">
        <f>VLOOKUP($B83,Pitchers!$A1:$S251,17,FALSE)</f>
        <v>16</v>
      </c>
      <c r="AQ83" s="30">
        <f>VLOOKUP($B83,Pitchers!$A1:$S251,18,FALSE)</f>
        <v>0</v>
      </c>
      <c r="AR83" s="30">
        <f>VLOOKUP($B83,Pitchers!$A1:$S251,19,FALSE)</f>
        <v>0</v>
      </c>
    </row>
    <row r="84" spans="1:44" ht="20.100000000000001" customHeight="1">
      <c r="A84" s="24">
        <f ca="1">RANK(I84,I$2:I$651)</f>
        <v>92</v>
      </c>
      <c r="B84" s="25" t="s">
        <v>186</v>
      </c>
      <c r="C84" s="26" t="s">
        <v>105</v>
      </c>
      <c r="D84" s="26" t="s">
        <v>70</v>
      </c>
      <c r="E84" s="27" t="s">
        <v>23</v>
      </c>
      <c r="F84" s="28">
        <f ca="1">VLOOKUP(B84,OF!A1:I139,IF(Settings!$J$13="points",4,7),FALSE)</f>
        <v>32</v>
      </c>
      <c r="G84" s="29">
        <f>(M84*Settings!$B$2)+(N84*Settings!$B$3)+(O84*Settings!$B$4)+(P84*Settings!$B$5)+(Q84*Settings!$B$6)+(T84*Settings!$B$9)+(U84*Settings!$B$10)+(V84*Settings!$B$11)+(W84*Settings!$B$12)+(X84*Settings!$B$13)+(AA84*Settings!$B$16)</f>
        <v>440.51666666666699</v>
      </c>
      <c r="H84" s="30">
        <f>VLOOKUP(B84,'Standard Deviations'!$A1:$D651,4,FALSE)</f>
        <v>3.3799929587097051</v>
      </c>
      <c r="I84" s="31">
        <f ca="1">VLOOKUP(B84,OF!A1:I139,IF(Settings!$J$13="points",6,9),FALSE)</f>
        <v>3.261282221185084</v>
      </c>
      <c r="J84" s="30"/>
      <c r="K84" s="30">
        <f ca="1">J84-A84</f>
        <v>-92</v>
      </c>
      <c r="L84" s="30"/>
      <c r="M84" s="30">
        <f>VLOOKUP($B84,Hitters!$A1:$R401,4,FALSE)</f>
        <v>553.66666666666697</v>
      </c>
      <c r="N84" s="30">
        <f>VLOOKUP($B84,Hitters!$A1:$R401,5,FALSE)</f>
        <v>75.733333333333306</v>
      </c>
      <c r="O84" s="30">
        <f>VLOOKUP($B84,Hitters!$A1:$R401,6,FALSE)</f>
        <v>13.5</v>
      </c>
      <c r="P84" s="30">
        <f>VLOOKUP($B84,Hitters!$A1:$R401,7,FALSE)</f>
        <v>70.266666666666694</v>
      </c>
      <c r="Q84" s="30">
        <f>VLOOKUP($B84,Hitters!$A1:$R401,8,FALSE)</f>
        <v>4.3666666666666698</v>
      </c>
      <c r="R84" s="32">
        <f>VLOOKUP($B84,Hitters!$A1:$R401,9,FALSE)</f>
        <v>0.28603251053582202</v>
      </c>
      <c r="S84" s="32">
        <f>VLOOKUP($B84,Hitters!$A1:$R401,10,FALSE)</f>
        <v>0.33651326134815002</v>
      </c>
      <c r="T84" s="30">
        <f>VLOOKUP($B84,Hitters!$A1:$R401,11,FALSE)</f>
        <v>158.36666666666699</v>
      </c>
      <c r="U84" s="30">
        <f>VLOOKUP($B84,Hitters!$A1:$R401,12,FALSE)</f>
        <v>34.6</v>
      </c>
      <c r="V84" s="30">
        <f>VLOOKUP($B84,Hitters!$A1:$R401,13,FALSE)</f>
        <v>1.56666666666667</v>
      </c>
      <c r="W84" s="30">
        <f>VLOOKUP($B84,Hitters!$A1:$R401,14,FALSE)</f>
        <v>44.933333333333302</v>
      </c>
      <c r="X84" s="30">
        <f>VLOOKUP($B84,Hitters!$A1:$R401,15,FALSE)</f>
        <v>90.8333333333333</v>
      </c>
      <c r="Y84" s="32">
        <f>VLOOKUP($B84,Hitters!$A1:$R401,16,FALSE)</f>
        <v>0.42733293196869399</v>
      </c>
      <c r="Z84" s="32">
        <f>VLOOKUP($B84,Hitters!$A1:$R401,17,FALSE)</f>
        <v>0.763846193316843</v>
      </c>
      <c r="AA84" s="30">
        <f>VLOOKUP($B84,Hitters!$A1:$R401,18,FALSE)</f>
        <v>0</v>
      </c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1:44" ht="18.600000000000001" customHeight="1">
      <c r="A85" s="24">
        <f ca="1">RANK(I85,I$2:I$651)</f>
        <v>189</v>
      </c>
      <c r="B85" s="25" t="s">
        <v>286</v>
      </c>
      <c r="C85" s="26" t="s">
        <v>69</v>
      </c>
      <c r="D85" s="26" t="s">
        <v>70</v>
      </c>
      <c r="E85" s="39" t="s">
        <v>7</v>
      </c>
      <c r="F85" s="40">
        <f ca="1">VLOOKUP(B85,'1B'!A1:I63,IF(Settings!$J$13="points",4,7),FALSE)</f>
        <v>14</v>
      </c>
      <c r="G85" s="29">
        <f>(M85*Settings!$B$2)+(N85*Settings!$B$3)+(O85*Settings!$B$4)+(P85*Settings!$B$5)+(Q85*Settings!$B$6)+(T85*Settings!$B$9)+(U85*Settings!$B$10)+(V85*Settings!$B$11)+(W85*Settings!$B$12)+(X85*Settings!$B$13)+(AA85*Settings!$B$16)</f>
        <v>440.03333333333381</v>
      </c>
      <c r="H85" s="30">
        <f>VLOOKUP(B85,'Standard Deviations'!$A1:$D651,4,FALSE)</f>
        <v>3.2794545600267226</v>
      </c>
      <c r="I85" s="31">
        <f ca="1">IF(Settings!$J$15="no",VLOOKUP(B85,'1B'!A1:I63,IF(Settings!$J$13="points",6,9),FALSE),VLOOKUP(B85,'1B+3B'!$A1:$I104,IF(Settings!$J$13="points",6,9),FALSE))</f>
        <v>0.69992873805914346</v>
      </c>
      <c r="J85" s="30"/>
      <c r="K85" s="30">
        <f ca="1">J85-A85</f>
        <v>-189</v>
      </c>
      <c r="L85" s="30"/>
      <c r="M85" s="30">
        <f>VLOOKUP($B85,Hitters!$A1:$R401,4,FALSE)</f>
        <v>482</v>
      </c>
      <c r="N85" s="30">
        <f>VLOOKUP($B85,Hitters!$A1:$R401,5,FALSE)</f>
        <v>75.633333333333297</v>
      </c>
      <c r="O85" s="30">
        <f>VLOOKUP($B85,Hitters!$A1:$R401,6,FALSE)</f>
        <v>26.466666666666701</v>
      </c>
      <c r="P85" s="30">
        <f>VLOOKUP($B85,Hitters!$A1:$R401,7,FALSE)</f>
        <v>73.966666666666697</v>
      </c>
      <c r="Q85" s="30">
        <f>VLOOKUP($B85,Hitters!$A1:$R401,8,FALSE)</f>
        <v>6.6</v>
      </c>
      <c r="R85" s="32">
        <f>VLOOKUP($B85,Hitters!$A1:$R401,9,FALSE)</f>
        <v>0.240387275242047</v>
      </c>
      <c r="S85" s="32">
        <f>VLOOKUP($B85,Hitters!$A1:$R401,10,FALSE)</f>
        <v>0.31774933176389802</v>
      </c>
      <c r="T85" s="30">
        <f>VLOOKUP($B85,Hitters!$A1:$R401,11,FALSE)</f>
        <v>115.866666666667</v>
      </c>
      <c r="U85" s="30">
        <f>VLOOKUP($B85,Hitters!$A1:$R401,12,FALSE)</f>
        <v>21.566666666666698</v>
      </c>
      <c r="V85" s="30">
        <f>VLOOKUP($B85,Hitters!$A1:$R401,13,FALSE)</f>
        <v>1.43333333333333</v>
      </c>
      <c r="W85" s="30">
        <f>VLOOKUP($B85,Hitters!$A1:$R401,14,FALSE)</f>
        <v>56.9</v>
      </c>
      <c r="X85" s="30">
        <f>VLOOKUP($B85,Hitters!$A1:$R401,15,FALSE)</f>
        <v>97.6666666666667</v>
      </c>
      <c r="Y85" s="32">
        <f>VLOOKUP($B85,Hitters!$A1:$R401,16,FALSE)</f>
        <v>0.455809128630705</v>
      </c>
      <c r="Z85" s="32">
        <f>VLOOKUP($B85,Hitters!$A1:$R401,17,FALSE)</f>
        <v>0.77355846039460396</v>
      </c>
      <c r="AA85" s="30">
        <f>VLOOKUP($B85,Hitters!$A1:$R401,18,FALSE)</f>
        <v>0</v>
      </c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1:44" ht="18.600000000000001" customHeight="1">
      <c r="A86" s="24">
        <f ca="1">RANK(I86,I$2:I$651)</f>
        <v>68</v>
      </c>
      <c r="B86" s="25" t="s">
        <v>161</v>
      </c>
      <c r="C86" s="26" t="s">
        <v>82</v>
      </c>
      <c r="D86" s="26" t="s">
        <v>75</v>
      </c>
      <c r="E86" s="45" t="s">
        <v>19</v>
      </c>
      <c r="F86" s="46">
        <f ca="1">VLOOKUP(B86,'C'!A1:I54,IF(Settings!$J$13="points",4,7),FALSE)</f>
        <v>3</v>
      </c>
      <c r="G86" s="29">
        <f>(M86*Settings!$B$2)+(N86*Settings!$B$3)+(O86*Settings!$B$4)+(P86*Settings!$B$5)+(Q86*Settings!$B$6)+(T86*Settings!$B$9)+(U86*Settings!$B$10)+(V86*Settings!$B$11)+(W86*Settings!$B$12)+(X86*Settings!$B$13)+(AA86*Settings!$B$16)</f>
        <v>439.33333333333286</v>
      </c>
      <c r="H86" s="30">
        <f>VLOOKUP(B86,'Standard Deviations'!$A1:$D651,4,FALSE)</f>
        <v>3.4767620871453331</v>
      </c>
      <c r="I86" s="31">
        <f ca="1">VLOOKUP(B86,'C'!A1:I54,IF(Settings!$J$13="points",6,9),FALSE)</f>
        <v>3.7938527318283226</v>
      </c>
      <c r="J86" s="30"/>
      <c r="K86" s="30">
        <f ca="1">J86-A86</f>
        <v>-68</v>
      </c>
      <c r="L86" s="30"/>
      <c r="M86" s="30">
        <f>VLOOKUP($B86,Hitters!$A1:$R401,4,FALSE)</f>
        <v>459.66666666666703</v>
      </c>
      <c r="N86" s="30">
        <f>VLOOKUP($B86,Hitters!$A1:$R401,5,FALSE)</f>
        <v>72</v>
      </c>
      <c r="O86" s="30">
        <f>VLOOKUP($B86,Hitters!$A1:$R401,6,FALSE)</f>
        <v>24.533333333333299</v>
      </c>
      <c r="P86" s="30">
        <f>VLOOKUP($B86,Hitters!$A1:$R401,7,FALSE)</f>
        <v>81.133333333333297</v>
      </c>
      <c r="Q86" s="30">
        <f>VLOOKUP($B86,Hitters!$A1:$R401,8,FALSE)</f>
        <v>1.8333333333333299</v>
      </c>
      <c r="R86" s="32">
        <f>VLOOKUP($B86,Hitters!$A1:$R401,9,FALSE)</f>
        <v>0.26069615663524298</v>
      </c>
      <c r="S86" s="32">
        <f>VLOOKUP($B86,Hitters!$A1:$R401,10,FALSE)</f>
        <v>0.33826665556615798</v>
      </c>
      <c r="T86" s="30">
        <f>VLOOKUP($B86,Hitters!$A1:$R401,11,FALSE)</f>
        <v>119.833333333333</v>
      </c>
      <c r="U86" s="30">
        <f>VLOOKUP($B86,Hitters!$A1:$R401,12,FALSE)</f>
        <v>24.9</v>
      </c>
      <c r="V86" s="30">
        <f>VLOOKUP($B86,Hitters!$A1:$R401,13,FALSE)</f>
        <v>2</v>
      </c>
      <c r="W86" s="30">
        <f>VLOOKUP($B86,Hitters!$A1:$R401,14,FALSE)</f>
        <v>56.233333333333299</v>
      </c>
      <c r="X86" s="30">
        <f>VLOOKUP($B86,Hitters!$A1:$R401,15,FALSE)</f>
        <v>94.933333333333294</v>
      </c>
      <c r="Y86" s="32">
        <f>VLOOKUP($B86,Hitters!$A1:$R401,16,FALSE)</f>
        <v>0.48368382886149403</v>
      </c>
      <c r="Z86" s="32">
        <f>VLOOKUP($B86,Hitters!$A1:$R401,17,FALSE)</f>
        <v>0.82195048442765195</v>
      </c>
      <c r="AA86" s="30">
        <f>VLOOKUP($B86,Hitters!$A1:$R401,18,FALSE)</f>
        <v>0</v>
      </c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1:44" ht="18.600000000000001" customHeight="1">
      <c r="A87" s="24">
        <f ca="1">RANK(I87,I$2:I$651)</f>
        <v>87</v>
      </c>
      <c r="B87" s="25" t="s">
        <v>181</v>
      </c>
      <c r="C87" s="26" t="s">
        <v>77</v>
      </c>
      <c r="D87" s="26" t="s">
        <v>70</v>
      </c>
      <c r="E87" s="35" t="s">
        <v>31</v>
      </c>
      <c r="F87" s="36">
        <f ca="1">VLOOKUP(B87,SP!A1:I161,IF(Settings!$J$13="points",4,7),FALSE)</f>
        <v>30</v>
      </c>
      <c r="G87" s="29">
        <f>(AC87*Settings!$F$2)+(AF87*Settings!$F$5)+(AG87*Settings!$F$6)+(AH87*Settings!$F$7)+(AI87*Settings!$F$8)+(AJ87*Settings!$F$9)+(AK87*Settings!$F$10)+(AL87*Settings!$F$11)+(AM87*Settings!$F$12)+(AN87*Settings!$F$13)+(AO87*Settings!$F$14)+(AP87*Settings!$F$15)+(AQ87*Settings!$F$16)+(AR87*Settings!$F$17)</f>
        <v>439.20000000000005</v>
      </c>
      <c r="H87" s="30">
        <f>VLOOKUP(B87,'Standard Deviations'!$A1:$D651,4,FALSE)</f>
        <v>3.4993723391700251</v>
      </c>
      <c r="I87" s="31">
        <f ca="1">IF(Settings!$J$16="no",VLOOKUP(B87,SP!A1:I161,IF(Settings!$J$13="points",6,9),FALSE),VLOOKUP(B87,'SP+RP'!$A1:$I251,IF(Settings!$J$13="points",6,9),FALSE))</f>
        <v>3.3633854409919413</v>
      </c>
      <c r="J87" s="30"/>
      <c r="K87" s="30">
        <f ca="1">J87-A87</f>
        <v>-87</v>
      </c>
      <c r="L87" s="30"/>
      <c r="M87" s="30"/>
      <c r="N87" s="30"/>
      <c r="O87" s="30"/>
      <c r="P87" s="30"/>
      <c r="Q87" s="30"/>
      <c r="R87" s="32"/>
      <c r="S87" s="32"/>
      <c r="T87" s="30"/>
      <c r="U87" s="30"/>
      <c r="V87" s="30"/>
      <c r="W87" s="30"/>
      <c r="X87" s="30"/>
      <c r="Y87" s="32"/>
      <c r="Z87" s="32"/>
      <c r="AA87" s="30"/>
      <c r="AB87" s="30"/>
      <c r="AC87" s="30">
        <f>VLOOKUP($B87,Pitchers!$A1:$S251,4,FALSE)</f>
        <v>180.93333333333331</v>
      </c>
      <c r="AD87" s="32">
        <f>VLOOKUP($B87,Pitchers!$A1:$S251,5,FALSE)</f>
        <v>3.8002947678703021</v>
      </c>
      <c r="AE87" s="32">
        <f>VLOOKUP($B87,Pitchers!$A1:$S251,6,FALSE)</f>
        <v>1.1099852616064851</v>
      </c>
      <c r="AF87" s="30">
        <f>VLOOKUP($B87,Pitchers!$A1:$S251,7,FALSE)</f>
        <v>187.79999999999998</v>
      </c>
      <c r="AG87" s="30">
        <f>VLOOKUP($B87,Pitchers!$A1:$S251,8,FALSE)</f>
        <v>11.366666666666667</v>
      </c>
      <c r="AH87" s="30">
        <f>VLOOKUP($B87,Pitchers!$A1:$S251,9,FALSE)</f>
        <v>0</v>
      </c>
      <c r="AI87" s="30">
        <f>VLOOKUP($B87,Pitchers!$A1:$S251,10,FALSE)</f>
        <v>76.399999999999991</v>
      </c>
      <c r="AJ87" s="30">
        <f>VLOOKUP($B87,Pitchers!$A1:$S251,11,FALSE)</f>
        <v>146.43333333333334</v>
      </c>
      <c r="AK87" s="30">
        <f>VLOOKUP($B87,Pitchers!$A1:$S251,12,FALSE)</f>
        <v>54.4</v>
      </c>
      <c r="AL87" s="30">
        <f>VLOOKUP($B87,Pitchers!$A1:$S251,13,FALSE)</f>
        <v>29</v>
      </c>
      <c r="AM87" s="30">
        <f>VLOOKUP($B87,Pitchers!$A1:$S251,14,FALSE)</f>
        <v>30.599999999999998</v>
      </c>
      <c r="AN87" s="30">
        <f>VLOOKUP($B87,Pitchers!$A1:$S251,15,FALSE)</f>
        <v>30.599999999999998</v>
      </c>
      <c r="AO87" s="30">
        <f>VLOOKUP($B87,Pitchers!$A1:$S251,16,FALSE)</f>
        <v>9.5666666666666664</v>
      </c>
      <c r="AP87" s="30">
        <f>VLOOKUP($B87,Pitchers!$A1:$S251,17,FALSE)</f>
        <v>16</v>
      </c>
      <c r="AQ87" s="30">
        <f>VLOOKUP($B87,Pitchers!$A1:$S251,18,FALSE)</f>
        <v>0</v>
      </c>
      <c r="AR87" s="30">
        <f>VLOOKUP($B87,Pitchers!$A1:$S251,19,FALSE)</f>
        <v>0</v>
      </c>
    </row>
    <row r="88" spans="1:44" ht="18.600000000000001" customHeight="1">
      <c r="A88" s="24">
        <f ca="1">RANK(I88,I$2:I$651)</f>
        <v>45</v>
      </c>
      <c r="B88" s="25" t="s">
        <v>133</v>
      </c>
      <c r="C88" s="26" t="s">
        <v>72</v>
      </c>
      <c r="D88" s="26" t="s">
        <v>70</v>
      </c>
      <c r="E88" s="27" t="s">
        <v>23</v>
      </c>
      <c r="F88" s="28">
        <f ca="1">VLOOKUP(B88,OF!A1:I139,IF(Settings!$J$13="points",4,7),FALSE)</f>
        <v>18</v>
      </c>
      <c r="G88" s="29">
        <f>(M88*Settings!$B$2)+(N88*Settings!$B$3)+(O88*Settings!$B$4)+(P88*Settings!$B$5)+(Q88*Settings!$B$6)+(T88*Settings!$B$9)+(U88*Settings!$B$10)+(V88*Settings!$B$11)+(W88*Settings!$B$12)+(X88*Settings!$B$13)+(AA88*Settings!$B$16)</f>
        <v>438.25000000000074</v>
      </c>
      <c r="H88" s="30">
        <f>VLOOKUP(B88,'Standard Deviations'!$A1:$D651,4,FALSE)</f>
        <v>5.1073710223676896</v>
      </c>
      <c r="I88" s="31">
        <f ca="1">VLOOKUP(B88,OF!A1:I139,IF(Settings!$J$13="points",6,9),FALSE)</f>
        <v>4.9886580606186586</v>
      </c>
      <c r="J88" s="30"/>
      <c r="K88" s="30">
        <f ca="1">J88-A88</f>
        <v>-45</v>
      </c>
      <c r="L88" s="30"/>
      <c r="M88" s="30">
        <f>VLOOKUP($B88,Hitters!$A1:$R401,4,FALSE)</f>
        <v>517</v>
      </c>
      <c r="N88" s="30">
        <f>VLOOKUP($B88,Hitters!$A1:$R401,5,FALSE)</f>
        <v>73.866666666666703</v>
      </c>
      <c r="O88" s="30">
        <f>VLOOKUP($B88,Hitters!$A1:$R401,6,FALSE)</f>
        <v>27.366666666666699</v>
      </c>
      <c r="P88" s="30">
        <f>VLOOKUP($B88,Hitters!$A1:$R401,7,FALSE)</f>
        <v>84.8</v>
      </c>
      <c r="Q88" s="30">
        <f>VLOOKUP($B88,Hitters!$A1:$R401,8,FALSE)</f>
        <v>8.43333333333333</v>
      </c>
      <c r="R88" s="32">
        <f>VLOOKUP($B88,Hitters!$A1:$R401,9,FALSE)</f>
        <v>0.261250805931657</v>
      </c>
      <c r="S88" s="32">
        <f>VLOOKUP($B88,Hitters!$A1:$R401,10,FALSE)</f>
        <v>0.30817164201333203</v>
      </c>
      <c r="T88" s="30">
        <f>VLOOKUP($B88,Hitters!$A1:$R401,11,FALSE)</f>
        <v>135.066666666667</v>
      </c>
      <c r="U88" s="30">
        <f>VLOOKUP($B88,Hitters!$A1:$R401,12,FALSE)</f>
        <v>28.966666666666701</v>
      </c>
      <c r="V88" s="30">
        <f>VLOOKUP($B88,Hitters!$A1:$R401,13,FALSE)</f>
        <v>0.63333333333333297</v>
      </c>
      <c r="W88" s="30">
        <f>VLOOKUP($B88,Hitters!$A1:$R401,14,FALSE)</f>
        <v>37.366666666666703</v>
      </c>
      <c r="X88" s="30">
        <f>VLOOKUP($B88,Hitters!$A1:$R401,15,FALSE)</f>
        <v>158.03333333333299</v>
      </c>
      <c r="Y88" s="32">
        <f>VLOOKUP($B88,Hitters!$A1:$R401,16,FALSE)</f>
        <v>0.47852998065764002</v>
      </c>
      <c r="Z88" s="32">
        <f>VLOOKUP($B88,Hitters!$A1:$R401,17,FALSE)</f>
        <v>0.78670162267097299</v>
      </c>
      <c r="AA88" s="30">
        <f>VLOOKUP($B88,Hitters!$A1:$R401,18,FALSE)</f>
        <v>0</v>
      </c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1:44" ht="18.600000000000001" customHeight="1">
      <c r="A89" s="24">
        <f ca="1">RANK(I89,I$2:I$651)</f>
        <v>26</v>
      </c>
      <c r="B89" s="25" t="s">
        <v>110</v>
      </c>
      <c r="C89" s="26" t="s">
        <v>97</v>
      </c>
      <c r="D89" s="26" t="s">
        <v>75</v>
      </c>
      <c r="E89" s="27" t="s">
        <v>23</v>
      </c>
      <c r="F89" s="28">
        <f ca="1">VLOOKUP(B89,OF!A1:I139,IF(Settings!$J$13="points",4,7),FALSE)</f>
        <v>12</v>
      </c>
      <c r="G89" s="29">
        <f>(M89*Settings!$B$2)+(N89*Settings!$B$3)+(O89*Settings!$B$4)+(P89*Settings!$B$5)+(Q89*Settings!$B$6)+(T89*Settings!$B$9)+(U89*Settings!$B$10)+(V89*Settings!$B$11)+(W89*Settings!$B$12)+(X89*Settings!$B$13)+(AA89*Settings!$B$16)</f>
        <v>437.93333333333317</v>
      </c>
      <c r="H89" s="30">
        <f>VLOOKUP(B89,'Standard Deviations'!$A1:$D651,4,FALSE)</f>
        <v>6.3195262485940189</v>
      </c>
      <c r="I89" s="31">
        <f ca="1">VLOOKUP(B89,OF!A1:I139,IF(Settings!$J$13="points",6,9),FALSE)</f>
        <v>6.200809552601334</v>
      </c>
      <c r="J89" s="30"/>
      <c r="K89" s="30">
        <f ca="1">J89-A89</f>
        <v>-26</v>
      </c>
      <c r="L89" s="30"/>
      <c r="M89" s="30">
        <f>VLOOKUP($B89,Hitters!$A1:$R401,4,FALSE)</f>
        <v>507.66666666666703</v>
      </c>
      <c r="N89" s="30">
        <f>VLOOKUP($B89,Hitters!$A1:$R401,5,FALSE)</f>
        <v>77.7</v>
      </c>
      <c r="O89" s="30">
        <f>VLOOKUP($B89,Hitters!$A1:$R401,6,FALSE)</f>
        <v>15.133333333333301</v>
      </c>
      <c r="P89" s="30">
        <f>VLOOKUP($B89,Hitters!$A1:$R401,7,FALSE)</f>
        <v>61.966666666666697</v>
      </c>
      <c r="Q89" s="30">
        <f>VLOOKUP($B89,Hitters!$A1:$R401,8,FALSE)</f>
        <v>26.466666666666701</v>
      </c>
      <c r="R89" s="32">
        <f>VLOOKUP($B89,Hitters!$A1:$R401,9,FALSE)</f>
        <v>0.27990807616546298</v>
      </c>
      <c r="S89" s="32">
        <f>VLOOKUP($B89,Hitters!$A1:$R401,10,FALSE)</f>
        <v>0.32196496191910601</v>
      </c>
      <c r="T89" s="30">
        <f>VLOOKUP($B89,Hitters!$A1:$R401,11,FALSE)</f>
        <v>142.1</v>
      </c>
      <c r="U89" s="30">
        <f>VLOOKUP($B89,Hitters!$A1:$R401,12,FALSE)</f>
        <v>25.266666666666701</v>
      </c>
      <c r="V89" s="30">
        <f>VLOOKUP($B89,Hitters!$A1:$R401,13,FALSE)</f>
        <v>3.93333333333333</v>
      </c>
      <c r="W89" s="30">
        <f>VLOOKUP($B89,Hitters!$A1:$R401,14,FALSE)</f>
        <v>33.9</v>
      </c>
      <c r="X89" s="30">
        <f>VLOOKUP($B89,Hitters!$A1:$R401,15,FALSE)</f>
        <v>107.066666666667</v>
      </c>
      <c r="Y89" s="32">
        <f>VLOOKUP($B89,Hitters!$A1:$R401,16,FALSE)</f>
        <v>0.43460275771503598</v>
      </c>
      <c r="Z89" s="32">
        <f>VLOOKUP($B89,Hitters!$A1:$R401,17,FALSE)</f>
        <v>0.75656771963414204</v>
      </c>
      <c r="AA89" s="30">
        <f>VLOOKUP($B89,Hitters!$A1:$R401,18,FALSE)</f>
        <v>0</v>
      </c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1:44" ht="20.100000000000001" customHeight="1">
      <c r="A90" s="24">
        <f ca="1">RANK(I90,I$2:I$651)</f>
        <v>243</v>
      </c>
      <c r="B90" s="25" t="s">
        <v>341</v>
      </c>
      <c r="C90" s="26" t="s">
        <v>64</v>
      </c>
      <c r="D90" s="26" t="s">
        <v>75</v>
      </c>
      <c r="E90" s="47" t="s">
        <v>11</v>
      </c>
      <c r="F90" s="48">
        <f ca="1">VLOOKUP(B90,'2B'!A1:I50,IF(Settings!$J$13="points",4,7),FALSE)</f>
        <v>19</v>
      </c>
      <c r="G90" s="29">
        <f>(M90*Settings!$B$2)+(N90*Settings!$B$3)+(O90*Settings!$B$4)+(P90*Settings!$B$5)+(Q90*Settings!$B$6)+(T90*Settings!$B$9)+(U90*Settings!$B$10)+(V90*Settings!$B$11)+(W90*Settings!$B$12)+(X90*Settings!$B$13)+(AA90*Settings!$B$16)</f>
        <v>437.06666666666683</v>
      </c>
      <c r="H90" s="30">
        <f>VLOOKUP(B90,'Standard Deviations'!$A1:$D651,4,FALSE)</f>
        <v>2.2509738349313437</v>
      </c>
      <c r="I90" s="31">
        <f ca="1">IF(Settings!$J$16="no",VLOOKUP(B90,'2B'!A1:I50,IF(Settings!$J$13="points",6,9),FALSE),VLOOKUP(B90,'2B+SS'!$A1:$I94,IF(Settings!$J$13="points",6,9),FALSE))</f>
        <v>-5.6759396905036841E-2</v>
      </c>
      <c r="J90" s="30"/>
      <c r="K90" s="30">
        <f ca="1">J90-A90</f>
        <v>-243</v>
      </c>
      <c r="L90" s="30"/>
      <c r="M90" s="30">
        <f>VLOOKUP($B90,Hitters!$A1:$R401,4,FALSE)</f>
        <v>535.66666666666697</v>
      </c>
      <c r="N90" s="30">
        <f>VLOOKUP($B90,Hitters!$A1:$R401,5,FALSE)</f>
        <v>78.6666666666667</v>
      </c>
      <c r="O90" s="30">
        <f>VLOOKUP($B90,Hitters!$A1:$R401,6,FALSE)</f>
        <v>15.733333333333301</v>
      </c>
      <c r="P90" s="30">
        <f>VLOOKUP($B90,Hitters!$A1:$R401,7,FALSE)</f>
        <v>71.966666666666697</v>
      </c>
      <c r="Q90" s="30">
        <f>VLOOKUP($B90,Hitters!$A1:$R401,8,FALSE)</f>
        <v>3.8</v>
      </c>
      <c r="R90" s="32">
        <f>VLOOKUP($B90,Hitters!$A1:$R401,9,FALSE)</f>
        <v>0.25457373988798998</v>
      </c>
      <c r="S90" s="32">
        <f>VLOOKUP($B90,Hitters!$A1:$R401,10,FALSE)</f>
        <v>0.324848309576379</v>
      </c>
      <c r="T90" s="30">
        <f>VLOOKUP($B90,Hitters!$A1:$R401,11,FALSE)</f>
        <v>136.36666666666699</v>
      </c>
      <c r="U90" s="30">
        <f>VLOOKUP($B90,Hitters!$A1:$R401,12,FALSE)</f>
        <v>30.766666666666701</v>
      </c>
      <c r="V90" s="30">
        <f>VLOOKUP($B90,Hitters!$A1:$R401,13,FALSE)</f>
        <v>4.2666666666666702</v>
      </c>
      <c r="W90" s="30">
        <f>VLOOKUP($B90,Hitters!$A1:$R401,14,FALSE)</f>
        <v>58.3333333333333</v>
      </c>
      <c r="X90" s="30">
        <f>VLOOKUP($B90,Hitters!$A1:$R401,15,FALSE)</f>
        <v>106.26666666666701</v>
      </c>
      <c r="Y90" s="32">
        <f>VLOOKUP($B90,Hitters!$A1:$R401,16,FALSE)</f>
        <v>0.41605476042314898</v>
      </c>
      <c r="Z90" s="32">
        <f>VLOOKUP($B90,Hitters!$A1:$R401,17,FALSE)</f>
        <v>0.74090306999952804</v>
      </c>
      <c r="AA90" s="30">
        <f>VLOOKUP($B90,Hitters!$A1:$R401,18,FALSE)</f>
        <v>0</v>
      </c>
      <c r="AB90" s="30"/>
      <c r="AC90" s="30"/>
      <c r="AD90" s="32"/>
      <c r="AE90" s="32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1:44" ht="20.100000000000001" customHeight="1">
      <c r="A91" s="24">
        <f ca="1">RANK(I91,I$2:I$651)</f>
        <v>10</v>
      </c>
      <c r="B91" s="25" t="s">
        <v>86</v>
      </c>
      <c r="C91" s="26" t="s">
        <v>87</v>
      </c>
      <c r="D91" s="26" t="s">
        <v>70</v>
      </c>
      <c r="E91" s="35" t="s">
        <v>31</v>
      </c>
      <c r="F91" s="36">
        <f ca="1">VLOOKUP(B91,SP!A1:I161,IF(Settings!$J$13="points",4,7),FALSE)</f>
        <v>2</v>
      </c>
      <c r="G91" s="29">
        <f>(AC91*Settings!$F$2)+(AF91*Settings!$F$5)+(AG91*Settings!$F$6)+(AH91*Settings!$F$7)+(AI91*Settings!$F$8)+(AJ91*Settings!$F$9)+(AK91*Settings!$F$10)+(AL91*Settings!$F$11)+(AM91*Settings!$F$12)+(AN91*Settings!$F$13)+(AO91*Settings!$F$14)+(AP91*Settings!$F$15)+(AQ91*Settings!$F$16)+(AR91*Settings!$F$17)</f>
        <v>436.81666666666666</v>
      </c>
      <c r="H91" s="30">
        <f>VLOOKUP(B91,'Standard Deviations'!$A1:$D651,4,FALSE)</f>
        <v>7.7871532692227277</v>
      </c>
      <c r="I91" s="31">
        <f ca="1">IF(Settings!$J$16="no",VLOOKUP(B91,SP!A1:I161,IF(Settings!$J$13="points",6,9),FALSE),VLOOKUP(B91,'SP+RP'!$A1:$I251,IF(Settings!$J$13="points",6,9),FALSE))</f>
        <v>7.6511751063768934</v>
      </c>
      <c r="J91" s="30"/>
      <c r="K91" s="30">
        <f ca="1">J91-A91</f>
        <v>-10</v>
      </c>
      <c r="L91" s="30"/>
      <c r="M91" s="30"/>
      <c r="N91" s="30"/>
      <c r="O91" s="30"/>
      <c r="P91" s="30"/>
      <c r="Q91" s="30"/>
      <c r="R91" s="32"/>
      <c r="S91" s="32"/>
      <c r="T91" s="30"/>
      <c r="U91" s="30"/>
      <c r="V91" s="30"/>
      <c r="W91" s="30"/>
      <c r="X91" s="30"/>
      <c r="Y91" s="32"/>
      <c r="Z91" s="32"/>
      <c r="AA91" s="30"/>
      <c r="AB91" s="30"/>
      <c r="AC91" s="30">
        <f>VLOOKUP($B91,Pitchers!$A1:$S251,4,FALSE)</f>
        <v>133.43333333333331</v>
      </c>
      <c r="AD91" s="32">
        <f>VLOOKUP($B91,Pitchers!$A1:$S251,5,FALSE)</f>
        <v>2.5293529852610548</v>
      </c>
      <c r="AE91" s="32">
        <f>VLOOKUP($B91,Pitchers!$A1:$S251,6,FALSE)</f>
        <v>0.87459405445915572</v>
      </c>
      <c r="AF91" s="30">
        <f>VLOOKUP($B91,Pitchers!$A1:$S251,7,FALSE)</f>
        <v>190.36666666666667</v>
      </c>
      <c r="AG91" s="30">
        <f>VLOOKUP($B91,Pitchers!$A1:$S251,8,FALSE)</f>
        <v>9.4333333333333336</v>
      </c>
      <c r="AH91" s="30">
        <f>VLOOKUP($B91,Pitchers!$A1:$S251,9,FALSE)</f>
        <v>0</v>
      </c>
      <c r="AI91" s="30">
        <f>VLOOKUP($B91,Pitchers!$A1:$S251,10,FALSE)</f>
        <v>37.5</v>
      </c>
      <c r="AJ91" s="30">
        <f>VLOOKUP($B91,Pitchers!$A1:$S251,11,FALSE)</f>
        <v>90.399999999999991</v>
      </c>
      <c r="AK91" s="30">
        <f>VLOOKUP($B91,Pitchers!$A1:$S251,12,FALSE)</f>
        <v>26.3</v>
      </c>
      <c r="AL91" s="30">
        <f>VLOOKUP($B91,Pitchers!$A1:$S251,13,FALSE)</f>
        <v>17</v>
      </c>
      <c r="AM91" s="30">
        <f>VLOOKUP($B91,Pitchers!$A1:$S251,14,FALSE)</f>
        <v>23.766666666666666</v>
      </c>
      <c r="AN91" s="30">
        <f>VLOOKUP($B91,Pitchers!$A1:$S251,15,FALSE)</f>
        <v>23.766666666666666</v>
      </c>
      <c r="AO91" s="30">
        <f>VLOOKUP($B91,Pitchers!$A1:$S251,16,FALSE)</f>
        <v>5.5</v>
      </c>
      <c r="AP91" s="30">
        <f>VLOOKUP($B91,Pitchers!$A1:$S251,17,FALSE)</f>
        <v>19</v>
      </c>
      <c r="AQ91" s="30">
        <f>VLOOKUP($B91,Pitchers!$A1:$S251,18,FALSE)</f>
        <v>0</v>
      </c>
      <c r="AR91" s="30">
        <f>VLOOKUP($B91,Pitchers!$A1:$S251,19,FALSE)</f>
        <v>0</v>
      </c>
    </row>
    <row r="92" spans="1:44" ht="18.600000000000001" customHeight="1">
      <c r="A92" s="24">
        <f ca="1">RANK(I92,I$2:I$651)</f>
        <v>44</v>
      </c>
      <c r="B92" s="25" t="s">
        <v>132</v>
      </c>
      <c r="C92" s="26" t="s">
        <v>87</v>
      </c>
      <c r="D92" s="26" t="s">
        <v>70</v>
      </c>
      <c r="E92" s="27" t="s">
        <v>23</v>
      </c>
      <c r="F92" s="28">
        <f ca="1">VLOOKUP(B92,OF!A1:I139,IF(Settings!$J$13="points",4,7),FALSE)</f>
        <v>17</v>
      </c>
      <c r="G92" s="29">
        <f>(M92*Settings!$B$2)+(N92*Settings!$B$3)+(O92*Settings!$B$4)+(P92*Settings!$B$5)+(Q92*Settings!$B$6)+(T92*Settings!$B$9)+(U92*Settings!$B$10)+(V92*Settings!$B$11)+(W92*Settings!$B$12)+(X92*Settings!$B$13)+(AA92*Settings!$B$16)</f>
        <v>436.49999999999994</v>
      </c>
      <c r="H92" s="30">
        <f>VLOOKUP(B92,'Standard Deviations'!$A1:$D651,4,FALSE)</f>
        <v>5.1282974741842082</v>
      </c>
      <c r="I92" s="31">
        <f ca="1">VLOOKUP(B92,OF!A1:I139,IF(Settings!$J$13="points",6,9),FALSE)</f>
        <v>5.0095806707616513</v>
      </c>
      <c r="J92" s="30"/>
      <c r="K92" s="30">
        <f ca="1">J92-A92</f>
        <v>-44</v>
      </c>
      <c r="L92" s="30"/>
      <c r="M92" s="30">
        <f>VLOOKUP($B92,Hitters!$A1:$R401,4,FALSE)</f>
        <v>552.66666666666697</v>
      </c>
      <c r="N92" s="30">
        <f>VLOOKUP($B92,Hitters!$A1:$R401,5,FALSE)</f>
        <v>72.033333333333303</v>
      </c>
      <c r="O92" s="30">
        <f>VLOOKUP($B92,Hitters!$A1:$R401,6,FALSE)</f>
        <v>25.133333333333301</v>
      </c>
      <c r="P92" s="30">
        <f>VLOOKUP($B92,Hitters!$A1:$R401,7,FALSE)</f>
        <v>83.5</v>
      </c>
      <c r="Q92" s="30">
        <f>VLOOKUP($B92,Hitters!$A1:$R401,8,FALSE)</f>
        <v>18.433333333333302</v>
      </c>
      <c r="R92" s="32">
        <f>VLOOKUP($B92,Hitters!$A1:$R401,9,FALSE)</f>
        <v>0.239505428226779</v>
      </c>
      <c r="S92" s="32">
        <f>VLOOKUP($B92,Hitters!$A1:$R401,10,FALSE)</f>
        <v>0.282185561449249</v>
      </c>
      <c r="T92" s="30">
        <f>VLOOKUP($B92,Hitters!$A1:$R401,11,FALSE)</f>
        <v>132.36666666666699</v>
      </c>
      <c r="U92" s="30">
        <f>VLOOKUP($B92,Hitters!$A1:$R401,12,FALSE)</f>
        <v>26.733333333333299</v>
      </c>
      <c r="V92" s="30">
        <f>VLOOKUP($B92,Hitters!$A1:$R401,13,FALSE)</f>
        <v>3</v>
      </c>
      <c r="W92" s="30">
        <f>VLOOKUP($B92,Hitters!$A1:$R401,14,FALSE)</f>
        <v>35.033333333333303</v>
      </c>
      <c r="X92" s="30">
        <f>VLOOKUP($B92,Hitters!$A1:$R401,15,FALSE)</f>
        <v>172.6</v>
      </c>
      <c r="Y92" s="32">
        <f>VLOOKUP($B92,Hitters!$A1:$R401,16,FALSE)</f>
        <v>0.43516284680337802</v>
      </c>
      <c r="Z92" s="32">
        <f>VLOOKUP($B92,Hitters!$A1:$R401,17,FALSE)</f>
        <v>0.71734840825262702</v>
      </c>
      <c r="AA92" s="30">
        <f>VLOOKUP($B92,Hitters!$A1:$R401,18,FALSE)</f>
        <v>0</v>
      </c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1:44" ht="18.600000000000001" customHeight="1">
      <c r="A93" s="24">
        <f ca="1">RANK(I93,I$2:I$651)</f>
        <v>271</v>
      </c>
      <c r="B93" s="25" t="s">
        <v>369</v>
      </c>
      <c r="C93" s="26" t="s">
        <v>82</v>
      </c>
      <c r="D93" s="26" t="s">
        <v>75</v>
      </c>
      <c r="E93" s="39" t="s">
        <v>7</v>
      </c>
      <c r="F93" s="40">
        <f ca="1">VLOOKUP(B93,'1B'!A1:I63,IF(Settings!$J$13="points",4,7),FALSE)</f>
        <v>22</v>
      </c>
      <c r="G93" s="29">
        <f>(M93*Settings!$B$2)+(N93*Settings!$B$3)+(O93*Settings!$B$4)+(P93*Settings!$B$5)+(Q93*Settings!$B$6)+(T93*Settings!$B$9)+(U93*Settings!$B$10)+(V93*Settings!$B$11)+(W93*Settings!$B$12)+(X93*Settings!$B$13)+(AA93*Settings!$B$16)</f>
        <v>435.88333333333344</v>
      </c>
      <c r="H93" s="30">
        <f>VLOOKUP(B93,'Standard Deviations'!$A1:$D651,4,FALSE)</f>
        <v>2.0070259231852563</v>
      </c>
      <c r="I93" s="31">
        <f ca="1">IF(Settings!$J$15="no",VLOOKUP(B93,'1B'!A1:I63,IF(Settings!$J$13="points",6,9),FALSE),VLOOKUP(B93,'1B+3B'!$A1:$I104,IF(Settings!$J$13="points",6,9),FALSE))</f>
        <v>-0.57249975619968296</v>
      </c>
      <c r="J93" s="30"/>
      <c r="K93" s="30">
        <f ca="1">J93-A93</f>
        <v>-271</v>
      </c>
      <c r="L93" s="30"/>
      <c r="M93" s="30">
        <f>VLOOKUP($B93,Hitters!$A1:$R401,4,FALSE)</f>
        <v>479.33333333333297</v>
      </c>
      <c r="N93" s="30">
        <f>VLOOKUP($B93,Hitters!$A1:$R401,5,FALSE)</f>
        <v>78.433333333333294</v>
      </c>
      <c r="O93" s="30">
        <f>VLOOKUP($B93,Hitters!$A1:$R401,6,FALSE)</f>
        <v>25.9</v>
      </c>
      <c r="P93" s="30">
        <f>VLOOKUP($B93,Hitters!$A1:$R401,7,FALSE)</f>
        <v>78.433333333333294</v>
      </c>
      <c r="Q93" s="30">
        <f>VLOOKUP($B93,Hitters!$A1:$R401,8,FALSE)</f>
        <v>1.9666666666666699</v>
      </c>
      <c r="R93" s="32">
        <f>VLOOKUP($B93,Hitters!$A1:$R401,9,FALSE)</f>
        <v>0.223226703755216</v>
      </c>
      <c r="S93" s="32">
        <f>VLOOKUP($B93,Hitters!$A1:$R401,10,FALSE)</f>
        <v>0.33595886792895802</v>
      </c>
      <c r="T93" s="30">
        <f>VLOOKUP($B93,Hitters!$A1:$R401,11,FALSE)</f>
        <v>107</v>
      </c>
      <c r="U93" s="30">
        <f>VLOOKUP($B93,Hitters!$A1:$R401,12,FALSE)</f>
        <v>22.3</v>
      </c>
      <c r="V93" s="30">
        <f>VLOOKUP($B93,Hitters!$A1:$R401,13,FALSE)</f>
        <v>1.0333333333333301</v>
      </c>
      <c r="W93" s="30">
        <f>VLOOKUP($B93,Hitters!$A1:$R401,14,FALSE)</f>
        <v>83.8</v>
      </c>
      <c r="X93" s="30">
        <f>VLOOKUP($B93,Hitters!$A1:$R401,15,FALSE)</f>
        <v>134.03333333333299</v>
      </c>
      <c r="Y93" s="32">
        <f>VLOOKUP($B93,Hitters!$A1:$R401,16,FALSE)</f>
        <v>0.43616133518776101</v>
      </c>
      <c r="Z93" s="32">
        <f>VLOOKUP($B93,Hitters!$A1:$R401,17,FALSE)</f>
        <v>0.77212020311671903</v>
      </c>
      <c r="AA93" s="30">
        <f>VLOOKUP($B93,Hitters!$A1:$R401,18,FALSE)</f>
        <v>0</v>
      </c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1:44" ht="18.600000000000001" customHeight="1">
      <c r="A94" s="24">
        <f ca="1">RANK(I94,I$2:I$651)</f>
        <v>167</v>
      </c>
      <c r="B94" s="25" t="s">
        <v>264</v>
      </c>
      <c r="C94" s="26" t="s">
        <v>225</v>
      </c>
      <c r="D94" s="26" t="s">
        <v>75</v>
      </c>
      <c r="E94" s="47" t="s">
        <v>11</v>
      </c>
      <c r="F94" s="48">
        <f ca="1">VLOOKUP(B94,'2B'!A1:I50,IF(Settings!$J$13="points",4,7),FALSE)</f>
        <v>9</v>
      </c>
      <c r="G94" s="29">
        <f>(M94*Settings!$B$2)+(N94*Settings!$B$3)+(O94*Settings!$B$4)+(P94*Settings!$B$5)+(Q94*Settings!$B$6)+(T94*Settings!$B$9)+(U94*Settings!$B$10)+(V94*Settings!$B$11)+(W94*Settings!$B$12)+(X94*Settings!$B$13)+(AA94*Settings!$B$16)</f>
        <v>435.74999999999994</v>
      </c>
      <c r="H94" s="30">
        <f>VLOOKUP(B94,'Standard Deviations'!$A1:$D651,4,FALSE)</f>
        <v>3.4098039143471048</v>
      </c>
      <c r="I94" s="31">
        <f ca="1">IF(Settings!$J$16="no",VLOOKUP(B94,'2B'!A1:I50,IF(Settings!$J$13="points",6,9),FALSE),VLOOKUP(B94,'2B+SS'!$A1:$I94,IF(Settings!$J$13="points",6,9),FALSE))</f>
        <v>1.1020698901592869</v>
      </c>
      <c r="J94" s="30"/>
      <c r="K94" s="30">
        <f ca="1">J94-A94</f>
        <v>-167</v>
      </c>
      <c r="L94" s="30"/>
      <c r="M94" s="30">
        <f>VLOOKUP($B94,Hitters!$A1:$R401,4,FALSE)</f>
        <v>535.33333333333303</v>
      </c>
      <c r="N94" s="30">
        <f>VLOOKUP($B94,Hitters!$A1:$R401,5,FALSE)</f>
        <v>85.133333333333297</v>
      </c>
      <c r="O94" s="30">
        <f>VLOOKUP($B94,Hitters!$A1:$R401,6,FALSE)</f>
        <v>17.5</v>
      </c>
      <c r="P94" s="30">
        <f>VLOOKUP($B94,Hitters!$A1:$R401,7,FALSE)</f>
        <v>64.099999999999994</v>
      </c>
      <c r="Q94" s="30">
        <f>VLOOKUP($B94,Hitters!$A1:$R401,8,FALSE)</f>
        <v>8.9</v>
      </c>
      <c r="R94" s="32">
        <f>VLOOKUP($B94,Hitters!$A1:$R401,9,FALSE)</f>
        <v>0.259464508094645</v>
      </c>
      <c r="S94" s="32">
        <f>VLOOKUP($B94,Hitters!$A1:$R401,10,FALSE)</f>
        <v>0.32862489974155601</v>
      </c>
      <c r="T94" s="30">
        <f>VLOOKUP($B94,Hitters!$A1:$R401,11,FALSE)</f>
        <v>138.9</v>
      </c>
      <c r="U94" s="30">
        <f>VLOOKUP($B94,Hitters!$A1:$R401,12,FALSE)</f>
        <v>30.766666666666701</v>
      </c>
      <c r="V94" s="30">
        <f>VLOOKUP($B94,Hitters!$A1:$R401,13,FALSE)</f>
        <v>2.4666666666666699</v>
      </c>
      <c r="W94" s="30">
        <f>VLOOKUP($B94,Hitters!$A1:$R401,14,FALSE)</f>
        <v>57.766666666666701</v>
      </c>
      <c r="X94" s="30">
        <f>VLOOKUP($B94,Hitters!$A1:$R401,15,FALSE)</f>
        <v>133.76666666666699</v>
      </c>
      <c r="Y94" s="32">
        <f>VLOOKUP($B94,Hitters!$A1:$R401,16,FALSE)</f>
        <v>0.42422166874221701</v>
      </c>
      <c r="Z94" s="32">
        <f>VLOOKUP($B94,Hitters!$A1:$R401,17,FALSE)</f>
        <v>0.75284656848377296</v>
      </c>
      <c r="AA94" s="30">
        <f>VLOOKUP($B94,Hitters!$A1:$R401,18,FALSE)</f>
        <v>0</v>
      </c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1:44" ht="18.600000000000001" customHeight="1">
      <c r="A95" s="24">
        <f ca="1">RANK(I95,I$2:I$651)</f>
        <v>116</v>
      </c>
      <c r="B95" s="25" t="s">
        <v>210</v>
      </c>
      <c r="C95" s="26" t="s">
        <v>101</v>
      </c>
      <c r="D95" s="26" t="s">
        <v>70</v>
      </c>
      <c r="E95" s="45" t="s">
        <v>19</v>
      </c>
      <c r="F95" s="46">
        <f ca="1">VLOOKUP(B95,'C'!A1:I54,IF(Settings!$J$13="points",4,7),FALSE)</f>
        <v>7</v>
      </c>
      <c r="G95" s="29">
        <f>(M95*Settings!$B$2)+(N95*Settings!$B$3)+(O95*Settings!$B$4)+(P95*Settings!$B$5)+(Q95*Settings!$B$6)+(T95*Settings!$B$9)+(U95*Settings!$B$10)+(V95*Settings!$B$11)+(W95*Settings!$B$12)+(X95*Settings!$B$13)+(AA95*Settings!$B$16)</f>
        <v>434.51666666666642</v>
      </c>
      <c r="H95" s="30">
        <f>VLOOKUP(B95,'Standard Deviations'!$A1:$D651,4,FALSE)</f>
        <v>2.0416383614416844</v>
      </c>
      <c r="I95" s="31">
        <f ca="1">VLOOKUP(B95,'C'!A1:I54,IF(Settings!$J$13="points",6,9),FALSE)</f>
        <v>2.3587294688120659</v>
      </c>
      <c r="J95" s="30"/>
      <c r="K95" s="30">
        <f ca="1">J95-A95</f>
        <v>-116</v>
      </c>
      <c r="L95" s="30"/>
      <c r="M95" s="30">
        <f>VLOOKUP($B95,Hitters!$A1:$R401,4,FALSE)</f>
        <v>482.066666666667</v>
      </c>
      <c r="N95" s="30">
        <f>VLOOKUP($B95,Hitters!$A1:$R401,5,FALSE)</f>
        <v>78.900000000000006</v>
      </c>
      <c r="O95" s="30">
        <f>VLOOKUP($B95,Hitters!$A1:$R401,6,FALSE)</f>
        <v>17.2</v>
      </c>
      <c r="P95" s="30">
        <f>VLOOKUP($B95,Hitters!$A1:$R401,7,FALSE)</f>
        <v>59.066666666666698</v>
      </c>
      <c r="Q95" s="30">
        <f>VLOOKUP($B95,Hitters!$A1:$R401,8,FALSE)</f>
        <v>4.4000000000000004</v>
      </c>
      <c r="R95" s="32">
        <f>VLOOKUP($B95,Hitters!$A1:$R401,9,FALSE)</f>
        <v>0.25667265938321099</v>
      </c>
      <c r="S95" s="32">
        <f>VLOOKUP($B95,Hitters!$A1:$R401,10,FALSE)</f>
        <v>0.35060697566017501</v>
      </c>
      <c r="T95" s="30">
        <f>VLOOKUP($B95,Hitters!$A1:$R401,11,FALSE)</f>
        <v>123.73333333333299</v>
      </c>
      <c r="U95" s="30">
        <f>VLOOKUP($B95,Hitters!$A1:$R401,12,FALSE)</f>
        <v>34.6666666666667</v>
      </c>
      <c r="V95" s="30">
        <f>VLOOKUP($B95,Hitters!$A1:$R401,13,FALSE)</f>
        <v>1.4666666666666699</v>
      </c>
      <c r="W95" s="30">
        <f>VLOOKUP($B95,Hitters!$A1:$R401,14,FALSE)</f>
        <v>72.3333333333333</v>
      </c>
      <c r="X95" s="30">
        <f>VLOOKUP($B95,Hitters!$A1:$R401,15,FALSE)</f>
        <v>101.7</v>
      </c>
      <c r="Y95" s="32">
        <f>VLOOKUP($B95,Hitters!$A1:$R401,16,FALSE)</f>
        <v>0.44170930714977202</v>
      </c>
      <c r="Z95" s="32">
        <f>VLOOKUP($B95,Hitters!$A1:$R401,17,FALSE)</f>
        <v>0.79231628280994704</v>
      </c>
      <c r="AA95" s="30">
        <f>VLOOKUP($B95,Hitters!$A1:$R401,18,FALSE)</f>
        <v>0</v>
      </c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1:44" ht="18.600000000000001" customHeight="1">
      <c r="A96" s="24">
        <f ca="1">RANK(I96,I$2:I$651)</f>
        <v>77</v>
      </c>
      <c r="B96" s="25" t="s">
        <v>170</v>
      </c>
      <c r="C96" s="26" t="s">
        <v>85</v>
      </c>
      <c r="D96" s="26" t="s">
        <v>70</v>
      </c>
      <c r="E96" s="27" t="s">
        <v>23</v>
      </c>
      <c r="F96" s="28">
        <f ca="1">VLOOKUP(B96,OF!A1:I139,IF(Settings!$J$13="points",4,7),FALSE)</f>
        <v>28</v>
      </c>
      <c r="G96" s="29">
        <f>(M96*Settings!$B$2)+(N96*Settings!$B$3)+(O96*Settings!$B$4)+(P96*Settings!$B$5)+(Q96*Settings!$B$6)+(T96*Settings!$B$9)+(U96*Settings!$B$10)+(V96*Settings!$B$11)+(W96*Settings!$B$12)+(X96*Settings!$B$13)+(AA96*Settings!$B$16)</f>
        <v>432.46666666666647</v>
      </c>
      <c r="H96" s="30">
        <f>VLOOKUP(B96,'Standard Deviations'!$A1:$D651,4,FALSE)</f>
        <v>3.7511878238030461</v>
      </c>
      <c r="I96" s="31">
        <f ca="1">VLOOKUP(B96,OF!A1:I139,IF(Settings!$J$13="points",6,9),FALSE)</f>
        <v>3.6324678281426741</v>
      </c>
      <c r="J96" s="30"/>
      <c r="K96" s="30">
        <f ca="1">J96-A96</f>
        <v>-77</v>
      </c>
      <c r="L96" s="30"/>
      <c r="M96" s="30">
        <f>VLOOKUP($B96,Hitters!$A1:$R401,4,FALSE)</f>
        <v>505.33333333333297</v>
      </c>
      <c r="N96" s="30">
        <f>VLOOKUP($B96,Hitters!$A1:$R401,5,FALSE)</f>
        <v>81.633333333333297</v>
      </c>
      <c r="O96" s="30">
        <f>VLOOKUP($B96,Hitters!$A1:$R401,6,FALSE)</f>
        <v>20.533333333333299</v>
      </c>
      <c r="P96" s="30">
        <f>VLOOKUP($B96,Hitters!$A1:$R401,7,FALSE)</f>
        <v>65.599999999999994</v>
      </c>
      <c r="Q96" s="30">
        <f>VLOOKUP($B96,Hitters!$A1:$R401,8,FALSE)</f>
        <v>6.3</v>
      </c>
      <c r="R96" s="32">
        <f>VLOOKUP($B96,Hitters!$A1:$R401,9,FALSE)</f>
        <v>0.26853562005276999</v>
      </c>
      <c r="S96" s="32">
        <f>VLOOKUP($B96,Hitters!$A1:$R401,10,FALSE)</f>
        <v>0.341715664456886</v>
      </c>
      <c r="T96" s="30">
        <f>VLOOKUP($B96,Hitters!$A1:$R401,11,FALSE)</f>
        <v>135.69999999999999</v>
      </c>
      <c r="U96" s="30">
        <f>VLOOKUP($B96,Hitters!$A1:$R401,12,FALSE)</f>
        <v>26.9</v>
      </c>
      <c r="V96" s="30">
        <f>VLOOKUP($B96,Hitters!$A1:$R401,13,FALSE)</f>
        <v>2.0333333333333301</v>
      </c>
      <c r="W96" s="30">
        <f>VLOOKUP($B96,Hitters!$A1:$R401,14,FALSE)</f>
        <v>58.8</v>
      </c>
      <c r="X96" s="30">
        <f>VLOOKUP($B96,Hitters!$A1:$R401,15,FALSE)</f>
        <v>127.8</v>
      </c>
      <c r="Y96" s="32">
        <f>VLOOKUP($B96,Hitters!$A1:$R401,16,FALSE)</f>
        <v>0.45171503957783599</v>
      </c>
      <c r="Z96" s="32">
        <f>VLOOKUP($B96,Hitters!$A1:$R401,17,FALSE)</f>
        <v>0.79343070403472205</v>
      </c>
      <c r="AA96" s="30">
        <f>VLOOKUP($B96,Hitters!$A1:$R401,18,FALSE)</f>
        <v>0</v>
      </c>
      <c r="AB96" s="30"/>
      <c r="AC96" s="30"/>
      <c r="AD96" s="32"/>
      <c r="AE96" s="32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1:44" ht="20.100000000000001" customHeight="1">
      <c r="A97" s="24">
        <f ca="1">RANK(I97,I$2:I$651)</f>
        <v>190</v>
      </c>
      <c r="B97" s="25" t="s">
        <v>287</v>
      </c>
      <c r="C97" s="26" t="s">
        <v>72</v>
      </c>
      <c r="D97" s="26" t="s">
        <v>70</v>
      </c>
      <c r="E97" s="39" t="s">
        <v>7</v>
      </c>
      <c r="F97" s="40">
        <f ca="1">VLOOKUP(B97,'1B'!A1:I63,IF(Settings!$J$13="points",4,7),FALSE)</f>
        <v>15</v>
      </c>
      <c r="G97" s="29">
        <f>(M97*Settings!$B$2)+(N97*Settings!$B$3)+(O97*Settings!$B$4)+(P97*Settings!$B$5)+(Q97*Settings!$B$6)+(T97*Settings!$B$9)+(U97*Settings!$B$10)+(V97*Settings!$B$11)+(W97*Settings!$B$12)+(X97*Settings!$B$13)+(AA97*Settings!$B$16)</f>
        <v>431.70000000000027</v>
      </c>
      <c r="H97" s="30">
        <f>VLOOKUP(B97,'Standard Deviations'!$A1:$D651,4,FALSE)</f>
        <v>3.2727114217226925</v>
      </c>
      <c r="I97" s="31">
        <f ca="1">IF(Settings!$J$15="no",VLOOKUP(B97,'1B'!A1:I63,IF(Settings!$J$13="points",6,9),FALSE),VLOOKUP(B97,'1B+3B'!$A1:$I104,IF(Settings!$J$13="points",6,9),FALSE))</f>
        <v>0.69318496080187009</v>
      </c>
      <c r="J97" s="30"/>
      <c r="K97" s="30">
        <f ca="1">J97-A97</f>
        <v>-190</v>
      </c>
      <c r="L97" s="30"/>
      <c r="M97" s="30">
        <f>VLOOKUP($B97,Hitters!$A1:$R401,4,FALSE)</f>
        <v>541.33333333333303</v>
      </c>
      <c r="N97" s="30">
        <f>VLOOKUP($B97,Hitters!$A1:$R401,5,FALSE)</f>
        <v>74.933333333333294</v>
      </c>
      <c r="O97" s="30">
        <f>VLOOKUP($B97,Hitters!$A1:$R401,6,FALSE)</f>
        <v>19.566666666666698</v>
      </c>
      <c r="P97" s="30">
        <f>VLOOKUP($B97,Hitters!$A1:$R401,7,FALSE)</f>
        <v>76.1666666666667</v>
      </c>
      <c r="Q97" s="30">
        <f>VLOOKUP($B97,Hitters!$A1:$R401,8,FALSE)</f>
        <v>0.233333333333333</v>
      </c>
      <c r="R97" s="32">
        <f>VLOOKUP($B97,Hitters!$A1:$R401,9,FALSE)</f>
        <v>0.27616995073891598</v>
      </c>
      <c r="S97" s="32">
        <f>VLOOKUP($B97,Hitters!$A1:$R401,10,FALSE)</f>
        <v>0.32134803307441701</v>
      </c>
      <c r="T97" s="30">
        <f>VLOOKUP($B97,Hitters!$A1:$R401,11,FALSE)</f>
        <v>149.5</v>
      </c>
      <c r="U97" s="30">
        <f>VLOOKUP($B97,Hitters!$A1:$R401,12,FALSE)</f>
        <v>30.066666666666698</v>
      </c>
      <c r="V97" s="30">
        <f>VLOOKUP($B97,Hitters!$A1:$R401,13,FALSE)</f>
        <v>1.1000000000000001</v>
      </c>
      <c r="W97" s="30">
        <f>VLOOKUP($B97,Hitters!$A1:$R401,14,FALSE)</f>
        <v>38.6</v>
      </c>
      <c r="X97" s="30">
        <f>VLOOKUP($B97,Hitters!$A1:$R401,15,FALSE)</f>
        <v>99.3333333333333</v>
      </c>
      <c r="Y97" s="32">
        <f>VLOOKUP($B97,Hitters!$A1:$R401,16,FALSE)</f>
        <v>0.44421182266009901</v>
      </c>
      <c r="Z97" s="32">
        <f>VLOOKUP($B97,Hitters!$A1:$R401,17,FALSE)</f>
        <v>0.76555985573451601</v>
      </c>
      <c r="AA97" s="30">
        <f>VLOOKUP($B97,Hitters!$A1:$R401,18,FALSE)</f>
        <v>0</v>
      </c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1:44" ht="18.600000000000001" customHeight="1">
      <c r="A98" s="24">
        <f ca="1">RANK(I98,I$2:I$651)</f>
        <v>63</v>
      </c>
      <c r="B98" s="25" t="s">
        <v>154</v>
      </c>
      <c r="C98" s="26" t="s">
        <v>79</v>
      </c>
      <c r="D98" s="26" t="s">
        <v>70</v>
      </c>
      <c r="E98" s="35" t="s">
        <v>31</v>
      </c>
      <c r="F98" s="36">
        <f ca="1">VLOOKUP(B98,SP!A1:I161,IF(Settings!$J$13="points",4,7),FALSE)</f>
        <v>20</v>
      </c>
      <c r="G98" s="29">
        <f>(AC98*Settings!$F$2)+(AF98*Settings!$F$5)+(AG98*Settings!$F$6)+(AH98*Settings!$F$7)+(AI98*Settings!$F$8)+(AJ98*Settings!$F$9)+(AK98*Settings!$F$10)+(AL98*Settings!$F$11)+(AM98*Settings!$F$12)+(AN98*Settings!$F$13)+(AO98*Settings!$F$14)+(AP98*Settings!$F$15)+(AQ98*Settings!$F$16)+(AR98*Settings!$F$17)</f>
        <v>429.90000000000003</v>
      </c>
      <c r="H98" s="30">
        <f>VLOOKUP(B98,'Standard Deviations'!$A1:$D651,4,FALSE)</f>
        <v>4.2345708170488372</v>
      </c>
      <c r="I98" s="31">
        <f ca="1">IF(Settings!$J$16="no",VLOOKUP(B98,SP!A1:I161,IF(Settings!$J$13="points",6,9),FALSE),VLOOKUP(B98,'SP+RP'!$A1:$I251,IF(Settings!$J$13="points",6,9),FALSE))</f>
        <v>4.0985873001512898</v>
      </c>
      <c r="J98" s="30"/>
      <c r="K98" s="30">
        <f ca="1">J98-A98</f>
        <v>-63</v>
      </c>
      <c r="L98" s="30"/>
      <c r="M98" s="30"/>
      <c r="N98" s="30"/>
      <c r="O98" s="30"/>
      <c r="P98" s="30"/>
      <c r="Q98" s="30"/>
      <c r="R98" s="32"/>
      <c r="S98" s="32"/>
      <c r="T98" s="30"/>
      <c r="U98" s="30"/>
      <c r="V98" s="30"/>
      <c r="W98" s="30"/>
      <c r="X98" s="30"/>
      <c r="Y98" s="32"/>
      <c r="Z98" s="32"/>
      <c r="AA98" s="30"/>
      <c r="AB98" s="30"/>
      <c r="AC98" s="30">
        <f>VLOOKUP($B98,Pitchers!$A1:$S251,4,FALSE)</f>
        <v>162.26666666666665</v>
      </c>
      <c r="AD98" s="32">
        <f>VLOOKUP($B98,Pitchers!$A1:$S251,5,FALSE)</f>
        <v>3.5534100246507805</v>
      </c>
      <c r="AE98" s="32">
        <f>VLOOKUP($B98,Pitchers!$A1:$S251,6,FALSE)</f>
        <v>1.10456039441249</v>
      </c>
      <c r="AF98" s="30">
        <f>VLOOKUP($B98,Pitchers!$A1:$S251,7,FALSE)</f>
        <v>199.20000000000002</v>
      </c>
      <c r="AG98" s="30">
        <f>VLOOKUP($B98,Pitchers!$A1:$S251,8,FALSE)</f>
        <v>11.233333333333334</v>
      </c>
      <c r="AH98" s="30">
        <f>VLOOKUP($B98,Pitchers!$A1:$S251,9,FALSE)</f>
        <v>0</v>
      </c>
      <c r="AI98" s="30">
        <f>VLOOKUP($B98,Pitchers!$A1:$S251,10,FALSE)</f>
        <v>64.066666666666663</v>
      </c>
      <c r="AJ98" s="30">
        <f>VLOOKUP($B98,Pitchers!$A1:$S251,11,FALSE)</f>
        <v>116.93333333333334</v>
      </c>
      <c r="AK98" s="30">
        <f>VLOOKUP($B98,Pitchers!$A1:$S251,12,FALSE)</f>
        <v>62.300000000000004</v>
      </c>
      <c r="AL98" s="30">
        <f>VLOOKUP($B98,Pitchers!$A1:$S251,13,FALSE)</f>
        <v>25</v>
      </c>
      <c r="AM98" s="30">
        <f>VLOOKUP($B98,Pitchers!$A1:$S251,14,FALSE)</f>
        <v>29.066666666666666</v>
      </c>
      <c r="AN98" s="30">
        <f>VLOOKUP($B98,Pitchers!$A1:$S251,15,FALSE)</f>
        <v>28.733333333333334</v>
      </c>
      <c r="AO98" s="30">
        <f>VLOOKUP($B98,Pitchers!$A1:$S251,16,FALSE)</f>
        <v>7.3666666666666671</v>
      </c>
      <c r="AP98" s="30">
        <f>VLOOKUP($B98,Pitchers!$A1:$S251,17,FALSE)</f>
        <v>15</v>
      </c>
      <c r="AQ98" s="30">
        <f>VLOOKUP($B98,Pitchers!$A1:$S251,18,FALSE)</f>
        <v>0</v>
      </c>
      <c r="AR98" s="30">
        <f>VLOOKUP($B98,Pitchers!$A1:$S251,19,FALSE)</f>
        <v>0</v>
      </c>
    </row>
    <row r="99" spans="1:44" ht="18.600000000000001" customHeight="1">
      <c r="A99" s="24">
        <f ca="1">RANK(I99,I$2:I$651)</f>
        <v>107</v>
      </c>
      <c r="B99" s="25" t="s">
        <v>201</v>
      </c>
      <c r="C99" s="26" t="s">
        <v>74</v>
      </c>
      <c r="D99" s="26" t="s">
        <v>75</v>
      </c>
      <c r="E99" s="47" t="s">
        <v>11</v>
      </c>
      <c r="F99" s="48">
        <f ca="1">VLOOKUP(B99,'2B'!A1:I50,IF(Settings!$J$13="points",4,7),FALSE)</f>
        <v>7</v>
      </c>
      <c r="G99" s="29">
        <f>(M99*Settings!$B$2)+(N99*Settings!$B$3)+(O99*Settings!$B$4)+(P99*Settings!$B$5)+(Q99*Settings!$B$6)+(T99*Settings!$B$9)+(U99*Settings!$B$10)+(V99*Settings!$B$11)+(W99*Settings!$B$12)+(X99*Settings!$B$13)+(AA99*Settings!$B$16)</f>
        <v>429.59999999999985</v>
      </c>
      <c r="H99" s="30">
        <f>VLOOKUP(B99,'Standard Deviations'!$A1:$D651,4,FALSE)</f>
        <v>5.0370763966480645</v>
      </c>
      <c r="I99" s="31">
        <f ca="1">IF(Settings!$J$16="no",VLOOKUP(B99,'2B'!A1:I50,IF(Settings!$J$13="points",6,9),FALSE),VLOOKUP(B99,'2B+SS'!$A1:$I94,IF(Settings!$J$13="points",6,9),FALSE))</f>
        <v>2.7293446399328829</v>
      </c>
      <c r="J99" s="30"/>
      <c r="K99" s="30">
        <f ca="1">J99-A99</f>
        <v>-107</v>
      </c>
      <c r="L99" s="30"/>
      <c r="M99" s="30">
        <f>VLOOKUP($B99,Hitters!$A1:$R401,4,FALSE)</f>
        <v>525</v>
      </c>
      <c r="N99" s="30">
        <f>VLOOKUP($B99,Hitters!$A1:$R401,5,FALSE)</f>
        <v>79.066666666666706</v>
      </c>
      <c r="O99" s="30">
        <f>VLOOKUP($B99,Hitters!$A1:$R401,6,FALSE)</f>
        <v>16.266666666666701</v>
      </c>
      <c r="P99" s="30">
        <f>VLOOKUP($B99,Hitters!$A1:$R401,7,FALSE)</f>
        <v>65.266666666666694</v>
      </c>
      <c r="Q99" s="30">
        <f>VLOOKUP($B99,Hitters!$A1:$R401,8,FALSE)</f>
        <v>16.3333333333333</v>
      </c>
      <c r="R99" s="32">
        <f>VLOOKUP($B99,Hitters!$A1:$R401,9,FALSE)</f>
        <v>0.27758730158730199</v>
      </c>
      <c r="S99" s="32">
        <f>VLOOKUP($B99,Hitters!$A1:$R401,10,FALSE)</f>
        <v>0.32664973878527898</v>
      </c>
      <c r="T99" s="30">
        <f>VLOOKUP($B99,Hitters!$A1:$R401,11,FALSE)</f>
        <v>145.73333333333301</v>
      </c>
      <c r="U99" s="30">
        <f>VLOOKUP($B99,Hitters!$A1:$R401,12,FALSE)</f>
        <v>24.6</v>
      </c>
      <c r="V99" s="30">
        <f>VLOOKUP($B99,Hitters!$A1:$R401,13,FALSE)</f>
        <v>1.7333333333333301</v>
      </c>
      <c r="W99" s="30">
        <f>VLOOKUP($B99,Hitters!$A1:$R401,14,FALSE)</f>
        <v>40.799999999999997</v>
      </c>
      <c r="X99" s="30">
        <f>VLOOKUP($B99,Hitters!$A1:$R401,15,FALSE)</f>
        <v>106.8</v>
      </c>
      <c r="Y99" s="32">
        <f>VLOOKUP($B99,Hitters!$A1:$R401,16,FALSE)</f>
        <v>0.42399999999999999</v>
      </c>
      <c r="Z99" s="32">
        <f>VLOOKUP($B99,Hitters!$A1:$R401,17,FALSE)</f>
        <v>0.75064973878527896</v>
      </c>
      <c r="AA99" s="30">
        <f>VLOOKUP($B99,Hitters!$A1:$R401,18,FALSE)</f>
        <v>0</v>
      </c>
      <c r="AB99" s="30"/>
      <c r="AC99" s="30"/>
      <c r="AD99" s="32"/>
      <c r="AE99" s="32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1:44" ht="18.600000000000001" customHeight="1">
      <c r="A100" s="24">
        <f ca="1">RANK(I100,I$2:I$651)</f>
        <v>171</v>
      </c>
      <c r="B100" s="25" t="s">
        <v>268</v>
      </c>
      <c r="C100" s="26" t="s">
        <v>158</v>
      </c>
      <c r="D100" s="26" t="s">
        <v>70</v>
      </c>
      <c r="E100" s="47" t="s">
        <v>11</v>
      </c>
      <c r="F100" s="48">
        <f ca="1">VLOOKUP(B100,'2B'!A1:I50,IF(Settings!$J$13="points",4,7),FALSE)</f>
        <v>10</v>
      </c>
      <c r="G100" s="29">
        <f>(M100*Settings!$B$2)+(N100*Settings!$B$3)+(O100*Settings!$B$4)+(P100*Settings!$B$5)+(Q100*Settings!$B$6)+(T100*Settings!$B$9)+(U100*Settings!$B$10)+(V100*Settings!$B$11)+(W100*Settings!$B$12)+(X100*Settings!$B$13)+(AA100*Settings!$B$16)</f>
        <v>429.13333333333338</v>
      </c>
      <c r="H100" s="30">
        <f>VLOOKUP(B100,'Standard Deviations'!$A1:$D651,4,FALSE)</f>
        <v>3.3463225934038792</v>
      </c>
      <c r="I100" s="31">
        <f ca="1">IF(Settings!$J$16="no",VLOOKUP(B100,'2B'!A1:I50,IF(Settings!$J$13="points",6,9),FALSE),VLOOKUP(B100,'2B+SS'!$A1:$I94,IF(Settings!$J$13="points",6,9),FALSE))</f>
        <v>1.0385851794255498</v>
      </c>
      <c r="J100" s="30"/>
      <c r="K100" s="30">
        <f ca="1">J100-A100</f>
        <v>-171</v>
      </c>
      <c r="L100" s="30"/>
      <c r="M100" s="30">
        <f>VLOOKUP($B100,Hitters!$A1:$R401,4,FALSE)</f>
        <v>504.33333333333297</v>
      </c>
      <c r="N100" s="30">
        <f>VLOOKUP($B100,Hitters!$A1:$R401,5,FALSE)</f>
        <v>73.3333333333333</v>
      </c>
      <c r="O100" s="30">
        <f>VLOOKUP($B100,Hitters!$A1:$R401,6,FALSE)</f>
        <v>20.966666666666701</v>
      </c>
      <c r="P100" s="30">
        <f>VLOOKUP($B100,Hitters!$A1:$R401,7,FALSE)</f>
        <v>72.366666666666703</v>
      </c>
      <c r="Q100" s="30">
        <f>VLOOKUP($B100,Hitters!$A1:$R401,8,FALSE)</f>
        <v>7.3666666666666698</v>
      </c>
      <c r="R100" s="32">
        <f>VLOOKUP($B100,Hitters!$A1:$R401,9,FALSE)</f>
        <v>0.257171183079974</v>
      </c>
      <c r="S100" s="32">
        <f>VLOOKUP($B100,Hitters!$A1:$R401,10,FALSE)</f>
        <v>0.32873063300389599</v>
      </c>
      <c r="T100" s="30">
        <f>VLOOKUP($B100,Hitters!$A1:$R401,11,FALSE)</f>
        <v>129.69999999999999</v>
      </c>
      <c r="U100" s="30">
        <f>VLOOKUP($B100,Hitters!$A1:$R401,12,FALSE)</f>
        <v>25.8</v>
      </c>
      <c r="V100" s="30">
        <f>VLOOKUP($B100,Hitters!$A1:$R401,13,FALSE)</f>
        <v>1.0333333333333301</v>
      </c>
      <c r="W100" s="30">
        <f>VLOOKUP($B100,Hitters!$A1:$R401,14,FALSE)</f>
        <v>56.233333333333299</v>
      </c>
      <c r="X100" s="30">
        <f>VLOOKUP($B100,Hitters!$A1:$R401,15,FALSE)</f>
        <v>111.6</v>
      </c>
      <c r="Y100" s="32">
        <f>VLOOKUP($B100,Hitters!$A1:$R401,16,FALSE)</f>
        <v>0.437144745538665</v>
      </c>
      <c r="Z100" s="32">
        <f>VLOOKUP($B100,Hitters!$A1:$R401,17,FALSE)</f>
        <v>0.76587537854256005</v>
      </c>
      <c r="AA100" s="30">
        <f>VLOOKUP($B100,Hitters!$A1:$R401,18,FALSE)</f>
        <v>0</v>
      </c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1:44" ht="18.600000000000001" customHeight="1">
      <c r="A101" s="24">
        <f ca="1">RANK(I101,I$2:I$651)</f>
        <v>227</v>
      </c>
      <c r="B101" s="25" t="s">
        <v>325</v>
      </c>
      <c r="C101" s="26" t="s">
        <v>122</v>
      </c>
      <c r="D101" s="26" t="s">
        <v>75</v>
      </c>
      <c r="E101" s="47" t="s">
        <v>11</v>
      </c>
      <c r="F101" s="48">
        <f ca="1">VLOOKUP(B101,'2B'!A1:I50,IF(Settings!$J$13="points",4,7),FALSE)</f>
        <v>16</v>
      </c>
      <c r="G101" s="29">
        <f>(M101*Settings!$B$2)+(N101*Settings!$B$3)+(O101*Settings!$B$4)+(P101*Settings!$B$5)+(Q101*Settings!$B$6)+(T101*Settings!$B$9)+(U101*Settings!$B$10)+(V101*Settings!$B$11)+(W101*Settings!$B$12)+(X101*Settings!$B$13)+(AA101*Settings!$B$16)</f>
        <v>428.93333333333368</v>
      </c>
      <c r="H101" s="30">
        <f>VLOOKUP(B101,'Standard Deviations'!$A1:$D651,4,FALSE)</f>
        <v>2.4106394875628472</v>
      </c>
      <c r="I101" s="31">
        <f ca="1">IF(Settings!$J$16="no",VLOOKUP(B101,'2B'!A1:I50,IF(Settings!$J$13="points",6,9),FALSE),VLOOKUP(B101,'2B+SS'!$A1:$I94,IF(Settings!$J$13="points",6,9),FALSE))</f>
        <v>0.10290472966053699</v>
      </c>
      <c r="J101" s="30"/>
      <c r="K101" s="30">
        <f ca="1">J101-A101</f>
        <v>-227</v>
      </c>
      <c r="L101" s="30"/>
      <c r="M101" s="30">
        <f>VLOOKUP($B101,Hitters!$A1:$R401,4,FALSE)</f>
        <v>523.66666666666697</v>
      </c>
      <c r="N101" s="30">
        <f>VLOOKUP($B101,Hitters!$A1:$R401,5,FALSE)</f>
        <v>74.033333333333303</v>
      </c>
      <c r="O101" s="30">
        <f>VLOOKUP($B101,Hitters!$A1:$R401,6,FALSE)</f>
        <v>15</v>
      </c>
      <c r="P101" s="30">
        <f>VLOOKUP($B101,Hitters!$A1:$R401,7,FALSE)</f>
        <v>63.033333333333303</v>
      </c>
      <c r="Q101" s="30">
        <f>VLOOKUP($B101,Hitters!$A1:$R401,8,FALSE)</f>
        <v>4.56666666666667</v>
      </c>
      <c r="R101" s="32">
        <f>VLOOKUP($B101,Hitters!$A1:$R401,9,FALSE)</f>
        <v>0.27014640356460901</v>
      </c>
      <c r="S101" s="32">
        <f>VLOOKUP($B101,Hitters!$A1:$R401,10,FALSE)</f>
        <v>0.33070176953950498</v>
      </c>
      <c r="T101" s="30">
        <f>VLOOKUP($B101,Hitters!$A1:$R401,11,FALSE)</f>
        <v>141.46666666666701</v>
      </c>
      <c r="U101" s="30">
        <f>VLOOKUP($B101,Hitters!$A1:$R401,12,FALSE)</f>
        <v>37</v>
      </c>
      <c r="V101" s="30">
        <f>VLOOKUP($B101,Hitters!$A1:$R401,13,FALSE)</f>
        <v>2.3333333333333299</v>
      </c>
      <c r="W101" s="30">
        <f>VLOOKUP($B101,Hitters!$A1:$R401,14,FALSE)</f>
        <v>49.966666666666697</v>
      </c>
      <c r="X101" s="30">
        <f>VLOOKUP($B101,Hitters!$A1:$R401,15,FALSE)</f>
        <v>99.4</v>
      </c>
      <c r="Y101" s="32">
        <f>VLOOKUP($B101,Hitters!$A1:$R401,16,FALSE)</f>
        <v>0.43564608529599003</v>
      </c>
      <c r="Z101" s="32">
        <f>VLOOKUP($B101,Hitters!$A1:$R401,17,FALSE)</f>
        <v>0.76634785483549495</v>
      </c>
      <c r="AA101" s="30">
        <f>VLOOKUP($B101,Hitters!$A1:$R401,18,FALSE)</f>
        <v>0</v>
      </c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1:44" ht="18.600000000000001" customHeight="1">
      <c r="A102" s="24">
        <f ca="1">RANK(I102,I$2:I$651)</f>
        <v>152</v>
      </c>
      <c r="B102" s="25" t="s">
        <v>248</v>
      </c>
      <c r="C102" s="26" t="s">
        <v>77</v>
      </c>
      <c r="D102" s="26" t="s">
        <v>70</v>
      </c>
      <c r="E102" s="37" t="s">
        <v>27</v>
      </c>
      <c r="F102" s="38">
        <f ca="1">VLOOKUP(B102,SS!A1:I45,IF(Settings!$J$13="points",4,7),FALSE)</f>
        <v>12</v>
      </c>
      <c r="G102" s="29">
        <f>(M102*Settings!$B$2)+(N102*Settings!$B$3)+(O102*Settings!$B$4)+(P102*Settings!$B$5)+(Q102*Settings!$B$6)+(T102*Settings!$B$9)+(U102*Settings!$B$10)+(V102*Settings!$B$11)+(W102*Settings!$B$12)+(X102*Settings!$B$13)+(AA102*Settings!$B$16)</f>
        <v>428.69999999999982</v>
      </c>
      <c r="H102" s="30">
        <f>VLOOKUP(B102,'Standard Deviations'!$A1:$D651,4,FALSE)</f>
        <v>4.4713149284207452</v>
      </c>
      <c r="I102" s="31">
        <f ca="1">IF(Settings!$J$16="no",VLOOKUP(B102,SS!A1:I45,IF(Settings!$J$13="points",6,9),FALSE),VLOOKUP(B102,'2B+SS'!$A1:$I94,IF(Settings!$J$13="points",6,9),FALSE))</f>
        <v>1.4668918988172881</v>
      </c>
      <c r="J102" s="30"/>
      <c r="K102" s="30">
        <f ca="1">J102-A102</f>
        <v>-152</v>
      </c>
      <c r="L102" s="30"/>
      <c r="M102" s="30">
        <f>VLOOKUP($B102,Hitters!$A1:$R401,4,FALSE)</f>
        <v>578.66666666666697</v>
      </c>
      <c r="N102" s="30">
        <f>VLOOKUP($B102,Hitters!$A1:$R401,5,FALSE)</f>
        <v>79.133333333333297</v>
      </c>
      <c r="O102" s="30">
        <f>VLOOKUP($B102,Hitters!$A1:$R401,6,FALSE)</f>
        <v>11.966666666666701</v>
      </c>
      <c r="P102" s="30">
        <f>VLOOKUP($B102,Hitters!$A1:$R401,7,FALSE)</f>
        <v>64.3</v>
      </c>
      <c r="Q102" s="30">
        <f>VLOOKUP($B102,Hitters!$A1:$R401,8,FALSE)</f>
        <v>15.533333333333299</v>
      </c>
      <c r="R102" s="32">
        <f>VLOOKUP($B102,Hitters!$A1:$R401,9,FALSE)</f>
        <v>0.28035714285714303</v>
      </c>
      <c r="S102" s="32">
        <f>VLOOKUP($B102,Hitters!$A1:$R401,10,FALSE)</f>
        <v>0.31042104460873399</v>
      </c>
      <c r="T102" s="30">
        <f>VLOOKUP($B102,Hitters!$A1:$R401,11,FALSE)</f>
        <v>162.23333333333301</v>
      </c>
      <c r="U102" s="30">
        <f>VLOOKUP($B102,Hitters!$A1:$R401,12,FALSE)</f>
        <v>26.066666666666698</v>
      </c>
      <c r="V102" s="30">
        <f>VLOOKUP($B102,Hitters!$A1:$R401,13,FALSE)</f>
        <v>6.5333333333333297</v>
      </c>
      <c r="W102" s="30">
        <f>VLOOKUP($B102,Hitters!$A1:$R401,14,FALSE)</f>
        <v>27.8333333333333</v>
      </c>
      <c r="X102" s="30">
        <f>VLOOKUP($B102,Hitters!$A1:$R401,15,FALSE)</f>
        <v>110.933333333333</v>
      </c>
      <c r="Y102" s="32">
        <f>VLOOKUP($B102,Hitters!$A1:$R401,16,FALSE)</f>
        <v>0.41002304147465402</v>
      </c>
      <c r="Z102" s="32">
        <f>VLOOKUP($B102,Hitters!$A1:$R401,17,FALSE)</f>
        <v>0.72044408608338895</v>
      </c>
      <c r="AA102" s="30">
        <f>VLOOKUP($B102,Hitters!$A1:$R401,18,FALSE)</f>
        <v>0</v>
      </c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1:44" ht="18.600000000000001" customHeight="1">
      <c r="A103" s="24">
        <f ca="1">RANK(I103,I$2:I$651)</f>
        <v>79</v>
      </c>
      <c r="B103" s="25" t="s">
        <v>172</v>
      </c>
      <c r="C103" s="26" t="s">
        <v>69</v>
      </c>
      <c r="D103" s="26" t="s">
        <v>70</v>
      </c>
      <c r="E103" s="35" t="s">
        <v>31</v>
      </c>
      <c r="F103" s="36">
        <f ca="1">VLOOKUP(B103,SP!A1:I161,IF(Settings!$J$13="points",4,7),FALSE)</f>
        <v>27</v>
      </c>
      <c r="G103" s="29">
        <f>(AC103*Settings!$F$2)+(AF103*Settings!$F$5)+(AG103*Settings!$F$6)+(AH103*Settings!$F$7)+(AI103*Settings!$F$8)+(AJ103*Settings!$F$9)+(AK103*Settings!$F$10)+(AL103*Settings!$F$11)+(AM103*Settings!$F$12)+(AN103*Settings!$F$13)+(AO103*Settings!$F$14)+(AP103*Settings!$F$15)+(AQ103*Settings!$F$16)+(AR103*Settings!$F$17)</f>
        <v>427.95</v>
      </c>
      <c r="H103" s="30">
        <f>VLOOKUP(B103,'Standard Deviations'!$A1:$D651,4,FALSE)</f>
        <v>3.7392159070546627</v>
      </c>
      <c r="I103" s="31">
        <f ca="1">IF(Settings!$J$16="no",VLOOKUP(B103,SP!A1:I161,IF(Settings!$J$13="points",6,9),FALSE),VLOOKUP(B103,'SP+RP'!$A1:$I251,IF(Settings!$J$13="points",6,9),FALSE))</f>
        <v>3.6032374915195664</v>
      </c>
      <c r="J103" s="30"/>
      <c r="K103" s="30">
        <f ca="1">J103-A103</f>
        <v>-79</v>
      </c>
      <c r="L103" s="30"/>
      <c r="M103" s="30"/>
      <c r="N103" s="30"/>
      <c r="O103" s="30"/>
      <c r="P103" s="30"/>
      <c r="Q103" s="30"/>
      <c r="R103" s="32"/>
      <c r="S103" s="32"/>
      <c r="T103" s="30"/>
      <c r="U103" s="30"/>
      <c r="V103" s="30"/>
      <c r="W103" s="30"/>
      <c r="X103" s="30"/>
      <c r="Y103" s="32"/>
      <c r="Z103" s="32"/>
      <c r="AA103" s="30"/>
      <c r="AB103" s="30"/>
      <c r="AC103" s="30">
        <f>VLOOKUP($B103,Pitchers!$A1:$S251,4,FALSE)</f>
        <v>168.96666666666667</v>
      </c>
      <c r="AD103" s="32">
        <f>VLOOKUP($B103,Pitchers!$A1:$S251,5,FALSE)</f>
        <v>3.5101597948313272</v>
      </c>
      <c r="AE103" s="32">
        <f>VLOOKUP($B103,Pitchers!$A1:$S251,6,FALSE)</f>
        <v>1.1090944959558098</v>
      </c>
      <c r="AF103" s="30">
        <f>VLOOKUP($B103,Pitchers!$A1:$S251,7,FALSE)</f>
        <v>175.23333333333335</v>
      </c>
      <c r="AG103" s="30">
        <f>VLOOKUP($B103,Pitchers!$A1:$S251,8,FALSE)</f>
        <v>11.200000000000001</v>
      </c>
      <c r="AH103" s="30">
        <f>VLOOKUP($B103,Pitchers!$A1:$S251,9,FALSE)</f>
        <v>0</v>
      </c>
      <c r="AI103" s="30">
        <f>VLOOKUP($B103,Pitchers!$A1:$S251,10,FALSE)</f>
        <v>65.899999999999991</v>
      </c>
      <c r="AJ103" s="30">
        <f>VLOOKUP($B103,Pitchers!$A1:$S251,11,FALSE)</f>
        <v>141.16666666666666</v>
      </c>
      <c r="AK103" s="30">
        <f>VLOOKUP($B103,Pitchers!$A1:$S251,12,FALSE)</f>
        <v>46.233333333333327</v>
      </c>
      <c r="AL103" s="30">
        <f>VLOOKUP($B103,Pitchers!$A1:$S251,13,FALSE)</f>
        <v>26</v>
      </c>
      <c r="AM103" s="30">
        <f>VLOOKUP($B103,Pitchers!$A1:$S251,14,FALSE)</f>
        <v>29.266666666666666</v>
      </c>
      <c r="AN103" s="30">
        <f>VLOOKUP($B103,Pitchers!$A1:$S251,15,FALSE)</f>
        <v>29.266666666666666</v>
      </c>
      <c r="AO103" s="30">
        <f>VLOOKUP($B103,Pitchers!$A1:$S251,16,FALSE)</f>
        <v>6.7333333333333334</v>
      </c>
      <c r="AP103" s="30">
        <f>VLOOKUP($B103,Pitchers!$A1:$S251,17,FALSE)</f>
        <v>14</v>
      </c>
      <c r="AQ103" s="30">
        <f>VLOOKUP($B103,Pitchers!$A1:$S251,18,FALSE)</f>
        <v>0</v>
      </c>
      <c r="AR103" s="30">
        <f>VLOOKUP($B103,Pitchers!$A1:$S251,19,FALSE)</f>
        <v>0</v>
      </c>
    </row>
    <row r="104" spans="1:44" ht="18.600000000000001" customHeight="1">
      <c r="A104" s="24">
        <f ca="1">RANK(I104,I$2:I$651)</f>
        <v>94</v>
      </c>
      <c r="B104" s="25" t="s">
        <v>188</v>
      </c>
      <c r="C104" s="26" t="s">
        <v>77</v>
      </c>
      <c r="D104" s="26" t="s">
        <v>70</v>
      </c>
      <c r="E104" s="47" t="s">
        <v>11</v>
      </c>
      <c r="F104" s="48">
        <f ca="1">VLOOKUP(B104,'2B'!A1:I50,IF(Settings!$J$13="points",4,7),FALSE)</f>
        <v>4</v>
      </c>
      <c r="G104" s="29">
        <f>(M104*Settings!$B$2)+(N104*Settings!$B$3)+(O104*Settings!$B$4)+(P104*Settings!$B$5)+(Q104*Settings!$B$6)+(T104*Settings!$B$9)+(U104*Settings!$B$10)+(V104*Settings!$B$11)+(W104*Settings!$B$12)+(X104*Settings!$B$13)+(AA104*Settings!$B$16)</f>
        <v>427.54999999999961</v>
      </c>
      <c r="H104" s="30">
        <f>VLOOKUP(B104,'Standard Deviations'!$A1:$D651,4,FALSE)</f>
        <v>5.5132144367237998</v>
      </c>
      <c r="I104" s="31">
        <f ca="1">IF(Settings!$J$16="no",VLOOKUP(B104,'2B'!A1:I50,IF(Settings!$J$13="points",6,9),FALSE),VLOOKUP(B104,'2B+SS'!$A1:$I94,IF(Settings!$J$13="points",6,9),FALSE))</f>
        <v>3.205481724317166</v>
      </c>
      <c r="J104" s="30"/>
      <c r="K104" s="30">
        <f ca="1">J104-A104</f>
        <v>-94</v>
      </c>
      <c r="L104" s="30"/>
      <c r="M104" s="30">
        <f>VLOOKUP($B104,Hitters!$A1:$R401,4,FALSE)</f>
        <v>504.33333333333297</v>
      </c>
      <c r="N104" s="30">
        <f>VLOOKUP($B104,Hitters!$A1:$R401,5,FALSE)</f>
        <v>70.3</v>
      </c>
      <c r="O104" s="30">
        <f>VLOOKUP($B104,Hitters!$A1:$R401,6,FALSE)</f>
        <v>16.8333333333333</v>
      </c>
      <c r="P104" s="30">
        <f>VLOOKUP($B104,Hitters!$A1:$R401,7,FALSE)</f>
        <v>67.3</v>
      </c>
      <c r="Q104" s="30">
        <f>VLOOKUP($B104,Hitters!$A1:$R401,8,FALSE)</f>
        <v>21.733333333333299</v>
      </c>
      <c r="R104" s="32">
        <f>VLOOKUP($B104,Hitters!$A1:$R401,9,FALSE)</f>
        <v>0.275479180436219</v>
      </c>
      <c r="S104" s="32">
        <f>VLOOKUP($B104,Hitters!$A1:$R401,10,FALSE)</f>
        <v>0.31854945027991899</v>
      </c>
      <c r="T104" s="30">
        <f>VLOOKUP($B104,Hitters!$A1:$R401,11,FALSE)</f>
        <v>138.933333333333</v>
      </c>
      <c r="U104" s="30">
        <f>VLOOKUP($B104,Hitters!$A1:$R401,12,FALSE)</f>
        <v>27.5</v>
      </c>
      <c r="V104" s="30">
        <f>VLOOKUP($B104,Hitters!$A1:$R401,13,FALSE)</f>
        <v>2.9</v>
      </c>
      <c r="W104" s="30">
        <f>VLOOKUP($B104,Hitters!$A1:$R401,14,FALSE)</f>
        <v>34.233333333333299</v>
      </c>
      <c r="X104" s="30">
        <f>VLOOKUP($B104,Hitters!$A1:$R401,15,FALSE)</f>
        <v>115.433333333333</v>
      </c>
      <c r="Y104" s="32">
        <f>VLOOKUP($B104,Hitters!$A1:$R401,16,FALSE)</f>
        <v>0.44163912756113699</v>
      </c>
      <c r="Z104" s="32">
        <f>VLOOKUP($B104,Hitters!$A1:$R401,17,FALSE)</f>
        <v>0.76018857784105598</v>
      </c>
      <c r="AA104" s="30">
        <f>VLOOKUP($B104,Hitters!$A1:$R401,18,FALSE)</f>
        <v>0</v>
      </c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1:44" ht="18.600000000000001" customHeight="1">
      <c r="A105" s="24">
        <f ca="1">RANK(I105,I$2:I$651)</f>
        <v>122</v>
      </c>
      <c r="B105" s="25" t="s">
        <v>215</v>
      </c>
      <c r="C105" s="26" t="s">
        <v>101</v>
      </c>
      <c r="D105" s="26" t="s">
        <v>70</v>
      </c>
      <c r="E105" s="33" t="s">
        <v>15</v>
      </c>
      <c r="F105" s="34">
        <f ca="1">VLOOKUP(B105,'3B'!A1:I55,IF(Settings!$J$13="points",4,7),FALSE)</f>
        <v>8</v>
      </c>
      <c r="G105" s="29">
        <f>(M105*Settings!$B$2)+(N105*Settings!$B$3)+(O105*Settings!$B$4)+(P105*Settings!$B$5)+(Q105*Settings!$B$6)+(T105*Settings!$B$9)+(U105*Settings!$B$10)+(V105*Settings!$B$11)+(W105*Settings!$B$12)+(X105*Settings!$B$13)+(AA105*Settings!$B$16)</f>
        <v>427.48333333333289</v>
      </c>
      <c r="H105" s="30">
        <f>VLOOKUP(B105,'Standard Deviations'!$A1:$D651,4,FALSE)</f>
        <v>2.951055115117712</v>
      </c>
      <c r="I105" s="31">
        <f ca="1">IF(Settings!$J$15="no",VLOOKUP(B105,'3B'!A1:I55,IF(Settings!$J$13="points",6,9),FALSE),VLOOKUP(B105,'1B+3B'!$A1:$I104,IF(Settings!$J$13="points",6,9),FALSE))</f>
        <v>2.2233723446635794</v>
      </c>
      <c r="J105" s="30"/>
      <c r="K105" s="30">
        <f ca="1">J105-A105</f>
        <v>-122</v>
      </c>
      <c r="L105" s="30"/>
      <c r="M105" s="30">
        <f>VLOOKUP($B105,Hitters!$A1:$R401,4,FALSE)</f>
        <v>515</v>
      </c>
      <c r="N105" s="30">
        <f>VLOOKUP($B105,Hitters!$A1:$R401,5,FALSE)</f>
        <v>66.099999999999994</v>
      </c>
      <c r="O105" s="30">
        <f>VLOOKUP($B105,Hitters!$A1:$R401,6,FALSE)</f>
        <v>18.733333333333299</v>
      </c>
      <c r="P105" s="30">
        <f>VLOOKUP($B105,Hitters!$A1:$R401,7,FALSE)</f>
        <v>75.433333333333294</v>
      </c>
      <c r="Q105" s="30">
        <f>VLOOKUP($B105,Hitters!$A1:$R401,8,FALSE)</f>
        <v>8.1666666666666696</v>
      </c>
      <c r="R105" s="32">
        <f>VLOOKUP($B105,Hitters!$A1:$R401,9,FALSE)</f>
        <v>0.25618122977346303</v>
      </c>
      <c r="S105" s="32">
        <f>VLOOKUP($B105,Hitters!$A1:$R401,10,FALSE)</f>
        <v>0.33719375124491402</v>
      </c>
      <c r="T105" s="30">
        <f>VLOOKUP($B105,Hitters!$A1:$R401,11,FALSE)</f>
        <v>131.933333333333</v>
      </c>
      <c r="U105" s="30">
        <f>VLOOKUP($B105,Hitters!$A1:$R401,12,FALSE)</f>
        <v>29.466666666666701</v>
      </c>
      <c r="V105" s="30">
        <f>VLOOKUP($B105,Hitters!$A1:$R401,13,FALSE)</f>
        <v>4.3333333333333304</v>
      </c>
      <c r="W105" s="30">
        <f>VLOOKUP($B105,Hitters!$A1:$R401,14,FALSE)</f>
        <v>65.566666666666706</v>
      </c>
      <c r="X105" s="30">
        <f>VLOOKUP($B105,Hitters!$A1:$R401,15,FALSE)</f>
        <v>149.5</v>
      </c>
      <c r="Y105" s="32">
        <f>VLOOKUP($B105,Hitters!$A1:$R401,16,FALSE)</f>
        <v>0.439352750809061</v>
      </c>
      <c r="Z105" s="32">
        <f>VLOOKUP($B105,Hitters!$A1:$R401,17,FALSE)</f>
        <v>0.77654650205397502</v>
      </c>
      <c r="AA105" s="30">
        <f>VLOOKUP($B105,Hitters!$A1:$R401,18,FALSE)</f>
        <v>0</v>
      </c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1:44" ht="20.100000000000001" customHeight="1">
      <c r="A106" s="24">
        <f ca="1">RANK(I106,I$2:I$651)</f>
        <v>67</v>
      </c>
      <c r="B106" s="25" t="s">
        <v>159</v>
      </c>
      <c r="C106" s="26" t="s">
        <v>160</v>
      </c>
      <c r="D106" s="26" t="s">
        <v>75</v>
      </c>
      <c r="E106" s="27" t="s">
        <v>23</v>
      </c>
      <c r="F106" s="28">
        <f ca="1">VLOOKUP(B106,OF!A1:I139,IF(Settings!$J$13="points",4,7),FALSE)</f>
        <v>25</v>
      </c>
      <c r="G106" s="29">
        <f>(M106*Settings!$B$2)+(N106*Settings!$B$3)+(O106*Settings!$B$4)+(P106*Settings!$B$5)+(Q106*Settings!$B$6)+(T106*Settings!$B$9)+(U106*Settings!$B$10)+(V106*Settings!$B$11)+(W106*Settings!$B$12)+(X106*Settings!$B$13)+(AA106*Settings!$B$16)</f>
        <v>427.40000000000015</v>
      </c>
      <c r="H106" s="30">
        <f>VLOOKUP(B106,'Standard Deviations'!$A1:$D651,4,FALSE)</f>
        <v>3.9509610017206085</v>
      </c>
      <c r="I106" s="31">
        <f ca="1">VLOOKUP(B106,OF!A1:I139,IF(Settings!$J$13="points",6,9),FALSE)</f>
        <v>3.8322462294192143</v>
      </c>
      <c r="J106" s="30"/>
      <c r="K106" s="30">
        <f ca="1">J106-A106</f>
        <v>-67</v>
      </c>
      <c r="L106" s="30"/>
      <c r="M106" s="30">
        <f>VLOOKUP($B106,Hitters!$A1:$R401,4,FALSE)</f>
        <v>499.66666666666703</v>
      </c>
      <c r="N106" s="30">
        <f>VLOOKUP($B106,Hitters!$A1:$R401,5,FALSE)</f>
        <v>71.633333333333297</v>
      </c>
      <c r="O106" s="30">
        <f>VLOOKUP($B106,Hitters!$A1:$R401,6,FALSE)</f>
        <v>20.766666666666701</v>
      </c>
      <c r="P106" s="30">
        <f>VLOOKUP($B106,Hitters!$A1:$R401,7,FALSE)</f>
        <v>69.466666666666697</v>
      </c>
      <c r="Q106" s="30">
        <f>VLOOKUP($B106,Hitters!$A1:$R401,8,FALSE)</f>
        <v>10.8333333333333</v>
      </c>
      <c r="R106" s="32">
        <f>VLOOKUP($B106,Hitters!$A1:$R401,9,FALSE)</f>
        <v>0.26370913942628399</v>
      </c>
      <c r="S106" s="32">
        <f>VLOOKUP($B106,Hitters!$A1:$R401,10,FALSE)</f>
        <v>0.337107946835428</v>
      </c>
      <c r="T106" s="30">
        <f>VLOOKUP($B106,Hitters!$A1:$R401,11,FALSE)</f>
        <v>131.76666666666699</v>
      </c>
      <c r="U106" s="30">
        <f>VLOOKUP($B106,Hitters!$A1:$R401,12,FALSE)</f>
        <v>25.933333333333302</v>
      </c>
      <c r="V106" s="30">
        <f>VLOOKUP($B106,Hitters!$A1:$R401,13,FALSE)</f>
        <v>1.93333333333333</v>
      </c>
      <c r="W106" s="30">
        <f>VLOOKUP($B106,Hitters!$A1:$R401,14,FALSE)</f>
        <v>57.866666666666703</v>
      </c>
      <c r="X106" s="30">
        <f>VLOOKUP($B106,Hitters!$A1:$R401,15,FALSE)</f>
        <v>131.46666666666701</v>
      </c>
      <c r="Y106" s="32">
        <f>VLOOKUP($B106,Hitters!$A1:$R401,16,FALSE)</f>
        <v>0.44803202134756498</v>
      </c>
      <c r="Z106" s="32">
        <f>VLOOKUP($B106,Hitters!$A1:$R401,17,FALSE)</f>
        <v>0.78513996818299303</v>
      </c>
      <c r="AA106" s="30">
        <f>VLOOKUP($B106,Hitters!$A1:$R401,18,FALSE)</f>
        <v>0</v>
      </c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  <row r="107" spans="1:44" ht="18.600000000000001" customHeight="1">
      <c r="A107" s="24">
        <f ca="1">RANK(I107,I$2:I$651)</f>
        <v>218</v>
      </c>
      <c r="B107" s="25" t="s">
        <v>315</v>
      </c>
      <c r="C107" s="26" t="s">
        <v>82</v>
      </c>
      <c r="D107" s="26" t="s">
        <v>75</v>
      </c>
      <c r="E107" s="43" t="s">
        <v>114</v>
      </c>
      <c r="F107" s="44">
        <f ca="1">VLOOKUP(B107,'1B'!A1:I63,IF(Settings!$J$13="points",4,7),FALSE)</f>
        <v>16</v>
      </c>
      <c r="G107" s="29">
        <f>(M107*Settings!$B$2)+(N107*Settings!$B$3)+(O107*Settings!$B$4)+(P107*Settings!$B$5)+(Q107*Settings!$B$6)+(T107*Settings!$B$9)+(U107*Settings!$B$10)+(V107*Settings!$B$11)+(W107*Settings!$B$12)+(X107*Settings!$B$13)+(AA107*Settings!$B$16)</f>
        <v>426.31666666666695</v>
      </c>
      <c r="H107" s="30">
        <f>VLOOKUP(B107,'Standard Deviations'!$A1:$D651,4,FALSE)</f>
        <v>2.8019364260973769</v>
      </c>
      <c r="I107" s="31">
        <f ca="1">VLOOKUP(B107,'1B'!A1:I63,IF(Settings!$J$13="points",6,9),FALSE)</f>
        <v>0.22240813115764935</v>
      </c>
      <c r="J107" s="30"/>
      <c r="K107" s="30">
        <f ca="1">J107-A107</f>
        <v>-218</v>
      </c>
      <c r="L107" s="30"/>
      <c r="M107" s="30">
        <f>VLOOKUP($B107,Hitters!$A1:$R401,4,FALSE)</f>
        <v>523.33333333333303</v>
      </c>
      <c r="N107" s="30">
        <f>VLOOKUP($B107,Hitters!$A1:$R401,5,FALSE)</f>
        <v>73.8333333333333</v>
      </c>
      <c r="O107" s="30">
        <f>VLOOKUP($B107,Hitters!$A1:$R401,6,FALSE)</f>
        <v>20.733333333333299</v>
      </c>
      <c r="P107" s="30">
        <f>VLOOKUP($B107,Hitters!$A1:$R401,7,FALSE)</f>
        <v>77.766666666666694</v>
      </c>
      <c r="Q107" s="30">
        <f>VLOOKUP($B107,Hitters!$A1:$R401,8,FALSE)</f>
        <v>0.6</v>
      </c>
      <c r="R107" s="32">
        <f>VLOOKUP($B107,Hitters!$A1:$R401,9,FALSE)</f>
        <v>0.26191082802547799</v>
      </c>
      <c r="S107" s="32">
        <f>VLOOKUP($B107,Hitters!$A1:$R401,10,FALSE)</f>
        <v>0.32433987228901801</v>
      </c>
      <c r="T107" s="30">
        <f>VLOOKUP($B107,Hitters!$A1:$R401,11,FALSE)</f>
        <v>137.066666666667</v>
      </c>
      <c r="U107" s="30">
        <f>VLOOKUP($B107,Hitters!$A1:$R401,12,FALSE)</f>
        <v>35.233333333333299</v>
      </c>
      <c r="V107" s="30">
        <f>VLOOKUP($B107,Hitters!$A1:$R401,13,FALSE)</f>
        <v>1.3333333333333299</v>
      </c>
      <c r="W107" s="30">
        <f>VLOOKUP($B107,Hitters!$A1:$R401,14,FALSE)</f>
        <v>50.866666666666703</v>
      </c>
      <c r="X107" s="30">
        <f>VLOOKUP($B107,Hitters!$A1:$R401,15,FALSE)</f>
        <v>143.63333333333301</v>
      </c>
      <c r="Y107" s="32">
        <f>VLOOKUP($B107,Hitters!$A1:$R401,16,FALSE)</f>
        <v>0.45318471337579602</v>
      </c>
      <c r="Z107" s="32">
        <f>VLOOKUP($B107,Hitters!$A1:$R401,17,FALSE)</f>
        <v>0.77752458566481397</v>
      </c>
      <c r="AA107" s="30">
        <f>VLOOKUP($B107,Hitters!$A1:$R401,18,FALSE)</f>
        <v>0</v>
      </c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</row>
    <row r="108" spans="1:44" ht="18.600000000000001" customHeight="1">
      <c r="A108" s="24">
        <f ca="1">RANK(I108,I$2:I$651)</f>
        <v>98</v>
      </c>
      <c r="B108" s="25" t="s">
        <v>192</v>
      </c>
      <c r="C108" s="26" t="s">
        <v>160</v>
      </c>
      <c r="D108" s="26" t="s">
        <v>75</v>
      </c>
      <c r="E108" s="27" t="s">
        <v>23</v>
      </c>
      <c r="F108" s="28">
        <f ca="1">VLOOKUP(B108,OF!A1:I139,IF(Settings!$J$13="points",4,7),FALSE)</f>
        <v>34</v>
      </c>
      <c r="G108" s="29">
        <f>(M108*Settings!$B$2)+(N108*Settings!$B$3)+(O108*Settings!$B$4)+(P108*Settings!$B$5)+(Q108*Settings!$B$6)+(T108*Settings!$B$9)+(U108*Settings!$B$10)+(V108*Settings!$B$11)+(W108*Settings!$B$12)+(X108*Settings!$B$13)+(AA108*Settings!$B$16)</f>
        <v>425.53333333333319</v>
      </c>
      <c r="H108" s="30">
        <f>VLOOKUP(B108,'Standard Deviations'!$A1:$D651,4,FALSE)</f>
        <v>3.128171059347661</v>
      </c>
      <c r="I108" s="31">
        <f ca="1">VLOOKUP(B108,OF!A1:I139,IF(Settings!$J$13="points",6,9),FALSE)</f>
        <v>3.0094593039143649</v>
      </c>
      <c r="J108" s="30"/>
      <c r="K108" s="30">
        <f ca="1">J108-A108</f>
        <v>-98</v>
      </c>
      <c r="L108" s="30"/>
      <c r="M108" s="30">
        <f>VLOOKUP($B108,Hitters!$A1:$R401,4,FALSE)</f>
        <v>522.66666666666697</v>
      </c>
      <c r="N108" s="30">
        <f>VLOOKUP($B108,Hitters!$A1:$R401,5,FALSE)</f>
        <v>71.466666666666697</v>
      </c>
      <c r="O108" s="30">
        <f>VLOOKUP($B108,Hitters!$A1:$R401,6,FALSE)</f>
        <v>20.633333333333301</v>
      </c>
      <c r="P108" s="30">
        <f>VLOOKUP($B108,Hitters!$A1:$R401,7,FALSE)</f>
        <v>71.266666666666694</v>
      </c>
      <c r="Q108" s="30">
        <f>VLOOKUP($B108,Hitters!$A1:$R401,8,FALSE)</f>
        <v>8.5333333333333297</v>
      </c>
      <c r="R108" s="32">
        <f>VLOOKUP($B108,Hitters!$A1:$R401,9,FALSE)</f>
        <v>0.25274234693877601</v>
      </c>
      <c r="S108" s="32">
        <f>VLOOKUP($B108,Hitters!$A1:$R401,10,FALSE)</f>
        <v>0.32851132173637698</v>
      </c>
      <c r="T108" s="30">
        <f>VLOOKUP($B108,Hitters!$A1:$R401,11,FALSE)</f>
        <v>132.1</v>
      </c>
      <c r="U108" s="30">
        <f>VLOOKUP($B108,Hitters!$A1:$R401,12,FALSE)</f>
        <v>29.033333333333299</v>
      </c>
      <c r="V108" s="30">
        <f>VLOOKUP($B108,Hitters!$A1:$R401,13,FALSE)</f>
        <v>1.86666666666667</v>
      </c>
      <c r="W108" s="30">
        <f>VLOOKUP($B108,Hitters!$A1:$R401,14,FALSE)</f>
        <v>61.533333333333303</v>
      </c>
      <c r="X108" s="30">
        <f>VLOOKUP($B108,Hitters!$A1:$R401,15,FALSE)</f>
        <v>148.19999999999999</v>
      </c>
      <c r="Y108" s="32">
        <f>VLOOKUP($B108,Hitters!$A1:$R401,16,FALSE)</f>
        <v>0.43386479591836702</v>
      </c>
      <c r="Z108" s="32">
        <f>VLOOKUP($B108,Hitters!$A1:$R401,17,FALSE)</f>
        <v>0.762376117654744</v>
      </c>
      <c r="AA108" s="30">
        <f>VLOOKUP($B108,Hitters!$A1:$R401,18,FALSE)</f>
        <v>0</v>
      </c>
      <c r="AB108" s="30"/>
      <c r="AC108" s="30"/>
      <c r="AD108" s="32"/>
      <c r="AE108" s="32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</row>
    <row r="109" spans="1:44" ht="18.600000000000001" customHeight="1">
      <c r="A109" s="24">
        <f ca="1">RANK(I109,I$2:I$651)</f>
        <v>53</v>
      </c>
      <c r="B109" s="25" t="s">
        <v>144</v>
      </c>
      <c r="C109" s="26" t="s">
        <v>95</v>
      </c>
      <c r="D109" s="26" t="s">
        <v>70</v>
      </c>
      <c r="E109" s="45" t="s">
        <v>19</v>
      </c>
      <c r="F109" s="46">
        <f ca="1">VLOOKUP(B109,'C'!A1:I54,IF(Settings!$J$13="points",4,7),FALSE)</f>
        <v>2</v>
      </c>
      <c r="G109" s="29">
        <f>(M109*Settings!$B$2)+(N109*Settings!$B$3)+(O109*Settings!$B$4)+(P109*Settings!$B$5)+(Q109*Settings!$B$6)+(T109*Settings!$B$9)+(U109*Settings!$B$10)+(V109*Settings!$B$11)+(W109*Settings!$B$12)+(X109*Settings!$B$13)+(AA109*Settings!$B$16)</f>
        <v>425.31666666666609</v>
      </c>
      <c r="H109" s="30">
        <f>VLOOKUP(B109,'Standard Deviations'!$A1:$D651,4,FALSE)</f>
        <v>4.2203231226349844</v>
      </c>
      <c r="I109" s="31">
        <f ca="1">VLOOKUP(B109,'C'!A1:I54,IF(Settings!$J$13="points",6,9),FALSE)</f>
        <v>4.5374129298280161</v>
      </c>
      <c r="J109" s="30"/>
      <c r="K109" s="30">
        <f ca="1">J109-A109</f>
        <v>-53</v>
      </c>
      <c r="L109" s="30"/>
      <c r="M109" s="30">
        <f>VLOOKUP($B109,Hitters!$A1:$R401,4,FALSE)</f>
        <v>481.33333333333297</v>
      </c>
      <c r="N109" s="30">
        <f>VLOOKUP($B109,Hitters!$A1:$R401,5,FALSE)</f>
        <v>70.6666666666667</v>
      </c>
      <c r="O109" s="30">
        <f>VLOOKUP($B109,Hitters!$A1:$R401,6,FALSE)</f>
        <v>25.133333333333301</v>
      </c>
      <c r="P109" s="30">
        <f>VLOOKUP($B109,Hitters!$A1:$R401,7,FALSE)</f>
        <v>71.900000000000006</v>
      </c>
      <c r="Q109" s="30">
        <f>VLOOKUP($B109,Hitters!$A1:$R401,8,FALSE)</f>
        <v>15.2</v>
      </c>
      <c r="R109" s="32">
        <f>VLOOKUP($B109,Hitters!$A1:$R401,9,FALSE)</f>
        <v>0.24314404432132999</v>
      </c>
      <c r="S109" s="32">
        <f>VLOOKUP($B109,Hitters!$A1:$R401,10,FALSE)</f>
        <v>0.30405872519074401</v>
      </c>
      <c r="T109" s="30">
        <f>VLOOKUP($B109,Hitters!$A1:$R401,11,FALSE)</f>
        <v>117.033333333333</v>
      </c>
      <c r="U109" s="30">
        <f>VLOOKUP($B109,Hitters!$A1:$R401,12,FALSE)</f>
        <v>23.366666666666699</v>
      </c>
      <c r="V109" s="30">
        <f>VLOOKUP($B109,Hitters!$A1:$R401,13,FALSE)</f>
        <v>2.6333333333333302</v>
      </c>
      <c r="W109" s="30">
        <f>VLOOKUP($B109,Hitters!$A1:$R401,14,FALSE)</f>
        <v>44.233333333333299</v>
      </c>
      <c r="X109" s="30">
        <f>VLOOKUP($B109,Hitters!$A1:$R401,15,FALSE)</f>
        <v>128.166666666667</v>
      </c>
      <c r="Y109" s="32">
        <f>VLOOKUP($B109,Hitters!$A1:$R401,16,FALSE)</f>
        <v>0.45927977839335199</v>
      </c>
      <c r="Z109" s="32">
        <f>VLOOKUP($B109,Hitters!$A1:$R401,17,FALSE)</f>
        <v>0.76333850358409605</v>
      </c>
      <c r="AA109" s="30">
        <f>VLOOKUP($B109,Hitters!$A1:$R401,18,FALSE)</f>
        <v>0</v>
      </c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</row>
    <row r="110" spans="1:44" ht="18.600000000000001" customHeight="1">
      <c r="A110" s="24">
        <f ca="1">RANK(I110,I$2:I$651)</f>
        <v>84</v>
      </c>
      <c r="B110" s="25" t="s">
        <v>177</v>
      </c>
      <c r="C110" s="26" t="s">
        <v>178</v>
      </c>
      <c r="D110" s="26" t="s">
        <v>75</v>
      </c>
      <c r="E110" s="27" t="s">
        <v>23</v>
      </c>
      <c r="F110" s="28">
        <f ca="1">VLOOKUP(B110,OF!A1:I139,IF(Settings!$J$13="points",4,7),FALSE)</f>
        <v>30</v>
      </c>
      <c r="G110" s="29">
        <f>(M110*Settings!$B$2)+(N110*Settings!$B$3)+(O110*Settings!$B$4)+(P110*Settings!$B$5)+(Q110*Settings!$B$6)+(T110*Settings!$B$9)+(U110*Settings!$B$10)+(V110*Settings!$B$11)+(W110*Settings!$B$12)+(X110*Settings!$B$13)+(AA110*Settings!$B$16)</f>
        <v>425.26666666666711</v>
      </c>
      <c r="H110" s="30">
        <f>VLOOKUP(B110,'Standard Deviations'!$A1:$D651,4,FALSE)</f>
        <v>3.5868104693778924</v>
      </c>
      <c r="I110" s="31">
        <f ca="1">VLOOKUP(B110,OF!A1:I139,IF(Settings!$J$13="points",6,9),FALSE)</f>
        <v>3.4680934290871264</v>
      </c>
      <c r="J110" s="30"/>
      <c r="K110" s="30">
        <f ca="1">J110-A110</f>
        <v>-84</v>
      </c>
      <c r="L110" s="30"/>
      <c r="M110" s="30">
        <f>VLOOKUP($B110,Hitters!$A1:$R401,4,FALSE)</f>
        <v>484</v>
      </c>
      <c r="N110" s="30">
        <f>VLOOKUP($B110,Hitters!$A1:$R401,5,FALSE)</f>
        <v>79.966666666666697</v>
      </c>
      <c r="O110" s="30">
        <f>VLOOKUP($B110,Hitters!$A1:$R401,6,FALSE)</f>
        <v>19.8</v>
      </c>
      <c r="P110" s="30">
        <f>VLOOKUP($B110,Hitters!$A1:$R401,7,FALSE)</f>
        <v>64.033333333333303</v>
      </c>
      <c r="Q110" s="30">
        <f>VLOOKUP($B110,Hitters!$A1:$R401,8,FALSE)</f>
        <v>5.3333333333333304</v>
      </c>
      <c r="R110" s="32">
        <f>VLOOKUP($B110,Hitters!$A1:$R401,9,FALSE)</f>
        <v>0.27307162534435298</v>
      </c>
      <c r="S110" s="32">
        <f>VLOOKUP($B110,Hitters!$A1:$R401,10,FALSE)</f>
        <v>0.34210105630771898</v>
      </c>
      <c r="T110" s="30">
        <f>VLOOKUP($B110,Hitters!$A1:$R401,11,FALSE)</f>
        <v>132.166666666667</v>
      </c>
      <c r="U110" s="30">
        <f>VLOOKUP($B110,Hitters!$A1:$R401,12,FALSE)</f>
        <v>28.766666666666701</v>
      </c>
      <c r="V110" s="30">
        <f>VLOOKUP($B110,Hitters!$A1:$R401,13,FALSE)</f>
        <v>1.93333333333333</v>
      </c>
      <c r="W110" s="30">
        <f>VLOOKUP($B110,Hitters!$A1:$R401,14,FALSE)</f>
        <v>53.3</v>
      </c>
      <c r="X110" s="30">
        <f>VLOOKUP($B110,Hitters!$A1:$R401,15,FALSE)</f>
        <v>114.8</v>
      </c>
      <c r="Y110" s="32">
        <f>VLOOKUP($B110,Hitters!$A1:$R401,16,FALSE)</f>
        <v>0.46322314049586799</v>
      </c>
      <c r="Z110" s="32">
        <f>VLOOKUP($B110,Hitters!$A1:$R401,17,FALSE)</f>
        <v>0.80532419680358702</v>
      </c>
      <c r="AA110" s="30">
        <f>VLOOKUP($B110,Hitters!$A1:$R401,18,FALSE)</f>
        <v>0</v>
      </c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</row>
    <row r="111" spans="1:44" ht="18.600000000000001" customHeight="1">
      <c r="A111" s="24">
        <f ca="1">RANK(I111,I$2:I$651)</f>
        <v>43</v>
      </c>
      <c r="B111" s="25" t="s">
        <v>131</v>
      </c>
      <c r="C111" s="26" t="s">
        <v>92</v>
      </c>
      <c r="D111" s="26" t="s">
        <v>75</v>
      </c>
      <c r="E111" s="45" t="s">
        <v>19</v>
      </c>
      <c r="F111" s="46">
        <f ca="1">VLOOKUP(B111,'C'!A1:I54,IF(Settings!$J$13="points",4,7),FALSE)</f>
        <v>1</v>
      </c>
      <c r="G111" s="29">
        <f>(M111*Settings!$B$2)+(N111*Settings!$B$3)+(O111*Settings!$B$4)+(P111*Settings!$B$5)+(Q111*Settings!$B$6)+(T111*Settings!$B$9)+(U111*Settings!$B$10)+(V111*Settings!$B$11)+(W111*Settings!$B$12)+(X111*Settings!$B$13)+(AA111*Settings!$B$16)</f>
        <v>424.99999999999977</v>
      </c>
      <c r="H111" s="30">
        <f>VLOOKUP(B111,'Standard Deviations'!$A1:$D651,4,FALSE)</f>
        <v>4.7320224328685114</v>
      </c>
      <c r="I111" s="31">
        <f ca="1">VLOOKUP(B111,'C'!A1:I54,IF(Settings!$J$13="points",6,9),FALSE)</f>
        <v>5.0491214477078925</v>
      </c>
      <c r="J111" s="30"/>
      <c r="K111" s="30">
        <f ca="1">J111-A111</f>
        <v>-43</v>
      </c>
      <c r="L111" s="30"/>
      <c r="M111" s="30">
        <f>VLOOKUP($B111,Hitters!$A1:$R401,4,FALSE)</f>
        <v>484</v>
      </c>
      <c r="N111" s="30">
        <f>VLOOKUP($B111,Hitters!$A1:$R401,5,FALSE)</f>
        <v>69.6666666666667</v>
      </c>
      <c r="O111" s="30">
        <f>VLOOKUP($B111,Hitters!$A1:$R401,6,FALSE)</f>
        <v>20.399999999999999</v>
      </c>
      <c r="P111" s="30">
        <f>VLOOKUP($B111,Hitters!$A1:$R401,7,FALSE)</f>
        <v>76.3333333333333</v>
      </c>
      <c r="Q111" s="30">
        <f>VLOOKUP($B111,Hitters!$A1:$R401,8,FALSE)</f>
        <v>14.5666666666667</v>
      </c>
      <c r="R111" s="32">
        <f>VLOOKUP($B111,Hitters!$A1:$R401,9,FALSE)</f>
        <v>0.26446280991735499</v>
      </c>
      <c r="S111" s="32">
        <f>VLOOKUP($B111,Hitters!$A1:$R401,10,FALSE)</f>
        <v>0.32016177652733102</v>
      </c>
      <c r="T111" s="30">
        <f>VLOOKUP($B111,Hitters!$A1:$R401,11,FALSE)</f>
        <v>128</v>
      </c>
      <c r="U111" s="30">
        <f>VLOOKUP($B111,Hitters!$A1:$R401,12,FALSE)</f>
        <v>23.8333333333333</v>
      </c>
      <c r="V111" s="30">
        <f>VLOOKUP($B111,Hitters!$A1:$R401,13,FALSE)</f>
        <v>3.7666666666666702</v>
      </c>
      <c r="W111" s="30">
        <f>VLOOKUP($B111,Hitters!$A1:$R401,14,FALSE)</f>
        <v>41.933333333333302</v>
      </c>
      <c r="X111" s="30">
        <f>VLOOKUP($B111,Hitters!$A1:$R401,15,FALSE)</f>
        <v>121.26666666666701</v>
      </c>
      <c r="Y111" s="32">
        <f>VLOOKUP($B111,Hitters!$A1:$R401,16,FALSE)</f>
        <v>0.45571625344352601</v>
      </c>
      <c r="Z111" s="32">
        <f>VLOOKUP($B111,Hitters!$A1:$R401,17,FALSE)</f>
        <v>0.77587802997085697</v>
      </c>
      <c r="AA111" s="30">
        <f>VLOOKUP($B111,Hitters!$A1:$R401,18,FALSE)</f>
        <v>0</v>
      </c>
      <c r="AB111" s="30"/>
      <c r="AC111" s="30"/>
      <c r="AD111" s="32"/>
      <c r="AE111" s="32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</row>
    <row r="112" spans="1:44" ht="18.600000000000001" customHeight="1">
      <c r="A112" s="24">
        <f ca="1">RANK(I112,I$2:I$651)</f>
        <v>17</v>
      </c>
      <c r="B112" s="25" t="s">
        <v>96</v>
      </c>
      <c r="C112" s="26" t="s">
        <v>97</v>
      </c>
      <c r="D112" s="26" t="s">
        <v>75</v>
      </c>
      <c r="E112" s="41" t="s">
        <v>34</v>
      </c>
      <c r="F112" s="42">
        <f ca="1">VLOOKUP(B112,RP!A1:I91,IF(Settings!$J$13="points",4,7),FALSE)</f>
        <v>1</v>
      </c>
      <c r="G112" s="29">
        <f>(AC112*Settings!$F$2)+(AF112*Settings!$F$5)+(AG112*Settings!$F$6)+(AH112*Settings!$F$7)+(AI112*Settings!$F$8)+(AJ112*Settings!$F$9)+(AK112*Settings!$F$10)+(AL112*Settings!$F$11)+(AM112*Settings!$F$12)+(AN112*Settings!$F$13)+(AO112*Settings!$F$14)+(AP112*Settings!$F$15)+(AQ112*Settings!$F$16)+(AR112*Settings!$F$17)</f>
        <v>424.2833333333333</v>
      </c>
      <c r="H112" s="30">
        <f>VLOOKUP(B112,'Standard Deviations'!$A1:$D651,4,FALSE)</f>
        <v>8.308031238481929</v>
      </c>
      <c r="I112" s="31">
        <f ca="1">IF(Settings!$J$16="no",VLOOKUP(B112,RP!A1:I91,IF(Settings!$J$13="points",6,9),FALSE),VLOOKUP(B112,'SP+RP'!$A1:$I251,IF(Settings!$J$13="points",6,9),FALSE))</f>
        <v>6.7369680985947475</v>
      </c>
      <c r="J112" s="30"/>
      <c r="K112" s="30">
        <f ca="1">J112-A112</f>
        <v>-17</v>
      </c>
      <c r="L112" s="30"/>
      <c r="M112" s="30"/>
      <c r="N112" s="30"/>
      <c r="O112" s="30"/>
      <c r="P112" s="30"/>
      <c r="Q112" s="30"/>
      <c r="R112" s="32"/>
      <c r="S112" s="32"/>
      <c r="T112" s="30"/>
      <c r="U112" s="30"/>
      <c r="V112" s="30"/>
      <c r="W112" s="30"/>
      <c r="X112" s="30"/>
      <c r="Y112" s="32"/>
      <c r="Z112" s="32"/>
      <c r="AA112" s="30"/>
      <c r="AB112" s="30"/>
      <c r="AC112" s="30">
        <f>VLOOKUP($B112,Pitchers!$A1:$S251,4,FALSE)</f>
        <v>64.233333333333334</v>
      </c>
      <c r="AD112" s="32">
        <f>VLOOKUP($B112,Pitchers!$A1:$S251,5,FALSE)</f>
        <v>2.2885313959522575</v>
      </c>
      <c r="AE112" s="32">
        <f>VLOOKUP($B112,Pitchers!$A1:$S251,6,FALSE)</f>
        <v>0.98598858329008821</v>
      </c>
      <c r="AF112" s="30">
        <f>VLOOKUP($B112,Pitchers!$A1:$S251,7,FALSE)</f>
        <v>106.63333333333333</v>
      </c>
      <c r="AG112" s="30">
        <f>VLOOKUP($B112,Pitchers!$A1:$S251,8,FALSE)</f>
        <v>3.9666666666666668</v>
      </c>
      <c r="AH112" s="30">
        <f>VLOOKUP($B112,Pitchers!$A1:$S251,9,FALSE)</f>
        <v>34.666666666666664</v>
      </c>
      <c r="AI112" s="30">
        <f>VLOOKUP($B112,Pitchers!$A1:$S251,10,FALSE)</f>
        <v>16.333333333333332</v>
      </c>
      <c r="AJ112" s="30">
        <f>VLOOKUP($B112,Pitchers!$A1:$S251,11,FALSE)</f>
        <v>41.366666666666667</v>
      </c>
      <c r="AK112" s="30">
        <f>VLOOKUP($B112,Pitchers!$A1:$S251,12,FALSE)</f>
        <v>21.966666666666669</v>
      </c>
      <c r="AL112" s="30">
        <f>VLOOKUP($B112,Pitchers!$A1:$S251,13,FALSE)</f>
        <v>5</v>
      </c>
      <c r="AM112" s="30">
        <f>VLOOKUP($B112,Pitchers!$A1:$S251,14,FALSE)</f>
        <v>64.266666666666666</v>
      </c>
      <c r="AN112" s="30">
        <f>VLOOKUP($B112,Pitchers!$A1:$S251,15,FALSE)</f>
        <v>0</v>
      </c>
      <c r="AO112" s="30">
        <f>VLOOKUP($B112,Pitchers!$A1:$S251,16,FALSE)</f>
        <v>2.5</v>
      </c>
      <c r="AP112" s="30">
        <f>VLOOKUP($B112,Pitchers!$A1:$S251,17,FALSE)</f>
        <v>0</v>
      </c>
      <c r="AQ112" s="30">
        <f>VLOOKUP($B112,Pitchers!$A1:$S251,18,FALSE)</f>
        <v>1</v>
      </c>
      <c r="AR112" s="30">
        <f>VLOOKUP($B112,Pitchers!$A1:$S251,19,FALSE)</f>
        <v>5</v>
      </c>
    </row>
    <row r="113" spans="1:44" ht="18.600000000000001" customHeight="1">
      <c r="A113" s="24">
        <f ca="1">RANK(I113,I$2:I$651)</f>
        <v>148</v>
      </c>
      <c r="B113" s="25" t="s">
        <v>244</v>
      </c>
      <c r="C113" s="26" t="s">
        <v>95</v>
      </c>
      <c r="D113" s="26" t="s">
        <v>70</v>
      </c>
      <c r="E113" s="33" t="s">
        <v>15</v>
      </c>
      <c r="F113" s="34">
        <f ca="1">VLOOKUP(B113,'3B'!A1:I55,IF(Settings!$J$13="points",4,7),FALSE)</f>
        <v>10</v>
      </c>
      <c r="G113" s="29">
        <f>(M113*Settings!$B$2)+(N113*Settings!$B$3)+(O113*Settings!$B$4)+(P113*Settings!$B$5)+(Q113*Settings!$B$6)+(T113*Settings!$B$9)+(U113*Settings!$B$10)+(V113*Settings!$B$11)+(W113*Settings!$B$12)+(X113*Settings!$B$13)+(AA113*Settings!$B$16)</f>
        <v>424.24999999999994</v>
      </c>
      <c r="H113" s="30">
        <f>VLOOKUP(B113,'Standard Deviations'!$A1:$D651,4,FALSE)</f>
        <v>2.3317766275384422</v>
      </c>
      <c r="I113" s="31">
        <f ca="1">IF(Settings!$J$15="no",VLOOKUP(B113,'3B'!A1:I55,IF(Settings!$J$13="points",6,9),FALSE),VLOOKUP(B113,'1B+3B'!$A1:$I104,IF(Settings!$J$13="points",6,9),FALSE))</f>
        <v>1.6041022119365236</v>
      </c>
      <c r="J113" s="30"/>
      <c r="K113" s="30">
        <f ca="1">J113-A113</f>
        <v>-148</v>
      </c>
      <c r="L113" s="30"/>
      <c r="M113" s="30">
        <f>VLOOKUP($B113,Hitters!$A1:$R401,4,FALSE)</f>
        <v>532.33333333333303</v>
      </c>
      <c r="N113" s="30">
        <f>VLOOKUP($B113,Hitters!$A1:$R401,5,FALSE)</f>
        <v>77.633333333333297</v>
      </c>
      <c r="O113" s="30">
        <f>VLOOKUP($B113,Hitters!$A1:$R401,6,FALSE)</f>
        <v>26.966666666666701</v>
      </c>
      <c r="P113" s="30">
        <f>VLOOKUP($B113,Hitters!$A1:$R401,7,FALSE)</f>
        <v>80.233333333333306</v>
      </c>
      <c r="Q113" s="30">
        <f>VLOOKUP($B113,Hitters!$A1:$R401,8,FALSE)</f>
        <v>2.7</v>
      </c>
      <c r="R113" s="32">
        <f>VLOOKUP($B113,Hitters!$A1:$R401,9,FALSE)</f>
        <v>0.22391984971822201</v>
      </c>
      <c r="S113" s="32">
        <f>VLOOKUP($B113,Hitters!$A1:$R401,10,FALSE)</f>
        <v>0.30733238797817197</v>
      </c>
      <c r="T113" s="30">
        <f>VLOOKUP($B113,Hitters!$A1:$R401,11,FALSE)</f>
        <v>119.2</v>
      </c>
      <c r="U113" s="30">
        <f>VLOOKUP($B113,Hitters!$A1:$R401,12,FALSE)</f>
        <v>25.366666666666699</v>
      </c>
      <c r="V113" s="30">
        <f>VLOOKUP($B113,Hitters!$A1:$R401,13,FALSE)</f>
        <v>2.2333333333333298</v>
      </c>
      <c r="W113" s="30">
        <f>VLOOKUP($B113,Hitters!$A1:$R401,14,FALSE)</f>
        <v>66.466666666666697</v>
      </c>
      <c r="X113" s="30">
        <f>VLOOKUP($B113,Hitters!$A1:$R401,15,FALSE)</f>
        <v>179.96666666666701</v>
      </c>
      <c r="Y113" s="32">
        <f>VLOOKUP($B113,Hitters!$A1:$R401,16,FALSE)</f>
        <v>0.431934877896055</v>
      </c>
      <c r="Z113" s="32">
        <f>VLOOKUP($B113,Hitters!$A1:$R401,17,FALSE)</f>
        <v>0.73926726587422698</v>
      </c>
      <c r="AA113" s="30">
        <f>VLOOKUP($B113,Hitters!$A1:$R401,18,FALSE)</f>
        <v>0</v>
      </c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</row>
    <row r="114" spans="1:44" ht="18.600000000000001" customHeight="1">
      <c r="A114" s="24">
        <f ca="1">RANK(I114,I$2:I$651)</f>
        <v>124</v>
      </c>
      <c r="B114" s="25" t="s">
        <v>221</v>
      </c>
      <c r="C114" s="26" t="s">
        <v>219</v>
      </c>
      <c r="D114" s="26" t="s">
        <v>75</v>
      </c>
      <c r="E114" s="35" t="s">
        <v>31</v>
      </c>
      <c r="F114" s="36">
        <f ca="1">VLOOKUP(B114,SP!A1:I161,IF(Settings!$J$13="points",4,7),FALSE)</f>
        <v>37</v>
      </c>
      <c r="G114" s="29">
        <f>(AC114*Settings!$F$2)+(AF114*Settings!$F$5)+(AG114*Settings!$F$6)+(AH114*Settings!$F$7)+(AI114*Settings!$F$8)+(AJ114*Settings!$F$9)+(AK114*Settings!$F$10)+(AL114*Settings!$F$11)+(AM114*Settings!$F$12)+(AN114*Settings!$F$13)+(AO114*Settings!$F$14)+(AP114*Settings!$F$15)+(AQ114*Settings!$F$16)+(AR114*Settings!$F$17)</f>
        <v>422.90399999999994</v>
      </c>
      <c r="H114" s="30">
        <f>VLOOKUP(B114,'Standard Deviations'!$A1:$D651,4,FALSE)</f>
        <v>2.3426729049821424</v>
      </c>
      <c r="I114" s="31">
        <f ca="1">IF(Settings!$J$16="no",VLOOKUP(B114,SP!A1:I161,IF(Settings!$J$13="points",6,9),FALSE),VLOOKUP(B114,'SP+RP'!$A1:$I251,IF(Settings!$J$13="points",6,9),FALSE))</f>
        <v>2.2066881978984161</v>
      </c>
      <c r="J114" s="30"/>
      <c r="K114" s="30">
        <f ca="1">J114-A114</f>
        <v>-124</v>
      </c>
      <c r="L114" s="30"/>
      <c r="M114" s="30"/>
      <c r="N114" s="30"/>
      <c r="O114" s="30"/>
      <c r="P114" s="30"/>
      <c r="Q114" s="30"/>
      <c r="R114" s="32"/>
      <c r="S114" s="32"/>
      <c r="T114" s="30"/>
      <c r="U114" s="30"/>
      <c r="V114" s="30"/>
      <c r="W114" s="30"/>
      <c r="X114" s="30"/>
      <c r="Y114" s="32"/>
      <c r="Z114" s="32"/>
      <c r="AA114" s="30"/>
      <c r="AB114" s="30"/>
      <c r="AC114" s="30">
        <f>VLOOKUP($B114,Pitchers!$A1:$S251,4,FALSE)</f>
        <v>180.6</v>
      </c>
      <c r="AD114" s="32">
        <f>VLOOKUP($B114,Pitchers!$A1:$S251,5,FALSE)</f>
        <v>3.5953156146179399</v>
      </c>
      <c r="AE114" s="32">
        <f>VLOOKUP($B114,Pitchers!$A1:$S251,6,FALSE)</f>
        <v>1.245108896271687</v>
      </c>
      <c r="AF114" s="30">
        <f>VLOOKUP($B114,Pitchers!$A1:$S251,7,FALSE)</f>
        <v>157.83333333333334</v>
      </c>
      <c r="AG114" s="30">
        <f>VLOOKUP($B114,Pitchers!$A1:$S251,8,FALSE)</f>
        <v>12.933333333333332</v>
      </c>
      <c r="AH114" s="30">
        <f>VLOOKUP($B114,Pitchers!$A1:$S251,9,FALSE)</f>
        <v>0</v>
      </c>
      <c r="AI114" s="30">
        <f>VLOOKUP($B114,Pitchers!$A1:$S251,10,FALSE)</f>
        <v>72.146000000000001</v>
      </c>
      <c r="AJ114" s="30">
        <f>VLOOKUP($B114,Pitchers!$A1:$S251,11,FALSE)</f>
        <v>174.76666666666665</v>
      </c>
      <c r="AK114" s="30">
        <f>VLOOKUP($B114,Pitchers!$A1:$S251,12,FALSE)</f>
        <v>50.1</v>
      </c>
      <c r="AL114" s="30">
        <f>VLOOKUP($B114,Pitchers!$A1:$S251,13,FALSE)</f>
        <v>17</v>
      </c>
      <c r="AM114" s="30">
        <f>VLOOKUP($B114,Pitchers!$A1:$S251,14,FALSE)</f>
        <v>31.266666666666666</v>
      </c>
      <c r="AN114" s="30">
        <f>VLOOKUP($B114,Pitchers!$A1:$S251,15,FALSE)</f>
        <v>30.599999999999998</v>
      </c>
      <c r="AO114" s="30">
        <f>VLOOKUP($B114,Pitchers!$A1:$S251,16,FALSE)</f>
        <v>9.0666666666666664</v>
      </c>
      <c r="AP114" s="30">
        <f>VLOOKUP($B114,Pitchers!$A1:$S251,17,FALSE)</f>
        <v>18</v>
      </c>
      <c r="AQ114" s="30">
        <f>VLOOKUP($B114,Pitchers!$A1:$S251,18,FALSE)</f>
        <v>0</v>
      </c>
      <c r="AR114" s="30">
        <f>VLOOKUP($B114,Pitchers!$A1:$S251,19,FALSE)</f>
        <v>0</v>
      </c>
    </row>
    <row r="115" spans="1:44" ht="18.600000000000001" customHeight="1">
      <c r="A115" s="24">
        <f ca="1">RANK(I115,I$2:I$651)</f>
        <v>146</v>
      </c>
      <c r="B115" s="25" t="s">
        <v>241</v>
      </c>
      <c r="C115" s="26" t="s">
        <v>69</v>
      </c>
      <c r="D115" s="26" t="s">
        <v>70</v>
      </c>
      <c r="E115" s="47" t="s">
        <v>11</v>
      </c>
      <c r="F115" s="48">
        <f ca="1">VLOOKUP(B115,'2B'!A1:I50,IF(Settings!$J$13="points",4,7),FALSE)</f>
        <v>8</v>
      </c>
      <c r="G115" s="29">
        <f>(M115*Settings!$B$2)+(N115*Settings!$B$3)+(O115*Settings!$B$4)+(P115*Settings!$B$5)+(Q115*Settings!$B$6)+(T115*Settings!$B$9)+(U115*Settings!$B$10)+(V115*Settings!$B$11)+(W115*Settings!$B$12)+(X115*Settings!$B$13)+(AA115*Settings!$B$16)</f>
        <v>421.83333333333303</v>
      </c>
      <c r="H115" s="30">
        <f>VLOOKUP(B115,'Standard Deviations'!$A1:$D651,4,FALSE)</f>
        <v>3.9318301492573529</v>
      </c>
      <c r="I115" s="31">
        <f ca="1">IF(Settings!$J$16="no",VLOOKUP(B115,'2B'!A1:I50,IF(Settings!$J$13="points",6,9),FALSE),VLOOKUP(B115,'2B+SS'!$A1:$I94,IF(Settings!$J$13="points",6,9),FALSE))</f>
        <v>1.6240971000363169</v>
      </c>
      <c r="J115" s="30"/>
      <c r="K115" s="30">
        <f ca="1">J115-A115</f>
        <v>-146</v>
      </c>
      <c r="L115" s="30"/>
      <c r="M115" s="30">
        <f>VLOOKUP($B115,Hitters!$A1:$R401,4,FALSE)</f>
        <v>512.66666666666697</v>
      </c>
      <c r="N115" s="30">
        <f>VLOOKUP($B115,Hitters!$A1:$R401,5,FALSE)</f>
        <v>72</v>
      </c>
      <c r="O115" s="30">
        <f>VLOOKUP($B115,Hitters!$A1:$R401,6,FALSE)</f>
        <v>19.866666666666699</v>
      </c>
      <c r="P115" s="30">
        <f>VLOOKUP($B115,Hitters!$A1:$R401,7,FALSE)</f>
        <v>69.266666666666694</v>
      </c>
      <c r="Q115" s="30">
        <f>VLOOKUP($B115,Hitters!$A1:$R401,8,FALSE)</f>
        <v>12.266666666666699</v>
      </c>
      <c r="R115" s="32">
        <f>VLOOKUP($B115,Hitters!$A1:$R401,9,FALSE)</f>
        <v>0.26105331599479797</v>
      </c>
      <c r="S115" s="32">
        <f>VLOOKUP($B115,Hitters!$A1:$R401,10,FALSE)</f>
        <v>0.32113768431971201</v>
      </c>
      <c r="T115" s="30">
        <f>VLOOKUP($B115,Hitters!$A1:$R401,11,FALSE)</f>
        <v>133.833333333333</v>
      </c>
      <c r="U115" s="30">
        <f>VLOOKUP($B115,Hitters!$A1:$R401,12,FALSE)</f>
        <v>25.233333333333299</v>
      </c>
      <c r="V115" s="30">
        <f>VLOOKUP($B115,Hitters!$A1:$R401,13,FALSE)</f>
        <v>1.36666666666667</v>
      </c>
      <c r="W115" s="30">
        <f>VLOOKUP($B115,Hitters!$A1:$R401,14,FALSE)</f>
        <v>47.8</v>
      </c>
      <c r="X115" s="30">
        <f>VLOOKUP($B115,Hitters!$A1:$R401,15,FALSE)</f>
        <v>119.26666666666701</v>
      </c>
      <c r="Y115" s="32">
        <f>VLOOKUP($B115,Hitters!$A1:$R401,16,FALSE)</f>
        <v>0.43185955786736002</v>
      </c>
      <c r="Z115" s="32">
        <f>VLOOKUP($B115,Hitters!$A1:$R401,17,FALSE)</f>
        <v>0.75299724218707198</v>
      </c>
      <c r="AA115" s="30">
        <f>VLOOKUP($B115,Hitters!$A1:$R401,18,FALSE)</f>
        <v>0</v>
      </c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</row>
    <row r="116" spans="1:44" ht="18.600000000000001" customHeight="1">
      <c r="A116" s="24">
        <f ca="1">RANK(I116,I$2:I$651)</f>
        <v>35</v>
      </c>
      <c r="B116" s="25" t="s">
        <v>121</v>
      </c>
      <c r="C116" s="26" t="s">
        <v>122</v>
      </c>
      <c r="D116" s="26" t="s">
        <v>75</v>
      </c>
      <c r="E116" s="27" t="s">
        <v>23</v>
      </c>
      <c r="F116" s="28">
        <f ca="1">VLOOKUP(B116,OF!A1:I139,IF(Settings!$J$13="points",4,7),FALSE)</f>
        <v>15</v>
      </c>
      <c r="G116" s="29">
        <f>(M116*Settings!$B$2)+(N116*Settings!$B$3)+(O116*Settings!$B$4)+(P116*Settings!$B$5)+(Q116*Settings!$B$6)+(T116*Settings!$B$9)+(U116*Settings!$B$10)+(V116*Settings!$B$11)+(W116*Settings!$B$12)+(X116*Settings!$B$13)+(AA116*Settings!$B$16)</f>
        <v>421.65000000000049</v>
      </c>
      <c r="H116" s="30">
        <f>VLOOKUP(B116,'Standard Deviations'!$A1:$D651,4,FALSE)</f>
        <v>5.5319801291607504</v>
      </c>
      <c r="I116" s="31">
        <f ca="1">VLOOKUP(B116,OF!A1:I139,IF(Settings!$J$13="points",6,9),FALSE)</f>
        <v>5.413264612662247</v>
      </c>
      <c r="J116" s="30"/>
      <c r="K116" s="30">
        <f ca="1">J116-A116</f>
        <v>-35</v>
      </c>
      <c r="L116" s="30"/>
      <c r="M116" s="30">
        <f>VLOOKUP($B116,Hitters!$A1:$R401,4,FALSE)</f>
        <v>500.33333333333297</v>
      </c>
      <c r="N116" s="30">
        <f>VLOOKUP($B116,Hitters!$A1:$R401,5,FALSE)</f>
        <v>72.866666666666703</v>
      </c>
      <c r="O116" s="30">
        <f>VLOOKUP($B116,Hitters!$A1:$R401,6,FALSE)</f>
        <v>13.1</v>
      </c>
      <c r="P116" s="30">
        <f>VLOOKUP($B116,Hitters!$A1:$R401,7,FALSE)</f>
        <v>60.4</v>
      </c>
      <c r="Q116" s="30">
        <f>VLOOKUP($B116,Hitters!$A1:$R401,8,FALSE)</f>
        <v>29.2</v>
      </c>
      <c r="R116" s="32">
        <f>VLOOKUP($B116,Hitters!$A1:$R401,9,FALSE)</f>
        <v>0.26655562958028001</v>
      </c>
      <c r="S116" s="32">
        <f>VLOOKUP($B116,Hitters!$A1:$R401,10,FALSE)</f>
        <v>0.32196912158754698</v>
      </c>
      <c r="T116" s="30">
        <f>VLOOKUP($B116,Hitters!$A1:$R401,11,FALSE)</f>
        <v>133.36666666666699</v>
      </c>
      <c r="U116" s="30">
        <f>VLOOKUP($B116,Hitters!$A1:$R401,12,FALSE)</f>
        <v>24.3</v>
      </c>
      <c r="V116" s="30">
        <f>VLOOKUP($B116,Hitters!$A1:$R401,13,FALSE)</f>
        <v>5.0999999999999996</v>
      </c>
      <c r="W116" s="30">
        <f>VLOOKUP($B116,Hitters!$A1:$R401,14,FALSE)</f>
        <v>43.266666666666701</v>
      </c>
      <c r="X116" s="30">
        <f>VLOOKUP($B116,Hitters!$A1:$R401,15,FALSE)</f>
        <v>125.9</v>
      </c>
      <c r="Y116" s="32">
        <f>VLOOKUP($B116,Hitters!$A1:$R401,16,FALSE)</f>
        <v>0.41405729513657602</v>
      </c>
      <c r="Z116" s="32">
        <f>VLOOKUP($B116,Hitters!$A1:$R401,17,FALSE)</f>
        <v>0.73602641672412195</v>
      </c>
      <c r="AA116" s="30">
        <f>VLOOKUP($B116,Hitters!$A1:$R401,18,FALSE)</f>
        <v>0</v>
      </c>
      <c r="AB116" s="30"/>
      <c r="AC116" s="30"/>
      <c r="AD116" s="32"/>
      <c r="AE116" s="32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</row>
    <row r="117" spans="1:44" ht="18.600000000000001" customHeight="1">
      <c r="A117" s="24">
        <f ca="1">RANK(I117,I$2:I$651)</f>
        <v>111</v>
      </c>
      <c r="B117" s="25" t="s">
        <v>205</v>
      </c>
      <c r="C117" s="26" t="s">
        <v>178</v>
      </c>
      <c r="D117" s="26" t="s">
        <v>75</v>
      </c>
      <c r="E117" s="33" t="s">
        <v>15</v>
      </c>
      <c r="F117" s="34">
        <f ca="1">VLOOKUP(B117,'3B'!A1:I55,IF(Settings!$J$13="points",4,7),FALSE)</f>
        <v>7</v>
      </c>
      <c r="G117" s="29">
        <f>(M117*Settings!$B$2)+(N117*Settings!$B$3)+(O117*Settings!$B$4)+(P117*Settings!$B$5)+(Q117*Settings!$B$6)+(T117*Settings!$B$9)+(U117*Settings!$B$10)+(V117*Settings!$B$11)+(W117*Settings!$B$12)+(X117*Settings!$B$13)+(AA117*Settings!$B$16)</f>
        <v>419.2833333333337</v>
      </c>
      <c r="H117" s="30">
        <f>VLOOKUP(B117,'Standard Deviations'!$A1:$D651,4,FALSE)</f>
        <v>3.221401592026063</v>
      </c>
      <c r="I117" s="31">
        <f ca="1">IF(Settings!$J$15="no",VLOOKUP(B117,'3B'!A1:I55,IF(Settings!$J$13="points",6,9),FALSE),VLOOKUP(B117,'1B+3B'!$A1:$I104,IF(Settings!$J$13="points",6,9),FALSE))</f>
        <v>2.4937217224820829</v>
      </c>
      <c r="J117" s="30"/>
      <c r="K117" s="30">
        <f ca="1">J117-A117</f>
        <v>-111</v>
      </c>
      <c r="L117" s="30"/>
      <c r="M117" s="30">
        <f>VLOOKUP($B117,Hitters!$A1:$R401,4,FALSE)</f>
        <v>523.33333333333303</v>
      </c>
      <c r="N117" s="30">
        <f>VLOOKUP($B117,Hitters!$A1:$R401,5,FALSE)</f>
        <v>74.033333333333303</v>
      </c>
      <c r="O117" s="30">
        <f>VLOOKUP($B117,Hitters!$A1:$R401,6,FALSE)</f>
        <v>21.866666666666699</v>
      </c>
      <c r="P117" s="30">
        <f>VLOOKUP($B117,Hitters!$A1:$R401,7,FALSE)</f>
        <v>76.133333333333297</v>
      </c>
      <c r="Q117" s="30">
        <f>VLOOKUP($B117,Hitters!$A1:$R401,8,FALSE)</f>
        <v>6.6</v>
      </c>
      <c r="R117" s="32">
        <f>VLOOKUP($B117,Hitters!$A1:$R401,9,FALSE)</f>
        <v>0.25044585987261098</v>
      </c>
      <c r="S117" s="32">
        <f>VLOOKUP($B117,Hitters!$A1:$R401,10,FALSE)</f>
        <v>0.32282793867121001</v>
      </c>
      <c r="T117" s="30">
        <f>VLOOKUP($B117,Hitters!$A1:$R401,11,FALSE)</f>
        <v>131.066666666667</v>
      </c>
      <c r="U117" s="30">
        <f>VLOOKUP($B117,Hitters!$A1:$R401,12,FALSE)</f>
        <v>24.9</v>
      </c>
      <c r="V117" s="30">
        <f>VLOOKUP($B117,Hitters!$A1:$R401,13,FALSE)</f>
        <v>2.1333333333333302</v>
      </c>
      <c r="W117" s="30">
        <f>VLOOKUP($B117,Hitters!$A1:$R401,14,FALSE)</f>
        <v>58.433333333333302</v>
      </c>
      <c r="X117" s="30">
        <f>VLOOKUP($B117,Hitters!$A1:$R401,15,FALSE)</f>
        <v>154.5</v>
      </c>
      <c r="Y117" s="32">
        <f>VLOOKUP($B117,Hitters!$A1:$R401,16,FALSE)</f>
        <v>0.43152866242038201</v>
      </c>
      <c r="Z117" s="32">
        <f>VLOOKUP($B117,Hitters!$A1:$R401,17,FALSE)</f>
        <v>0.75435660109159197</v>
      </c>
      <c r="AA117" s="30">
        <f>VLOOKUP($B117,Hitters!$A1:$R401,18,FALSE)</f>
        <v>0</v>
      </c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</row>
    <row r="118" spans="1:44" ht="18.600000000000001" customHeight="1">
      <c r="A118" s="24">
        <f ca="1">RANK(I118,I$2:I$651)</f>
        <v>115</v>
      </c>
      <c r="B118" s="25" t="s">
        <v>209</v>
      </c>
      <c r="C118" s="26" t="s">
        <v>95</v>
      </c>
      <c r="D118" s="26" t="s">
        <v>70</v>
      </c>
      <c r="E118" s="35" t="s">
        <v>31</v>
      </c>
      <c r="F118" s="36">
        <f ca="1">VLOOKUP(B118,SP!A1:I161,IF(Settings!$J$13="points",4,7),FALSE)</f>
        <v>34</v>
      </c>
      <c r="G118" s="29">
        <f>(AC118*Settings!$F$2)+(AF118*Settings!$F$5)+(AG118*Settings!$F$6)+(AH118*Settings!$F$7)+(AI118*Settings!$F$8)+(AJ118*Settings!$F$9)+(AK118*Settings!$F$10)+(AL118*Settings!$F$11)+(AM118*Settings!$F$12)+(AN118*Settings!$F$13)+(AO118*Settings!$F$14)+(AP118*Settings!$F$15)+(AQ118*Settings!$F$16)+(AR118*Settings!$F$17)</f>
        <v>419.13733333333317</v>
      </c>
      <c r="H118" s="30">
        <f>VLOOKUP(B118,'Standard Deviations'!$A1:$D651,4,FALSE)</f>
        <v>2.5163700625055552</v>
      </c>
      <c r="I118" s="31">
        <f ca="1">IF(Settings!$J$16="no",VLOOKUP(B118,SP!A1:I161,IF(Settings!$J$13="points",6,9),FALSE),VLOOKUP(B118,'SP+RP'!$A1:$I251,IF(Settings!$J$13="points",6,9),FALSE))</f>
        <v>2.3803834109321893</v>
      </c>
      <c r="J118" s="30"/>
      <c r="K118" s="30">
        <f ca="1">J118-A118</f>
        <v>-115</v>
      </c>
      <c r="L118" s="30"/>
      <c r="M118" s="30"/>
      <c r="N118" s="30"/>
      <c r="O118" s="30"/>
      <c r="P118" s="30"/>
      <c r="Q118" s="30"/>
      <c r="R118" s="32"/>
      <c r="S118" s="32"/>
      <c r="T118" s="30"/>
      <c r="U118" s="30"/>
      <c r="V118" s="30"/>
      <c r="W118" s="30"/>
      <c r="X118" s="30"/>
      <c r="Y118" s="32"/>
      <c r="Z118" s="32"/>
      <c r="AA118" s="30"/>
      <c r="AB118" s="30"/>
      <c r="AC118" s="30">
        <f>VLOOKUP($B118,Pitchers!$A1:$S251,4,FALSE)</f>
        <v>178.16666666666666</v>
      </c>
      <c r="AD118" s="32">
        <f>VLOOKUP($B118,Pitchers!$A1:$S251,5,FALSE)</f>
        <v>3.7471318989710012</v>
      </c>
      <c r="AE118" s="32">
        <f>VLOOKUP($B118,Pitchers!$A1:$S251,6,FALSE)</f>
        <v>1.1973807296538821</v>
      </c>
      <c r="AF118" s="30">
        <f>VLOOKUP($B118,Pitchers!$A1:$S251,7,FALSE)</f>
        <v>160.63333333333333</v>
      </c>
      <c r="AG118" s="30">
        <f>VLOOKUP($B118,Pitchers!$A1:$S251,8,FALSE)</f>
        <v>12.666666666666666</v>
      </c>
      <c r="AH118" s="30">
        <f>VLOOKUP($B118,Pitchers!$A1:$S251,9,FALSE)</f>
        <v>0</v>
      </c>
      <c r="AI118" s="30">
        <f>VLOOKUP($B118,Pitchers!$A1:$S251,10,FALSE)</f>
        <v>74.179333333333332</v>
      </c>
      <c r="AJ118" s="30">
        <f>VLOOKUP($B118,Pitchers!$A1:$S251,11,FALSE)</f>
        <v>164.6</v>
      </c>
      <c r="AK118" s="30">
        <f>VLOOKUP($B118,Pitchers!$A1:$S251,12,FALSE)</f>
        <v>48.733333333333327</v>
      </c>
      <c r="AL118" s="30">
        <f>VLOOKUP($B118,Pitchers!$A1:$S251,13,FALSE)</f>
        <v>25</v>
      </c>
      <c r="AM118" s="30">
        <f>VLOOKUP($B118,Pitchers!$A1:$S251,14,FALSE)</f>
        <v>29.933333333333334</v>
      </c>
      <c r="AN118" s="30">
        <f>VLOOKUP($B118,Pitchers!$A1:$S251,15,FALSE)</f>
        <v>29.933333333333334</v>
      </c>
      <c r="AO118" s="30">
        <f>VLOOKUP($B118,Pitchers!$A1:$S251,16,FALSE)</f>
        <v>8.3666666666666671</v>
      </c>
      <c r="AP118" s="30">
        <f>VLOOKUP($B118,Pitchers!$A1:$S251,17,FALSE)</f>
        <v>15</v>
      </c>
      <c r="AQ118" s="30">
        <f>VLOOKUP($B118,Pitchers!$A1:$S251,18,FALSE)</f>
        <v>0</v>
      </c>
      <c r="AR118" s="30">
        <f>VLOOKUP($B118,Pitchers!$A1:$S251,19,FALSE)</f>
        <v>0</v>
      </c>
    </row>
    <row r="119" spans="1:44" ht="18.600000000000001" customHeight="1">
      <c r="A119" s="24">
        <f ca="1">RANK(I119,I$2:I$651)</f>
        <v>233</v>
      </c>
      <c r="B119" s="25" t="s">
        <v>331</v>
      </c>
      <c r="C119" s="26" t="s">
        <v>116</v>
      </c>
      <c r="D119" s="26" t="s">
        <v>70</v>
      </c>
      <c r="E119" s="39" t="s">
        <v>7</v>
      </c>
      <c r="F119" s="40">
        <f ca="1">VLOOKUP(B119,'1B'!A1:I63,IF(Settings!$J$13="points",4,7),FALSE)</f>
        <v>18</v>
      </c>
      <c r="G119" s="29">
        <f>(M119*Settings!$B$2)+(N119*Settings!$B$3)+(O119*Settings!$B$4)+(P119*Settings!$B$5)+(Q119*Settings!$B$6)+(T119*Settings!$B$9)+(U119*Settings!$B$10)+(V119*Settings!$B$11)+(W119*Settings!$B$12)+(X119*Settings!$B$13)+(AA119*Settings!$B$16)</f>
        <v>418.9</v>
      </c>
      <c r="H119" s="30">
        <f>VLOOKUP(B119,'Standard Deviations'!$A1:$D651,4,FALSE)</f>
        <v>2.5795292736160835</v>
      </c>
      <c r="I119" s="31">
        <f ca="1">IF(Settings!$J$15="no",VLOOKUP(B119,'1B'!A1:I63,IF(Settings!$J$13="points",6,9),FALSE),VLOOKUP(B119,'1B+3B'!$A1:$I104,IF(Settings!$J$13="points",6,9),FALSE))</f>
        <v>0</v>
      </c>
      <c r="J119" s="30"/>
      <c r="K119" s="30">
        <f ca="1">J119-A119</f>
        <v>-233</v>
      </c>
      <c r="L119" s="30"/>
      <c r="M119" s="30">
        <f>VLOOKUP($B119,Hitters!$A1:$R401,4,FALSE)</f>
        <v>524.33333333333303</v>
      </c>
      <c r="N119" s="30">
        <f>VLOOKUP($B119,Hitters!$A1:$R401,5,FALSE)</f>
        <v>70.433333333333294</v>
      </c>
      <c r="O119" s="30">
        <f>VLOOKUP($B119,Hitters!$A1:$R401,6,FALSE)</f>
        <v>20.733333333333299</v>
      </c>
      <c r="P119" s="30">
        <f>VLOOKUP($B119,Hitters!$A1:$R401,7,FALSE)</f>
        <v>73.633333333333297</v>
      </c>
      <c r="Q119" s="30">
        <f>VLOOKUP($B119,Hitters!$A1:$R401,8,FALSE)</f>
        <v>1.5</v>
      </c>
      <c r="R119" s="32">
        <f>VLOOKUP($B119,Hitters!$A1:$R401,9,FALSE)</f>
        <v>0.26166560712015302</v>
      </c>
      <c r="S119" s="32">
        <f>VLOOKUP($B119,Hitters!$A1:$R401,10,FALSE)</f>
        <v>0.31443830334938799</v>
      </c>
      <c r="T119" s="30">
        <f>VLOOKUP($B119,Hitters!$A1:$R401,11,FALSE)</f>
        <v>137.19999999999999</v>
      </c>
      <c r="U119" s="30">
        <f>VLOOKUP($B119,Hitters!$A1:$R401,12,FALSE)</f>
        <v>30.1</v>
      </c>
      <c r="V119" s="30">
        <f>VLOOKUP($B119,Hitters!$A1:$R401,13,FALSE)</f>
        <v>1.0333333333333301</v>
      </c>
      <c r="W119" s="30">
        <f>VLOOKUP($B119,Hitters!$A1:$R401,14,FALSE)</f>
        <v>42.766666666666701</v>
      </c>
      <c r="X119" s="30">
        <f>VLOOKUP($B119,Hitters!$A1:$R401,15,FALSE)</f>
        <v>108.73333333333299</v>
      </c>
      <c r="Y119" s="32">
        <f>VLOOKUP($B119,Hitters!$A1:$R401,16,FALSE)</f>
        <v>0.441640178003814</v>
      </c>
      <c r="Z119" s="32">
        <f>VLOOKUP($B119,Hitters!$A1:$R401,17,FALSE)</f>
        <v>0.75607848135320299</v>
      </c>
      <c r="AA119" s="30">
        <f>VLOOKUP($B119,Hitters!$A1:$R401,18,FALSE)</f>
        <v>0</v>
      </c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</row>
    <row r="120" spans="1:44" ht="18.600000000000001" customHeight="1">
      <c r="A120" s="24">
        <f ca="1">RANK(I120,I$2:I$651)</f>
        <v>131</v>
      </c>
      <c r="B120" s="25" t="s">
        <v>227</v>
      </c>
      <c r="C120" s="26" t="s">
        <v>72</v>
      </c>
      <c r="D120" s="26" t="s">
        <v>70</v>
      </c>
      <c r="E120" s="35" t="s">
        <v>31</v>
      </c>
      <c r="F120" s="36">
        <f ca="1">VLOOKUP(B120,SP!A1:I161,IF(Settings!$J$13="points",4,7),FALSE)</f>
        <v>40</v>
      </c>
      <c r="G120" s="29">
        <f>(AC120*Settings!$F$2)+(AF120*Settings!$F$5)+(AG120*Settings!$F$6)+(AH120*Settings!$F$7)+(AI120*Settings!$F$8)+(AJ120*Settings!$F$9)+(AK120*Settings!$F$10)+(AL120*Settings!$F$11)+(AM120*Settings!$F$12)+(AN120*Settings!$F$13)+(AO120*Settings!$F$14)+(AP120*Settings!$F$15)+(AQ120*Settings!$F$16)+(AR120*Settings!$F$17)</f>
        <v>418.37666666666661</v>
      </c>
      <c r="H120" s="30">
        <f>VLOOKUP(B120,'Standard Deviations'!$A1:$D651,4,FALSE)</f>
        <v>2.1569443109271829</v>
      </c>
      <c r="I120" s="31">
        <f ca="1">IF(Settings!$J$16="no",VLOOKUP(B120,SP!A1:I161,IF(Settings!$J$13="points",6,9),FALSE),VLOOKUP(B120,'SP+RP'!$A1:$I251,IF(Settings!$J$13="points",6,9),FALSE))</f>
        <v>2.0209635349580934</v>
      </c>
      <c r="J120" s="30"/>
      <c r="K120" s="30">
        <f ca="1">J120-A120</f>
        <v>-131</v>
      </c>
      <c r="L120" s="30"/>
      <c r="M120" s="30"/>
      <c r="N120" s="30"/>
      <c r="O120" s="30"/>
      <c r="P120" s="30"/>
      <c r="Q120" s="30"/>
      <c r="R120" s="32"/>
      <c r="S120" s="32"/>
      <c r="T120" s="30"/>
      <c r="U120" s="30"/>
      <c r="V120" s="30"/>
      <c r="W120" s="30"/>
      <c r="X120" s="30"/>
      <c r="Y120" s="32"/>
      <c r="Z120" s="32"/>
      <c r="AA120" s="30"/>
      <c r="AB120" s="30"/>
      <c r="AC120" s="30">
        <f>VLOOKUP($B120,Pitchers!$A1:$S251,4,FALSE)</f>
        <v>179.26666666666665</v>
      </c>
      <c r="AD120" s="32">
        <f>VLOOKUP($B120,Pitchers!$A1:$S251,5,FALSE)</f>
        <v>3.8501859427296399</v>
      </c>
      <c r="AE120" s="32">
        <f>VLOOKUP($B120,Pitchers!$A1:$S251,6,FALSE)</f>
        <v>1.1868724432874675</v>
      </c>
      <c r="AF120" s="30">
        <f>VLOOKUP($B120,Pitchers!$A1:$S251,7,FALSE)</f>
        <v>171.4</v>
      </c>
      <c r="AG120" s="30">
        <f>VLOOKUP($B120,Pitchers!$A1:$S251,8,FALSE)</f>
        <v>11</v>
      </c>
      <c r="AH120" s="30">
        <f>VLOOKUP($B120,Pitchers!$A1:$S251,9,FALSE)</f>
        <v>0</v>
      </c>
      <c r="AI120" s="30">
        <f>VLOOKUP($B120,Pitchers!$A1:$S251,10,FALSE)</f>
        <v>76.69</v>
      </c>
      <c r="AJ120" s="30">
        <f>VLOOKUP($B120,Pitchers!$A1:$S251,11,FALSE)</f>
        <v>166.13333333333333</v>
      </c>
      <c r="AK120" s="30">
        <f>VLOOKUP($B120,Pitchers!$A1:$S251,12,FALSE)</f>
        <v>46.633333333333333</v>
      </c>
      <c r="AL120" s="30">
        <f>VLOOKUP($B120,Pitchers!$A1:$S251,13,FALSE)</f>
        <v>24</v>
      </c>
      <c r="AM120" s="30">
        <f>VLOOKUP($B120,Pitchers!$A1:$S251,14,FALSE)</f>
        <v>30.599999999999998</v>
      </c>
      <c r="AN120" s="30">
        <f>VLOOKUP($B120,Pitchers!$A1:$S251,15,FALSE)</f>
        <v>30.599999999999998</v>
      </c>
      <c r="AO120" s="30">
        <f>VLOOKUP($B120,Pitchers!$A1:$S251,16,FALSE)</f>
        <v>8.1333333333333329</v>
      </c>
      <c r="AP120" s="30">
        <f>VLOOKUP($B120,Pitchers!$A1:$S251,17,FALSE)</f>
        <v>16</v>
      </c>
      <c r="AQ120" s="30">
        <f>VLOOKUP($B120,Pitchers!$A1:$S251,18,FALSE)</f>
        <v>0</v>
      </c>
      <c r="AR120" s="30">
        <f>VLOOKUP($B120,Pitchers!$A1:$S251,19,FALSE)</f>
        <v>0</v>
      </c>
    </row>
    <row r="121" spans="1:44" ht="18.600000000000001" customHeight="1">
      <c r="A121" s="24">
        <f ca="1">RANK(I121,I$2:I$651)</f>
        <v>177</v>
      </c>
      <c r="B121" s="25" t="s">
        <v>274</v>
      </c>
      <c r="C121" s="26" t="s">
        <v>101</v>
      </c>
      <c r="D121" s="26" t="s">
        <v>70</v>
      </c>
      <c r="E121" s="39" t="s">
        <v>7</v>
      </c>
      <c r="F121" s="40">
        <f ca="1">VLOOKUP(B121,'1B'!A1:I63,IF(Settings!$J$13="points",4,7),FALSE)</f>
        <v>13</v>
      </c>
      <c r="G121" s="29">
        <f>(M121*Settings!$B$2)+(N121*Settings!$B$3)+(O121*Settings!$B$4)+(P121*Settings!$B$5)+(Q121*Settings!$B$6)+(T121*Settings!$B$9)+(U121*Settings!$B$10)+(V121*Settings!$B$11)+(W121*Settings!$B$12)+(X121*Settings!$B$13)+(AA121*Settings!$B$16)</f>
        <v>417.58333333333343</v>
      </c>
      <c r="H121" s="30">
        <f>VLOOKUP(B121,'Standard Deviations'!$A1:$D651,4,FALSE)</f>
        <v>3.5366855094160394</v>
      </c>
      <c r="I121" s="31">
        <f ca="1">IF(Settings!$J$15="no",VLOOKUP(B121,'1B'!A1:I63,IF(Settings!$J$13="points",6,9),FALSE),VLOOKUP(B121,'1B+3B'!$A1:$I104,IF(Settings!$J$13="points",6,9),FALSE))</f>
        <v>0.9571526981115599</v>
      </c>
      <c r="J121" s="30"/>
      <c r="K121" s="30">
        <f ca="1">J121-A121</f>
        <v>-177</v>
      </c>
      <c r="L121" s="30"/>
      <c r="M121" s="30">
        <f>VLOOKUP($B121,Hitters!$A1:$R401,4,FALSE)</f>
        <v>545.66666666666697</v>
      </c>
      <c r="N121" s="30">
        <f>VLOOKUP($B121,Hitters!$A1:$R401,5,FALSE)</f>
        <v>68.966666666666697</v>
      </c>
      <c r="O121" s="30">
        <f>VLOOKUP($B121,Hitters!$A1:$R401,6,FALSE)</f>
        <v>24.033333333333299</v>
      </c>
      <c r="P121" s="30">
        <f>VLOOKUP($B121,Hitters!$A1:$R401,7,FALSE)</f>
        <v>81.633333333333297</v>
      </c>
      <c r="Q121" s="30">
        <f>VLOOKUP($B121,Hitters!$A1:$R401,8,FALSE)</f>
        <v>3.7</v>
      </c>
      <c r="R121" s="32">
        <f>VLOOKUP($B121,Hitters!$A1:$R401,9,FALSE)</f>
        <v>0.259804520464264</v>
      </c>
      <c r="S121" s="32">
        <f>VLOOKUP($B121,Hitters!$A1:$R401,10,FALSE)</f>
        <v>0.31164696452493501</v>
      </c>
      <c r="T121" s="30">
        <f>VLOOKUP($B121,Hitters!$A1:$R401,11,FALSE)</f>
        <v>141.76666666666699</v>
      </c>
      <c r="U121" s="30">
        <f>VLOOKUP($B121,Hitters!$A1:$R401,12,FALSE)</f>
        <v>25.8</v>
      </c>
      <c r="V121" s="30">
        <f>VLOOKUP($B121,Hitters!$A1:$R401,13,FALSE)</f>
        <v>1.06666666666667</v>
      </c>
      <c r="W121" s="30">
        <f>VLOOKUP($B121,Hitters!$A1:$R401,14,FALSE)</f>
        <v>43.566666666666698</v>
      </c>
      <c r="X121" s="30">
        <f>VLOOKUP($B121,Hitters!$A1:$R401,15,FALSE)</f>
        <v>153.36666666666699</v>
      </c>
      <c r="Y121" s="32">
        <f>VLOOKUP($B121,Hitters!$A1:$R401,16,FALSE)</f>
        <v>0.44312767257177799</v>
      </c>
      <c r="Z121" s="32">
        <f>VLOOKUP($B121,Hitters!$A1:$R401,17,FALSE)</f>
        <v>0.754774637096712</v>
      </c>
      <c r="AA121" s="30">
        <f>VLOOKUP($B121,Hitters!$A1:$R401,18,FALSE)</f>
        <v>0</v>
      </c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</row>
    <row r="122" spans="1:44" ht="18.600000000000001" customHeight="1">
      <c r="A122" s="24">
        <f ca="1">RANK(I122,I$2:I$651)</f>
        <v>82</v>
      </c>
      <c r="B122" s="25" t="s">
        <v>175</v>
      </c>
      <c r="C122" s="26" t="s">
        <v>69</v>
      </c>
      <c r="D122" s="26" t="s">
        <v>70</v>
      </c>
      <c r="E122" s="27" t="s">
        <v>23</v>
      </c>
      <c r="F122" s="28">
        <f ca="1">VLOOKUP(B122,OF!A1:I139,IF(Settings!$J$13="points",4,7),FALSE)</f>
        <v>29</v>
      </c>
      <c r="G122" s="29">
        <f>(M122*Settings!$B$2)+(N122*Settings!$B$3)+(O122*Settings!$B$4)+(P122*Settings!$B$5)+(Q122*Settings!$B$6)+(T122*Settings!$B$9)+(U122*Settings!$B$10)+(V122*Settings!$B$11)+(W122*Settings!$B$12)+(X122*Settings!$B$13)+(AA122*Settings!$B$16)</f>
        <v>416.38333333333378</v>
      </c>
      <c r="H122" s="30">
        <f>VLOOKUP(B122,'Standard Deviations'!$A1:$D651,4,FALSE)</f>
        <v>3.6101007092227553</v>
      </c>
      <c r="I122" s="31">
        <f ca="1">VLOOKUP(B122,OF!A1:I139,IF(Settings!$J$13="points",6,9),FALSE)</f>
        <v>3.4913848449886475</v>
      </c>
      <c r="J122" s="30"/>
      <c r="K122" s="30">
        <f ca="1">J122-A122</f>
        <v>-82</v>
      </c>
      <c r="L122" s="30"/>
      <c r="M122" s="30">
        <f>VLOOKUP($B122,Hitters!$A1:$R401,4,FALSE)</f>
        <v>471.33333333333297</v>
      </c>
      <c r="N122" s="30">
        <f>VLOOKUP($B122,Hitters!$A1:$R401,5,FALSE)</f>
        <v>68.433333333333294</v>
      </c>
      <c r="O122" s="30">
        <f>VLOOKUP($B122,Hitters!$A1:$R401,6,FALSE)</f>
        <v>31.966666666666701</v>
      </c>
      <c r="P122" s="30">
        <f>VLOOKUP($B122,Hitters!$A1:$R401,7,FALSE)</f>
        <v>87.1666666666667</v>
      </c>
      <c r="Q122" s="30">
        <f>VLOOKUP($B122,Hitters!$A1:$R401,8,FALSE)</f>
        <v>0.9</v>
      </c>
      <c r="R122" s="32">
        <f>VLOOKUP($B122,Hitters!$A1:$R401,9,FALSE)</f>
        <v>0.244837340876945</v>
      </c>
      <c r="S122" s="32">
        <f>VLOOKUP($B122,Hitters!$A1:$R401,10,FALSE)</f>
        <v>0.32418454158182097</v>
      </c>
      <c r="T122" s="30">
        <f>VLOOKUP($B122,Hitters!$A1:$R401,11,FALSE)</f>
        <v>115.4</v>
      </c>
      <c r="U122" s="30">
        <f>VLOOKUP($B122,Hitters!$A1:$R401,12,FALSE)</f>
        <v>16.6666666666667</v>
      </c>
      <c r="V122" s="30">
        <f>VLOOKUP($B122,Hitters!$A1:$R401,13,FALSE)</f>
        <v>0.6</v>
      </c>
      <c r="W122" s="30">
        <f>VLOOKUP($B122,Hitters!$A1:$R401,14,FALSE)</f>
        <v>57.6</v>
      </c>
      <c r="X122" s="30">
        <f>VLOOKUP($B122,Hitters!$A1:$R401,15,FALSE)</f>
        <v>154.03333333333299</v>
      </c>
      <c r="Y122" s="32">
        <f>VLOOKUP($B122,Hitters!$A1:$R401,16,FALSE)</f>
        <v>0.48620933521923598</v>
      </c>
      <c r="Z122" s="32">
        <f>VLOOKUP($B122,Hitters!$A1:$R401,17,FALSE)</f>
        <v>0.81039387680105701</v>
      </c>
      <c r="AA122" s="30">
        <f>VLOOKUP($B122,Hitters!$A1:$R401,18,FALSE)</f>
        <v>0</v>
      </c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</row>
    <row r="123" spans="1:44" ht="18.600000000000001" customHeight="1">
      <c r="A123" s="24">
        <f ca="1">RANK(I123,I$2:I$651)</f>
        <v>103</v>
      </c>
      <c r="B123" s="25" t="s">
        <v>197</v>
      </c>
      <c r="C123" s="26" t="s">
        <v>85</v>
      </c>
      <c r="D123" s="26" t="s">
        <v>70</v>
      </c>
      <c r="E123" s="27" t="s">
        <v>23</v>
      </c>
      <c r="F123" s="28">
        <f ca="1">VLOOKUP(B123,OF!A1:I139,IF(Settings!$J$13="points",4,7),FALSE)</f>
        <v>37</v>
      </c>
      <c r="G123" s="29">
        <f>(M123*Settings!$B$2)+(N123*Settings!$B$3)+(O123*Settings!$B$4)+(P123*Settings!$B$5)+(Q123*Settings!$B$6)+(T123*Settings!$B$9)+(U123*Settings!$B$10)+(V123*Settings!$B$11)+(W123*Settings!$B$12)+(X123*Settings!$B$13)+(AA123*Settings!$B$16)</f>
        <v>415.49999999999949</v>
      </c>
      <c r="H123" s="30">
        <f>VLOOKUP(B123,'Standard Deviations'!$A1:$D651,4,FALSE)</f>
        <v>3.0118034457014837</v>
      </c>
      <c r="I123" s="31">
        <f ca="1">VLOOKUP(B123,OF!A1:I139,IF(Settings!$J$13="points",6,9),FALSE)</f>
        <v>2.893087037238145</v>
      </c>
      <c r="J123" s="30"/>
      <c r="K123" s="30">
        <f ca="1">J123-A123</f>
        <v>-103</v>
      </c>
      <c r="L123" s="30"/>
      <c r="M123" s="30">
        <f>VLOOKUP($B123,Hitters!$A1:$R401,4,FALSE)</f>
        <v>482.33333333333297</v>
      </c>
      <c r="N123" s="30">
        <f>VLOOKUP($B123,Hitters!$A1:$R401,5,FALSE)</f>
        <v>69.466666666666697</v>
      </c>
      <c r="O123" s="30">
        <f>VLOOKUP($B123,Hitters!$A1:$R401,6,FALSE)</f>
        <v>28.033333333333299</v>
      </c>
      <c r="P123" s="30">
        <f>VLOOKUP($B123,Hitters!$A1:$R401,7,FALSE)</f>
        <v>80.2</v>
      </c>
      <c r="Q123" s="30">
        <f>VLOOKUP($B123,Hitters!$A1:$R401,8,FALSE)</f>
        <v>2</v>
      </c>
      <c r="R123" s="32">
        <f>VLOOKUP($B123,Hitters!$A1:$R401,9,FALSE)</f>
        <v>0.244920525224603</v>
      </c>
      <c r="S123" s="32">
        <f>VLOOKUP($B123,Hitters!$A1:$R401,10,FALSE)</f>
        <v>0.301652084502955</v>
      </c>
      <c r="T123" s="30">
        <f>VLOOKUP($B123,Hitters!$A1:$R401,11,FALSE)</f>
        <v>118.133333333333</v>
      </c>
      <c r="U123" s="30">
        <f>VLOOKUP($B123,Hitters!$A1:$R401,12,FALSE)</f>
        <v>24.766666666666701</v>
      </c>
      <c r="V123" s="30">
        <f>VLOOKUP($B123,Hitters!$A1:$R401,13,FALSE)</f>
        <v>0.96666666666666701</v>
      </c>
      <c r="W123" s="30">
        <f>VLOOKUP($B123,Hitters!$A1:$R401,14,FALSE)</f>
        <v>41.266666666666701</v>
      </c>
      <c r="X123" s="30">
        <f>VLOOKUP($B123,Hitters!$A1:$R401,15,FALSE)</f>
        <v>124.26666666666701</v>
      </c>
      <c r="Y123" s="32">
        <f>VLOOKUP($B123,Hitters!$A1:$R401,16,FALSE)</f>
        <v>0.47463718037318597</v>
      </c>
      <c r="Z123" s="32">
        <f>VLOOKUP($B123,Hitters!$A1:$R401,17,FALSE)</f>
        <v>0.77628926487614103</v>
      </c>
      <c r="AA123" s="30">
        <f>VLOOKUP($B123,Hitters!$A1:$R401,18,FALSE)</f>
        <v>0</v>
      </c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</row>
    <row r="124" spans="1:44" ht="18.600000000000001" customHeight="1">
      <c r="A124" s="24">
        <f ca="1">RANK(I124,I$2:I$651)</f>
        <v>99</v>
      </c>
      <c r="B124" s="25" t="s">
        <v>193</v>
      </c>
      <c r="C124" s="26" t="s">
        <v>105</v>
      </c>
      <c r="D124" s="26" t="s">
        <v>70</v>
      </c>
      <c r="E124" s="27" t="s">
        <v>23</v>
      </c>
      <c r="F124" s="28">
        <f ca="1">VLOOKUP(B124,OF!A1:I139,IF(Settings!$J$13="points",4,7),FALSE)</f>
        <v>35</v>
      </c>
      <c r="G124" s="29">
        <f>(M124*Settings!$B$2)+(N124*Settings!$B$3)+(O124*Settings!$B$4)+(P124*Settings!$B$5)+(Q124*Settings!$B$6)+(T124*Settings!$B$9)+(U124*Settings!$B$10)+(V124*Settings!$B$11)+(W124*Settings!$B$12)+(X124*Settings!$B$13)+(AA124*Settings!$B$16)</f>
        <v>413.24999999999983</v>
      </c>
      <c r="H124" s="30">
        <f>VLOOKUP(B124,'Standard Deviations'!$A1:$D651,4,FALSE)</f>
        <v>3.1217994126794659</v>
      </c>
      <c r="I124" s="31">
        <f ca="1">VLOOKUP(B124,OF!A1:I139,IF(Settings!$J$13="points",6,9),FALSE)</f>
        <v>3.0030822594636071</v>
      </c>
      <c r="J124" s="30"/>
      <c r="K124" s="30">
        <f ca="1">J124-A124</f>
        <v>-99</v>
      </c>
      <c r="L124" s="30"/>
      <c r="M124" s="30">
        <f>VLOOKUP($B124,Hitters!$A1:$R401,4,FALSE)</f>
        <v>455.66666666666703</v>
      </c>
      <c r="N124" s="30">
        <f>VLOOKUP($B124,Hitters!$A1:$R401,5,FALSE)</f>
        <v>71.900000000000006</v>
      </c>
      <c r="O124" s="30">
        <f>VLOOKUP($B124,Hitters!$A1:$R401,6,FALSE)</f>
        <v>15.5</v>
      </c>
      <c r="P124" s="30">
        <f>VLOOKUP($B124,Hitters!$A1:$R401,7,FALSE)</f>
        <v>60.4</v>
      </c>
      <c r="Q124" s="30">
        <f>VLOOKUP($B124,Hitters!$A1:$R401,8,FALSE)</f>
        <v>3.4</v>
      </c>
      <c r="R124" s="32">
        <f>VLOOKUP($B124,Hitters!$A1:$R401,9,FALSE)</f>
        <v>0.29151426481345999</v>
      </c>
      <c r="S124" s="32">
        <f>VLOOKUP($B124,Hitters!$A1:$R401,10,FALSE)</f>
        <v>0.364320063168659</v>
      </c>
      <c r="T124" s="30">
        <f>VLOOKUP($B124,Hitters!$A1:$R401,11,FALSE)</f>
        <v>132.833333333333</v>
      </c>
      <c r="U124" s="30">
        <f>VLOOKUP($B124,Hitters!$A1:$R401,12,FALSE)</f>
        <v>26.066666666666698</v>
      </c>
      <c r="V124" s="30">
        <f>VLOOKUP($B124,Hitters!$A1:$R401,13,FALSE)</f>
        <v>1.4666666666666699</v>
      </c>
      <c r="W124" s="30">
        <f>VLOOKUP($B124,Hitters!$A1:$R401,14,FALSE)</f>
        <v>54.8</v>
      </c>
      <c r="X124" s="30">
        <f>VLOOKUP($B124,Hitters!$A1:$R401,15,FALSE)</f>
        <v>64.033333333333303</v>
      </c>
      <c r="Y124" s="32">
        <f>VLOOKUP($B124,Hitters!$A1:$R401,16,FALSE)</f>
        <v>0.45720555961960502</v>
      </c>
      <c r="Z124" s="32">
        <f>VLOOKUP($B124,Hitters!$A1:$R401,17,FALSE)</f>
        <v>0.82152562278826402</v>
      </c>
      <c r="AA124" s="30">
        <f>VLOOKUP($B124,Hitters!$A1:$R401,18,FALSE)</f>
        <v>0</v>
      </c>
      <c r="AB124" s="30"/>
      <c r="AC124" s="30"/>
      <c r="AD124" s="32"/>
      <c r="AE124" s="32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</row>
    <row r="125" spans="1:44" ht="18.600000000000001" customHeight="1">
      <c r="A125" s="24">
        <f ca="1">RANK(I125,I$2:I$651)</f>
        <v>64</v>
      </c>
      <c r="B125" s="25" t="s">
        <v>155</v>
      </c>
      <c r="C125" s="26" t="s">
        <v>69</v>
      </c>
      <c r="D125" s="26" t="s">
        <v>70</v>
      </c>
      <c r="E125" s="35" t="s">
        <v>31</v>
      </c>
      <c r="F125" s="36">
        <f ca="1">VLOOKUP(B125,SP!A1:I161,IF(Settings!$J$13="points",4,7),FALSE)</f>
        <v>21</v>
      </c>
      <c r="G125" s="29">
        <f>(AC125*Settings!$F$2)+(AF125*Settings!$F$5)+(AG125*Settings!$F$6)+(AH125*Settings!$F$7)+(AI125*Settings!$F$8)+(AJ125*Settings!$F$9)+(AK125*Settings!$F$10)+(AL125*Settings!$F$11)+(AM125*Settings!$F$12)+(AN125*Settings!$F$13)+(AO125*Settings!$F$14)+(AP125*Settings!$F$15)+(AQ125*Settings!$F$16)+(AR125*Settings!$F$17)</f>
        <v>412.31666666666649</v>
      </c>
      <c r="H125" s="30">
        <f>VLOOKUP(B125,'Standard Deviations'!$A1:$D651,4,FALSE)</f>
        <v>4.2120083925822911</v>
      </c>
      <c r="I125" s="31">
        <f ca="1">IF(Settings!$J$16="no",VLOOKUP(B125,SP!A1:I161,IF(Settings!$J$13="points",6,9),FALSE),VLOOKUP(B125,'SP+RP'!$A1:$I251,IF(Settings!$J$13="points",6,9),FALSE))</f>
        <v>4.0760215998070679</v>
      </c>
      <c r="J125" s="30"/>
      <c r="K125" s="30">
        <f ca="1">J125-A125</f>
        <v>-64</v>
      </c>
      <c r="L125" s="30"/>
      <c r="M125" s="30"/>
      <c r="N125" s="30"/>
      <c r="O125" s="30"/>
      <c r="P125" s="30"/>
      <c r="Q125" s="30"/>
      <c r="R125" s="32"/>
      <c r="S125" s="32"/>
      <c r="T125" s="30"/>
      <c r="U125" s="30"/>
      <c r="V125" s="30"/>
      <c r="W125" s="30"/>
      <c r="X125" s="30"/>
      <c r="Y125" s="32"/>
      <c r="Z125" s="32"/>
      <c r="AA125" s="30"/>
      <c r="AB125" s="30"/>
      <c r="AC125" s="30">
        <f>VLOOKUP($B125,Pitchers!$A1:$S251,4,FALSE)</f>
        <v>155.79999999999998</v>
      </c>
      <c r="AD125" s="32">
        <f>VLOOKUP($B125,Pitchers!$A1:$S251,5,FALSE)</f>
        <v>3.2965340179717586</v>
      </c>
      <c r="AE125" s="32">
        <f>VLOOKUP($B125,Pitchers!$A1:$S251,6,FALSE)</f>
        <v>1.0870774497218658</v>
      </c>
      <c r="AF125" s="30">
        <f>VLOOKUP($B125,Pitchers!$A1:$S251,7,FALSE)</f>
        <v>172.1</v>
      </c>
      <c r="AG125" s="30">
        <f>VLOOKUP($B125,Pitchers!$A1:$S251,8,FALSE)</f>
        <v>10.9</v>
      </c>
      <c r="AH125" s="30">
        <f>VLOOKUP($B125,Pitchers!$A1:$S251,9,FALSE)</f>
        <v>0</v>
      </c>
      <c r="AI125" s="30">
        <f>VLOOKUP($B125,Pitchers!$A1:$S251,10,FALSE)</f>
        <v>57.066666666666663</v>
      </c>
      <c r="AJ125" s="30">
        <f>VLOOKUP($B125,Pitchers!$A1:$S251,11,FALSE)</f>
        <v>122.7</v>
      </c>
      <c r="AK125" s="30">
        <f>VLOOKUP($B125,Pitchers!$A1:$S251,12,FALSE)</f>
        <v>46.666666666666664</v>
      </c>
      <c r="AL125" s="30">
        <f>VLOOKUP($B125,Pitchers!$A1:$S251,13,FALSE)</f>
        <v>20</v>
      </c>
      <c r="AM125" s="30">
        <f>VLOOKUP($B125,Pitchers!$A1:$S251,14,FALSE)</f>
        <v>30.166666666666668</v>
      </c>
      <c r="AN125" s="30">
        <f>VLOOKUP($B125,Pitchers!$A1:$S251,15,FALSE)</f>
        <v>29.166666666666668</v>
      </c>
      <c r="AO125" s="30">
        <f>VLOOKUP($B125,Pitchers!$A1:$S251,16,FALSE)</f>
        <v>6.6000000000000005</v>
      </c>
      <c r="AP125" s="30">
        <f>VLOOKUP($B125,Pitchers!$A1:$S251,17,FALSE)</f>
        <v>14</v>
      </c>
      <c r="AQ125" s="30">
        <f>VLOOKUP($B125,Pitchers!$A1:$S251,18,FALSE)</f>
        <v>0.75</v>
      </c>
      <c r="AR125" s="30">
        <f>VLOOKUP($B125,Pitchers!$A1:$S251,19,FALSE)</f>
        <v>0</v>
      </c>
    </row>
    <row r="126" spans="1:44" ht="18.600000000000001" customHeight="1">
      <c r="A126" s="24">
        <f ca="1">RANK(I126,I$2:I$651)</f>
        <v>142</v>
      </c>
      <c r="B126" s="25" t="s">
        <v>238</v>
      </c>
      <c r="C126" s="26" t="s">
        <v>74</v>
      </c>
      <c r="D126" s="26" t="s">
        <v>75</v>
      </c>
      <c r="E126" s="35" t="s">
        <v>31</v>
      </c>
      <c r="F126" s="36">
        <f ca="1">VLOOKUP(B126,SP!A1:I161,IF(Settings!$J$13="points",4,7),FALSE)</f>
        <v>44</v>
      </c>
      <c r="G126" s="29">
        <f>(AC126*Settings!$F$2)+(AF126*Settings!$F$5)+(AG126*Settings!$F$6)+(AH126*Settings!$F$7)+(AI126*Settings!$F$8)+(AJ126*Settings!$F$9)+(AK126*Settings!$F$10)+(AL126*Settings!$F$11)+(AM126*Settings!$F$12)+(AN126*Settings!$F$13)+(AO126*Settings!$F$14)+(AP126*Settings!$F$15)+(AQ126*Settings!$F$16)+(AR126*Settings!$F$17)</f>
        <v>412.06200000000007</v>
      </c>
      <c r="H126" s="30">
        <f>VLOOKUP(B126,'Standard Deviations'!$A1:$D651,4,FALSE)</f>
        <v>1.8758262264350001</v>
      </c>
      <c r="I126" s="31">
        <f ca="1">IF(Settings!$J$16="no",VLOOKUP(B126,SP!A1:I161,IF(Settings!$J$13="points",6,9),FALSE),VLOOKUP(B126,'SP+RP'!$A1:$I251,IF(Settings!$J$13="points",6,9),FALSE))</f>
        <v>1.7398399600425323</v>
      </c>
      <c r="J126" s="30"/>
      <c r="K126" s="30">
        <f ca="1">J126-A126</f>
        <v>-142</v>
      </c>
      <c r="L126" s="30"/>
      <c r="M126" s="30"/>
      <c r="N126" s="30"/>
      <c r="O126" s="30"/>
      <c r="P126" s="30"/>
      <c r="Q126" s="30"/>
      <c r="R126" s="32"/>
      <c r="S126" s="32"/>
      <c r="T126" s="30"/>
      <c r="U126" s="30"/>
      <c r="V126" s="30"/>
      <c r="W126" s="30"/>
      <c r="X126" s="30"/>
      <c r="Y126" s="32"/>
      <c r="Z126" s="32"/>
      <c r="AA126" s="30"/>
      <c r="AB126" s="30"/>
      <c r="AC126" s="30">
        <f>VLOOKUP($B126,Pitchers!$A1:$S251,4,FALSE)</f>
        <v>174.5</v>
      </c>
      <c r="AD126" s="32">
        <f>VLOOKUP($B126,Pitchers!$A1:$S251,5,FALSE)</f>
        <v>3.7704412607449855</v>
      </c>
      <c r="AE126" s="32">
        <f>VLOOKUP($B126,Pitchers!$A1:$S251,6,FALSE)</f>
        <v>1.2710601719197709</v>
      </c>
      <c r="AF126" s="30">
        <f>VLOOKUP($B126,Pitchers!$A1:$S251,7,FALSE)</f>
        <v>162</v>
      </c>
      <c r="AG126" s="30">
        <f>VLOOKUP($B126,Pitchers!$A1:$S251,8,FALSE)</f>
        <v>13.066666666666668</v>
      </c>
      <c r="AH126" s="30">
        <f>VLOOKUP($B126,Pitchers!$A1:$S251,9,FALSE)</f>
        <v>0</v>
      </c>
      <c r="AI126" s="30">
        <f>VLOOKUP($B126,Pitchers!$A1:$S251,10,FALSE)</f>
        <v>73.104666666666674</v>
      </c>
      <c r="AJ126" s="30">
        <f>VLOOKUP($B126,Pitchers!$A1:$S251,11,FALSE)</f>
        <v>164.46666666666667</v>
      </c>
      <c r="AK126" s="30">
        <f>VLOOKUP($B126,Pitchers!$A1:$S251,12,FALSE)</f>
        <v>57.333333333333336</v>
      </c>
      <c r="AL126" s="30">
        <f>VLOOKUP($B126,Pitchers!$A1:$S251,13,FALSE)</f>
        <v>20</v>
      </c>
      <c r="AM126" s="30">
        <f>VLOOKUP($B126,Pitchers!$A1:$S251,14,FALSE)</f>
        <v>29.266666666666666</v>
      </c>
      <c r="AN126" s="30">
        <f>VLOOKUP($B126,Pitchers!$A1:$S251,15,FALSE)</f>
        <v>29.266666666666666</v>
      </c>
      <c r="AO126" s="30">
        <f>VLOOKUP($B126,Pitchers!$A1:$S251,16,FALSE)</f>
        <v>8</v>
      </c>
      <c r="AP126" s="30">
        <f>VLOOKUP($B126,Pitchers!$A1:$S251,17,FALSE)</f>
        <v>17</v>
      </c>
      <c r="AQ126" s="30">
        <f>VLOOKUP($B126,Pitchers!$A1:$S251,18,FALSE)</f>
        <v>0</v>
      </c>
      <c r="AR126" s="30">
        <f>VLOOKUP($B126,Pitchers!$A1:$S251,19,FALSE)</f>
        <v>0</v>
      </c>
    </row>
    <row r="127" spans="1:44" ht="18.600000000000001" customHeight="1">
      <c r="A127" s="24">
        <f ca="1">RANK(I127,I$2:I$651)</f>
        <v>245</v>
      </c>
      <c r="B127" s="25" t="s">
        <v>343</v>
      </c>
      <c r="C127" s="26" t="s">
        <v>99</v>
      </c>
      <c r="D127" s="26" t="s">
        <v>75</v>
      </c>
      <c r="E127" s="39" t="s">
        <v>7</v>
      </c>
      <c r="F127" s="40">
        <f ca="1">VLOOKUP(B127,'1B'!A1:I63,IF(Settings!$J$13="points",4,7),FALSE)</f>
        <v>20</v>
      </c>
      <c r="G127" s="29">
        <f>(M127*Settings!$B$2)+(N127*Settings!$B$3)+(O127*Settings!$B$4)+(P127*Settings!$B$5)+(Q127*Settings!$B$6)+(T127*Settings!$B$9)+(U127*Settings!$B$10)+(V127*Settings!$B$11)+(W127*Settings!$B$12)+(X127*Settings!$B$13)+(AA127*Settings!$B$16)</f>
        <v>411.3833333333331</v>
      </c>
      <c r="H127" s="30">
        <f>VLOOKUP(B127,'Standard Deviations'!$A1:$D651,4,FALSE)</f>
        <v>2.4821508628881115</v>
      </c>
      <c r="I127" s="31">
        <f ca="1">IF(Settings!$J$15="no",VLOOKUP(B127,'1B'!A1:I63,IF(Settings!$J$13="points",6,9),FALSE),VLOOKUP(B127,'1B+3B'!$A1:$I104,IF(Settings!$J$13="points",6,9),FALSE))</f>
        <v>-9.7383019673127791E-2</v>
      </c>
      <c r="J127" s="30"/>
      <c r="K127" s="30">
        <f ca="1">J127-A127</f>
        <v>-245</v>
      </c>
      <c r="L127" s="30"/>
      <c r="M127" s="30">
        <f>VLOOKUP($B127,Hitters!$A1:$R401,4,FALSE)</f>
        <v>457.33333333333297</v>
      </c>
      <c r="N127" s="30">
        <f>VLOOKUP($B127,Hitters!$A1:$R401,5,FALSE)</f>
        <v>65.3</v>
      </c>
      <c r="O127" s="30">
        <f>VLOOKUP($B127,Hitters!$A1:$R401,6,FALSE)</f>
        <v>27.6666666666667</v>
      </c>
      <c r="P127" s="30">
        <f>VLOOKUP($B127,Hitters!$A1:$R401,7,FALSE)</f>
        <v>76.966666666666697</v>
      </c>
      <c r="Q127" s="30">
        <f>VLOOKUP($B127,Hitters!$A1:$R401,8,FALSE)</f>
        <v>1.7333333333333301</v>
      </c>
      <c r="R127" s="32">
        <f>VLOOKUP($B127,Hitters!$A1:$R401,9,FALSE)</f>
        <v>0.24278425655976699</v>
      </c>
      <c r="S127" s="32">
        <f>VLOOKUP($B127,Hitters!$A1:$R401,10,FALSE)</f>
        <v>0.31363701568837099</v>
      </c>
      <c r="T127" s="30">
        <f>VLOOKUP($B127,Hitters!$A1:$R401,11,FALSE)</f>
        <v>111.033333333333</v>
      </c>
      <c r="U127" s="30">
        <f>VLOOKUP($B127,Hitters!$A1:$R401,12,FALSE)</f>
        <v>21.866666666666699</v>
      </c>
      <c r="V127" s="30">
        <f>VLOOKUP($B127,Hitters!$A1:$R401,13,FALSE)</f>
        <v>1</v>
      </c>
      <c r="W127" s="30">
        <f>VLOOKUP($B127,Hitters!$A1:$R401,14,FALSE)</f>
        <v>49.3</v>
      </c>
      <c r="X127" s="30">
        <f>VLOOKUP($B127,Hitters!$A1:$R401,15,FALSE)</f>
        <v>104.166666666667</v>
      </c>
      <c r="Y127" s="32">
        <f>VLOOKUP($B127,Hitters!$A1:$R401,16,FALSE)</f>
        <v>0.476457725947522</v>
      </c>
      <c r="Z127" s="32">
        <f>VLOOKUP($B127,Hitters!$A1:$R401,17,FALSE)</f>
        <v>0.79009474163589299</v>
      </c>
      <c r="AA127" s="30">
        <f>VLOOKUP($B127,Hitters!$A1:$R401,18,FALSE)</f>
        <v>0</v>
      </c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</row>
    <row r="128" spans="1:44" ht="20.100000000000001" customHeight="1">
      <c r="A128" s="24">
        <f ca="1">RANK(I128,I$2:I$651)</f>
        <v>51</v>
      </c>
      <c r="B128" s="25" t="s">
        <v>141</v>
      </c>
      <c r="C128" s="26" t="s">
        <v>142</v>
      </c>
      <c r="D128" s="26" t="s">
        <v>70</v>
      </c>
      <c r="E128" s="27" t="s">
        <v>23</v>
      </c>
      <c r="F128" s="28">
        <f ca="1">VLOOKUP(B128,OF!A1:I139,IF(Settings!$J$13="points",4,7),FALSE)</f>
        <v>21</v>
      </c>
      <c r="G128" s="29">
        <f>(M128*Settings!$B$2)+(N128*Settings!$B$3)+(O128*Settings!$B$4)+(P128*Settings!$B$5)+(Q128*Settings!$B$6)+(T128*Settings!$B$9)+(U128*Settings!$B$10)+(V128*Settings!$B$11)+(W128*Settings!$B$12)+(X128*Settings!$B$13)+(AA128*Settings!$B$16)</f>
        <v>411.16999999999996</v>
      </c>
      <c r="H128" s="30">
        <f>VLOOKUP(B128,'Standard Deviations'!$A1:$D651,4,FALSE)</f>
        <v>4.8848263102899283</v>
      </c>
      <c r="I128" s="31">
        <f ca="1">VLOOKUP(B128,OF!A1:I139,IF(Settings!$J$13="points",6,9),FALSE)</f>
        <v>4.766107174084615</v>
      </c>
      <c r="J128" s="30"/>
      <c r="K128" s="30">
        <f ca="1">J128-A128</f>
        <v>-51</v>
      </c>
      <c r="L128" s="30"/>
      <c r="M128" s="30">
        <f>VLOOKUP($B128,Hitters!$A1:$R401,4,FALSE)</f>
        <v>496</v>
      </c>
      <c r="N128" s="30">
        <f>VLOOKUP($B128,Hitters!$A1:$R401,5,FALSE)</f>
        <v>63.51</v>
      </c>
      <c r="O128" s="30">
        <f>VLOOKUP($B128,Hitters!$A1:$R401,6,FALSE)</f>
        <v>13.01</v>
      </c>
      <c r="P128" s="30">
        <f>VLOOKUP($B128,Hitters!$A1:$R401,7,FALSE)</f>
        <v>51.09</v>
      </c>
      <c r="Q128" s="30">
        <f>VLOOKUP($B128,Hitters!$A1:$R401,8,FALSE)</f>
        <v>39.15</v>
      </c>
      <c r="R128" s="32">
        <f>VLOOKUP($B128,Hitters!$A1:$R401,9,FALSE)</f>
        <v>0.24038306451612901</v>
      </c>
      <c r="S128" s="32">
        <f>VLOOKUP($B128,Hitters!$A1:$R401,10,FALSE)</f>
        <v>0.29980923731611597</v>
      </c>
      <c r="T128" s="30">
        <f>VLOOKUP($B128,Hitters!$A1:$R401,11,FALSE)</f>
        <v>119.23</v>
      </c>
      <c r="U128" s="30">
        <f>VLOOKUP($B128,Hitters!$A1:$R401,12,FALSE)</f>
        <v>27.6</v>
      </c>
      <c r="V128" s="30">
        <f>VLOOKUP($B128,Hitters!$A1:$R401,13,FALSE)</f>
        <v>2.44</v>
      </c>
      <c r="W128" s="30">
        <f>VLOOKUP($B128,Hitters!$A1:$R401,14,FALSE)</f>
        <v>44.22</v>
      </c>
      <c r="X128" s="30">
        <f>VLOOKUP($B128,Hitters!$A1:$R401,15,FALSE)</f>
        <v>119.48</v>
      </c>
      <c r="Y128" s="32">
        <f>VLOOKUP($B128,Hitters!$A1:$R401,16,FALSE)</f>
        <v>0.38455645161290303</v>
      </c>
      <c r="Z128" s="32">
        <f>VLOOKUP($B128,Hitters!$A1:$R401,17,FALSE)</f>
        <v>0.68436568892901894</v>
      </c>
      <c r="AA128" s="30">
        <f>VLOOKUP($B128,Hitters!$A1:$R401,18,FALSE)</f>
        <v>0</v>
      </c>
      <c r="AB128" s="30"/>
      <c r="AC128" s="30"/>
      <c r="AD128" s="32"/>
      <c r="AE128" s="32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</row>
    <row r="129" spans="1:44" ht="18.600000000000001" customHeight="1">
      <c r="A129" s="24">
        <f ca="1">RANK(I129,I$2:I$651)</f>
        <v>95</v>
      </c>
      <c r="B129" s="25" t="s">
        <v>189</v>
      </c>
      <c r="C129" s="26" t="s">
        <v>92</v>
      </c>
      <c r="D129" s="26" t="s">
        <v>75</v>
      </c>
      <c r="E129" s="27" t="s">
        <v>23</v>
      </c>
      <c r="F129" s="28">
        <f ca="1">VLOOKUP(B129,OF!A1:I139,IF(Settings!$J$13="points",4,7),FALSE)</f>
        <v>33</v>
      </c>
      <c r="G129" s="29">
        <f>(M129*Settings!$B$2)+(N129*Settings!$B$3)+(O129*Settings!$B$4)+(P129*Settings!$B$5)+(Q129*Settings!$B$6)+(T129*Settings!$B$9)+(U129*Settings!$B$10)+(V129*Settings!$B$11)+(W129*Settings!$B$12)+(X129*Settings!$B$13)+(AA129*Settings!$B$16)</f>
        <v>410.88333333333406</v>
      </c>
      <c r="H129" s="30">
        <f>VLOOKUP(B129,'Standard Deviations'!$A1:$D651,4,FALSE)</f>
        <v>3.3137692439028723</v>
      </c>
      <c r="I129" s="31">
        <f ca="1">VLOOKUP(B129,OF!A1:I139,IF(Settings!$J$13="points",6,9),FALSE)</f>
        <v>3.1950547735089927</v>
      </c>
      <c r="J129" s="30"/>
      <c r="K129" s="30">
        <f ca="1">J129-A129</f>
        <v>-95</v>
      </c>
      <c r="L129" s="30"/>
      <c r="M129" s="30">
        <f>VLOOKUP($B129,Hitters!$A1:$R401,4,FALSE)</f>
        <v>520.33333333333303</v>
      </c>
      <c r="N129" s="30">
        <f>VLOOKUP($B129,Hitters!$A1:$R401,5,FALSE)</f>
        <v>69.533333333333303</v>
      </c>
      <c r="O129" s="30">
        <f>VLOOKUP($B129,Hitters!$A1:$R401,6,FALSE)</f>
        <v>20.766666666666701</v>
      </c>
      <c r="P129" s="30">
        <f>VLOOKUP($B129,Hitters!$A1:$R401,7,FALSE)</f>
        <v>75.966666666666697</v>
      </c>
      <c r="Q129" s="30">
        <f>VLOOKUP($B129,Hitters!$A1:$R401,8,FALSE)</f>
        <v>4.4000000000000004</v>
      </c>
      <c r="R129" s="32">
        <f>VLOOKUP($B129,Hitters!$A1:$R401,9,FALSE)</f>
        <v>0.26630365150544499</v>
      </c>
      <c r="S129" s="32">
        <f>VLOOKUP($B129,Hitters!$A1:$R401,10,FALSE)</f>
        <v>0.309848939724513</v>
      </c>
      <c r="T129" s="30">
        <f>VLOOKUP($B129,Hitters!$A1:$R401,11,FALSE)</f>
        <v>138.566666666667</v>
      </c>
      <c r="U129" s="30">
        <f>VLOOKUP($B129,Hitters!$A1:$R401,12,FALSE)</f>
        <v>30.4</v>
      </c>
      <c r="V129" s="30">
        <f>VLOOKUP($B129,Hitters!$A1:$R401,13,FALSE)</f>
        <v>1.3333333333333299</v>
      </c>
      <c r="W129" s="30">
        <f>VLOOKUP($B129,Hitters!$A1:$R401,14,FALSE)</f>
        <v>35.1666666666667</v>
      </c>
      <c r="X129" s="30">
        <f>VLOOKUP($B129,Hitters!$A1:$R401,15,FALSE)</f>
        <v>130.03333333333299</v>
      </c>
      <c r="Y129" s="32">
        <f>VLOOKUP($B129,Hitters!$A1:$R401,16,FALSE)</f>
        <v>0.449583600256246</v>
      </c>
      <c r="Z129" s="32">
        <f>VLOOKUP($B129,Hitters!$A1:$R401,17,FALSE)</f>
        <v>0.75943253998075899</v>
      </c>
      <c r="AA129" s="30">
        <f>VLOOKUP($B129,Hitters!$A1:$R401,18,FALSE)</f>
        <v>0</v>
      </c>
      <c r="AB129" s="30"/>
      <c r="AC129" s="30"/>
      <c r="AD129" s="32"/>
      <c r="AE129" s="32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</row>
    <row r="130" spans="1:44" ht="18.600000000000001" customHeight="1">
      <c r="A130" s="24">
        <f ca="1">RANK(I130,I$2:I$651)</f>
        <v>205</v>
      </c>
      <c r="B130" s="25" t="s">
        <v>302</v>
      </c>
      <c r="C130" s="26" t="s">
        <v>103</v>
      </c>
      <c r="D130" s="26" t="s">
        <v>70</v>
      </c>
      <c r="E130" s="47" t="s">
        <v>11</v>
      </c>
      <c r="F130" s="48">
        <f ca="1">VLOOKUP(B130,'2B'!A1:I50,IF(Settings!$J$13="points",4,7),FALSE)</f>
        <v>12</v>
      </c>
      <c r="G130" s="29">
        <f>(M130*Settings!$B$2)+(N130*Settings!$B$3)+(O130*Settings!$B$4)+(P130*Settings!$B$5)+(Q130*Settings!$B$6)+(T130*Settings!$B$9)+(U130*Settings!$B$10)+(V130*Settings!$B$11)+(W130*Settings!$B$12)+(X130*Settings!$B$13)+(AA130*Settings!$B$16)</f>
        <v>410.53333333333347</v>
      </c>
      <c r="H130" s="30">
        <f>VLOOKUP(B130,'Standard Deviations'!$A1:$D651,4,FALSE)</f>
        <v>2.7234290450547252</v>
      </c>
      <c r="I130" s="31">
        <f ca="1">IF(Settings!$J$16="no",VLOOKUP(B130,'2B'!A1:I50,IF(Settings!$J$13="points",6,9),FALSE),VLOOKUP(B130,'2B+SS'!$A1:$I94,IF(Settings!$J$13="points",6,9),FALSE))</f>
        <v>0.41570039606179421</v>
      </c>
      <c r="J130" s="30"/>
      <c r="K130" s="30">
        <f ca="1">J130-A130</f>
        <v>-205</v>
      </c>
      <c r="L130" s="30"/>
      <c r="M130" s="30">
        <f>VLOOKUP($B130,Hitters!$A1:$R401,4,FALSE)</f>
        <v>471.66666666666703</v>
      </c>
      <c r="N130" s="30">
        <f>VLOOKUP($B130,Hitters!$A1:$R401,5,FALSE)</f>
        <v>72.400000000000006</v>
      </c>
      <c r="O130" s="30">
        <f>VLOOKUP($B130,Hitters!$A1:$R401,6,FALSE)</f>
        <v>25.2</v>
      </c>
      <c r="P130" s="30">
        <f>VLOOKUP($B130,Hitters!$A1:$R401,7,FALSE)</f>
        <v>73.466666666666697</v>
      </c>
      <c r="Q130" s="30">
        <f>VLOOKUP($B130,Hitters!$A1:$R401,8,FALSE)</f>
        <v>4.5999999999999996</v>
      </c>
      <c r="R130" s="32">
        <f>VLOOKUP($B130,Hitters!$A1:$R401,9,FALSE)</f>
        <v>0.24190812720848101</v>
      </c>
      <c r="S130" s="32">
        <f>VLOOKUP($B130,Hitters!$A1:$R401,10,FALSE)</f>
        <v>0.31685470945032801</v>
      </c>
      <c r="T130" s="30">
        <f>VLOOKUP($B130,Hitters!$A1:$R401,11,FALSE)</f>
        <v>114.1</v>
      </c>
      <c r="U130" s="30">
        <f>VLOOKUP($B130,Hitters!$A1:$R401,12,FALSE)</f>
        <v>23.4</v>
      </c>
      <c r="V130" s="30">
        <f>VLOOKUP($B130,Hitters!$A1:$R401,13,FALSE)</f>
        <v>2.06666666666667</v>
      </c>
      <c r="W130" s="30">
        <f>VLOOKUP($B130,Hitters!$A1:$R401,14,FALSE)</f>
        <v>53.933333333333302</v>
      </c>
      <c r="X130" s="30">
        <f>VLOOKUP($B130,Hitters!$A1:$R401,15,FALSE)</f>
        <v>132.73333333333301</v>
      </c>
      <c r="Y130" s="32">
        <f>VLOOKUP($B130,Hitters!$A1:$R401,16,FALSE)</f>
        <v>0.46056537102473499</v>
      </c>
      <c r="Z130" s="32">
        <f>VLOOKUP($B130,Hitters!$A1:$R401,17,FALSE)</f>
        <v>0.77742008047506395</v>
      </c>
      <c r="AA130" s="30">
        <f>VLOOKUP($B130,Hitters!$A1:$R401,18,FALSE)</f>
        <v>0</v>
      </c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</row>
    <row r="131" spans="1:44" ht="18.600000000000001" customHeight="1">
      <c r="A131" s="24">
        <f ca="1">RANK(I131,I$2:I$651)</f>
        <v>86</v>
      </c>
      <c r="B131" s="25" t="s">
        <v>180</v>
      </c>
      <c r="C131" s="26" t="s">
        <v>122</v>
      </c>
      <c r="D131" s="26" t="s">
        <v>75</v>
      </c>
      <c r="E131" s="27" t="s">
        <v>23</v>
      </c>
      <c r="F131" s="28">
        <f ca="1">VLOOKUP(B131,OF!A1:I139,IF(Settings!$J$13="points",4,7),FALSE)</f>
        <v>31</v>
      </c>
      <c r="G131" s="29">
        <f>(M131*Settings!$B$2)+(N131*Settings!$B$3)+(O131*Settings!$B$4)+(P131*Settings!$B$5)+(Q131*Settings!$B$6)+(T131*Settings!$B$9)+(U131*Settings!$B$10)+(V131*Settings!$B$11)+(W131*Settings!$B$12)+(X131*Settings!$B$13)+(AA131*Settings!$B$16)</f>
        <v>410.3</v>
      </c>
      <c r="H131" s="30">
        <f>VLOOKUP(B131,'Standard Deviations'!$A1:$D651,4,FALSE)</f>
        <v>3.5238783066078114</v>
      </c>
      <c r="I131" s="31">
        <f ca="1">VLOOKUP(B131,OF!A1:I139,IF(Settings!$J$13="points",6,9),FALSE)</f>
        <v>3.4051580637620193</v>
      </c>
      <c r="J131" s="30"/>
      <c r="K131" s="30">
        <f ca="1">J131-A131</f>
        <v>-86</v>
      </c>
      <c r="L131" s="30"/>
      <c r="M131" s="30">
        <f>VLOOKUP($B131,Hitters!$A1:$R401,4,FALSE)</f>
        <v>491</v>
      </c>
      <c r="N131" s="30">
        <f>VLOOKUP($B131,Hitters!$A1:$R401,5,FALSE)</f>
        <v>75.55</v>
      </c>
      <c r="O131" s="30">
        <f>VLOOKUP($B131,Hitters!$A1:$R401,6,FALSE)</f>
        <v>18</v>
      </c>
      <c r="P131" s="30">
        <f>VLOOKUP($B131,Hitters!$A1:$R401,7,FALSE)</f>
        <v>58.55</v>
      </c>
      <c r="Q131" s="30">
        <f>VLOOKUP($B131,Hitters!$A1:$R401,8,FALSE)</f>
        <v>18.100000000000001</v>
      </c>
      <c r="R131" s="32">
        <f>VLOOKUP($B131,Hitters!$A1:$R401,9,FALSE)</f>
        <v>0.24633401221995899</v>
      </c>
      <c r="S131" s="32">
        <f>VLOOKUP($B131,Hitters!$A1:$R401,10,FALSE)</f>
        <v>0.31783284212058399</v>
      </c>
      <c r="T131" s="30">
        <f>VLOOKUP($B131,Hitters!$A1:$R401,11,FALSE)</f>
        <v>120.95</v>
      </c>
      <c r="U131" s="30">
        <f>VLOOKUP($B131,Hitters!$A1:$R401,12,FALSE)</f>
        <v>22.75</v>
      </c>
      <c r="V131" s="30">
        <f>VLOOKUP($B131,Hitters!$A1:$R401,13,FALSE)</f>
        <v>6.7</v>
      </c>
      <c r="W131" s="30">
        <f>VLOOKUP($B131,Hitters!$A1:$R401,14,FALSE)</f>
        <v>53.75</v>
      </c>
      <c r="X131" s="30">
        <f>VLOOKUP($B131,Hitters!$A1:$R401,15,FALSE)</f>
        <v>144.6</v>
      </c>
      <c r="Y131" s="32">
        <f>VLOOKUP($B131,Hitters!$A1:$R401,16,FALSE)</f>
        <v>0.42993890020366599</v>
      </c>
      <c r="Z131" s="32">
        <f>VLOOKUP($B131,Hitters!$A1:$R401,17,FALSE)</f>
        <v>0.74777174232425003</v>
      </c>
      <c r="AA131" s="30">
        <f>VLOOKUP($B131,Hitters!$A1:$R401,18,FALSE)</f>
        <v>0</v>
      </c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</row>
    <row r="132" spans="1:44" ht="18.600000000000001" customHeight="1">
      <c r="A132" s="24">
        <f ca="1">RANK(I132,I$2:I$651)</f>
        <v>66</v>
      </c>
      <c r="B132" s="25" t="s">
        <v>157</v>
      </c>
      <c r="C132" s="26" t="s">
        <v>158</v>
      </c>
      <c r="D132" s="26" t="s">
        <v>70</v>
      </c>
      <c r="E132" s="27" t="s">
        <v>23</v>
      </c>
      <c r="F132" s="28">
        <f ca="1">VLOOKUP(B132,OF!A1:I139,IF(Settings!$J$13="points",4,7),FALSE)</f>
        <v>24</v>
      </c>
      <c r="G132" s="29">
        <f>(M132*Settings!$B$2)+(N132*Settings!$B$3)+(O132*Settings!$B$4)+(P132*Settings!$B$5)+(Q132*Settings!$B$6)+(T132*Settings!$B$9)+(U132*Settings!$B$10)+(V132*Settings!$B$11)+(W132*Settings!$B$12)+(X132*Settings!$B$13)+(AA132*Settings!$B$16)</f>
        <v>410</v>
      </c>
      <c r="H132" s="30">
        <f>VLOOKUP(B132,'Standard Deviations'!$A1:$D651,4,FALSE)</f>
        <v>3.9629540314233296</v>
      </c>
      <c r="I132" s="31">
        <f ca="1">VLOOKUP(B132,OF!A1:I139,IF(Settings!$J$13="points",6,9),FALSE)</f>
        <v>3.8442378575622587</v>
      </c>
      <c r="J132" s="30"/>
      <c r="K132" s="30">
        <f ca="1">J132-A132</f>
        <v>-66</v>
      </c>
      <c r="L132" s="30"/>
      <c r="M132" s="30">
        <f>VLOOKUP($B132,Hitters!$A1:$R401,4,FALSE)</f>
        <v>437</v>
      </c>
      <c r="N132" s="30">
        <f>VLOOKUP($B132,Hitters!$A1:$R401,5,FALSE)</f>
        <v>74.133333333333297</v>
      </c>
      <c r="O132" s="30">
        <f>VLOOKUP($B132,Hitters!$A1:$R401,6,FALSE)</f>
        <v>30.3333333333333</v>
      </c>
      <c r="P132" s="30">
        <f>VLOOKUP($B132,Hitters!$A1:$R401,7,FALSE)</f>
        <v>66</v>
      </c>
      <c r="Q132" s="30">
        <f>VLOOKUP($B132,Hitters!$A1:$R401,8,FALSE)</f>
        <v>9.3000000000000007</v>
      </c>
      <c r="R132" s="32">
        <f>VLOOKUP($B132,Hitters!$A1:$R401,9,FALSE)</f>
        <v>0.245080091533181</v>
      </c>
      <c r="S132" s="32">
        <f>VLOOKUP($B132,Hitters!$A1:$R401,10,FALSE)</f>
        <v>0.29829754182673102</v>
      </c>
      <c r="T132" s="30">
        <f>VLOOKUP($B132,Hitters!$A1:$R401,11,FALSE)</f>
        <v>107.1</v>
      </c>
      <c r="U132" s="30">
        <f>VLOOKUP($B132,Hitters!$A1:$R401,12,FALSE)</f>
        <v>23.266666666666701</v>
      </c>
      <c r="V132" s="30">
        <f>VLOOKUP($B132,Hitters!$A1:$R401,13,FALSE)</f>
        <v>2.9666666666666699</v>
      </c>
      <c r="W132" s="30">
        <f>VLOOKUP($B132,Hitters!$A1:$R401,14,FALSE)</f>
        <v>35</v>
      </c>
      <c r="X132" s="30">
        <f>VLOOKUP($B132,Hitters!$A1:$R401,15,FALSE)</f>
        <v>135.19999999999999</v>
      </c>
      <c r="Y132" s="32">
        <f>VLOOKUP($B132,Hitters!$A1:$R401,16,FALSE)</f>
        <v>0.52013729977116696</v>
      </c>
      <c r="Z132" s="32">
        <f>VLOOKUP($B132,Hitters!$A1:$R401,17,FALSE)</f>
        <v>0.81843484159789803</v>
      </c>
      <c r="AA132" s="30">
        <f>VLOOKUP($B132,Hitters!$A1:$R401,18,FALSE)</f>
        <v>0</v>
      </c>
      <c r="AB132" s="30"/>
      <c r="AC132" s="30"/>
      <c r="AD132" s="32"/>
      <c r="AE132" s="32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</row>
    <row r="133" spans="1:44" ht="18.600000000000001" customHeight="1">
      <c r="A133" s="24">
        <f ca="1">RANK(I133,I$2:I$651)</f>
        <v>27</v>
      </c>
      <c r="B133" s="25" t="s">
        <v>111</v>
      </c>
      <c r="C133" s="26" t="s">
        <v>77</v>
      </c>
      <c r="D133" s="26" t="s">
        <v>70</v>
      </c>
      <c r="E133" s="41" t="s">
        <v>34</v>
      </c>
      <c r="F133" s="42">
        <f ca="1">VLOOKUP(B133,RP!A1:I91,IF(Settings!$J$13="points",4,7),FALSE)</f>
        <v>2</v>
      </c>
      <c r="G133" s="29">
        <f>(AC133*Settings!$F$2)+(AF133*Settings!$F$5)+(AG133*Settings!$F$6)+(AH133*Settings!$F$7)+(AI133*Settings!$F$8)+(AJ133*Settings!$F$9)+(AK133*Settings!$F$10)+(AL133*Settings!$F$11)+(AM133*Settings!$F$12)+(AN133*Settings!$F$13)+(AO133*Settings!$F$14)+(AP133*Settings!$F$15)+(AQ133*Settings!$F$16)+(AR133*Settings!$F$17)</f>
        <v>408.2833333333333</v>
      </c>
      <c r="H133" s="30">
        <f>VLOOKUP(B133,'Standard Deviations'!$A1:$D651,4,FALSE)</f>
        <v>7.7520560385020243</v>
      </c>
      <c r="I133" s="31">
        <f ca="1">IF(Settings!$J$16="no",VLOOKUP(B133,RP!A1:I91,IF(Settings!$J$13="points",6,9),FALSE),VLOOKUP(B133,'SP+RP'!$A1:$I251,IF(Settings!$J$13="points",6,9),FALSE))</f>
        <v>6.1809926380819071</v>
      </c>
      <c r="J133" s="30"/>
      <c r="K133" s="30">
        <f ca="1">J133-A133</f>
        <v>-27</v>
      </c>
      <c r="L133" s="30"/>
      <c r="M133" s="30"/>
      <c r="N133" s="30"/>
      <c r="O133" s="30"/>
      <c r="P133" s="30"/>
      <c r="Q133" s="30"/>
      <c r="R133" s="32"/>
      <c r="S133" s="32"/>
      <c r="T133" s="30"/>
      <c r="U133" s="30"/>
      <c r="V133" s="30"/>
      <c r="W133" s="30"/>
      <c r="X133" s="30"/>
      <c r="Y133" s="32"/>
      <c r="Z133" s="32"/>
      <c r="AA133" s="30"/>
      <c r="AB133" s="30"/>
      <c r="AC133" s="30">
        <f>VLOOKUP($B133,Pitchers!$A1:$S251,4,FALSE)</f>
        <v>67.3</v>
      </c>
      <c r="AD133" s="32">
        <f>VLOOKUP($B133,Pitchers!$A1:$S251,5,FALSE)</f>
        <v>2.1753343239227338</v>
      </c>
      <c r="AE133" s="32">
        <f>VLOOKUP($B133,Pitchers!$A1:$S251,6,FALSE)</f>
        <v>0.97226349678058432</v>
      </c>
      <c r="AF133" s="30">
        <f>VLOOKUP($B133,Pitchers!$A1:$S251,7,FALSE)</f>
        <v>72.433333333333337</v>
      </c>
      <c r="AG133" s="30">
        <f>VLOOKUP($B133,Pitchers!$A1:$S251,8,FALSE)</f>
        <v>3.2666666666666671</v>
      </c>
      <c r="AH133" s="30">
        <f>VLOOKUP($B133,Pitchers!$A1:$S251,9,FALSE)</f>
        <v>35</v>
      </c>
      <c r="AI133" s="30">
        <f>VLOOKUP($B133,Pitchers!$A1:$S251,10,FALSE)</f>
        <v>16.266666666666666</v>
      </c>
      <c r="AJ133" s="30">
        <f>VLOOKUP($B133,Pitchers!$A1:$S251,11,FALSE)</f>
        <v>50.733333333333327</v>
      </c>
      <c r="AK133" s="30">
        <f>VLOOKUP($B133,Pitchers!$A1:$S251,12,FALSE)</f>
        <v>14.700000000000001</v>
      </c>
      <c r="AL133" s="30">
        <f>VLOOKUP($B133,Pitchers!$A1:$S251,13,FALSE)</f>
        <v>5</v>
      </c>
      <c r="AM133" s="30">
        <f>VLOOKUP($B133,Pitchers!$A1:$S251,14,FALSE)</f>
        <v>68.600000000000009</v>
      </c>
      <c r="AN133" s="30">
        <f>VLOOKUP($B133,Pitchers!$A1:$S251,15,FALSE)</f>
        <v>0</v>
      </c>
      <c r="AO133" s="30">
        <f>VLOOKUP($B133,Pitchers!$A1:$S251,16,FALSE)</f>
        <v>3.1999999999999997</v>
      </c>
      <c r="AP133" s="30">
        <f>VLOOKUP($B133,Pitchers!$A1:$S251,17,FALSE)</f>
        <v>0</v>
      </c>
      <c r="AQ133" s="30">
        <f>VLOOKUP($B133,Pitchers!$A1:$S251,18,FALSE)</f>
        <v>0</v>
      </c>
      <c r="AR133" s="30">
        <f>VLOOKUP($B133,Pitchers!$A1:$S251,19,FALSE)</f>
        <v>4</v>
      </c>
    </row>
    <row r="134" spans="1:44" ht="18.600000000000001" customHeight="1">
      <c r="A134" s="24">
        <f ca="1">RANK(I134,I$2:I$651)</f>
        <v>158</v>
      </c>
      <c r="B134" s="25" t="s">
        <v>253</v>
      </c>
      <c r="C134" s="26" t="s">
        <v>103</v>
      </c>
      <c r="D134" s="26" t="s">
        <v>70</v>
      </c>
      <c r="E134" s="33" t="s">
        <v>15</v>
      </c>
      <c r="F134" s="34">
        <f ca="1">VLOOKUP(B134,'3B'!A1:I55,IF(Settings!$J$13="points",4,7),FALSE)</f>
        <v>14</v>
      </c>
      <c r="G134" s="29">
        <f>(M134*Settings!$B$2)+(N134*Settings!$B$3)+(O134*Settings!$B$4)+(P134*Settings!$B$5)+(Q134*Settings!$B$6)+(T134*Settings!$B$9)+(U134*Settings!$B$10)+(V134*Settings!$B$11)+(W134*Settings!$B$12)+(X134*Settings!$B$13)+(AA134*Settings!$B$16)</f>
        <v>405.80000000000047</v>
      </c>
      <c r="H134" s="30">
        <f>VLOOKUP(B134,'Standard Deviations'!$A1:$D651,4,FALSE)</f>
        <v>2.0072954568372658</v>
      </c>
      <c r="I134" s="31">
        <f ca="1">IF(Settings!$J$15="no",VLOOKUP(B134,'3B'!A1:I55,IF(Settings!$J$13="points",6,9),FALSE),VLOOKUP(B134,'1B+3B'!$A1:$I104,IF(Settings!$J$13="points",6,9),FALSE))</f>
        <v>1.279620254587253</v>
      </c>
      <c r="J134" s="30"/>
      <c r="K134" s="30">
        <f ca="1">J134-A134</f>
        <v>-158</v>
      </c>
      <c r="L134" s="30"/>
      <c r="M134" s="30">
        <f>VLOOKUP($B134,Hitters!$A1:$R401,4,FALSE)</f>
        <v>473.66666666666703</v>
      </c>
      <c r="N134" s="30">
        <f>VLOOKUP($B134,Hitters!$A1:$R401,5,FALSE)</f>
        <v>71.933333333333294</v>
      </c>
      <c r="O134" s="30">
        <f>VLOOKUP($B134,Hitters!$A1:$R401,6,FALSE)</f>
        <v>11.466666666666701</v>
      </c>
      <c r="P134" s="30">
        <f>VLOOKUP($B134,Hitters!$A1:$R401,7,FALSE)</f>
        <v>57.033333333333303</v>
      </c>
      <c r="Q134" s="30">
        <f>VLOOKUP($B134,Hitters!$A1:$R401,8,FALSE)</f>
        <v>3.4</v>
      </c>
      <c r="R134" s="32">
        <f>VLOOKUP($B134,Hitters!$A1:$R401,9,FALSE)</f>
        <v>0.28219563687544003</v>
      </c>
      <c r="S134" s="32">
        <f>VLOOKUP($B134,Hitters!$A1:$R401,10,FALSE)</f>
        <v>0.37328582422843098</v>
      </c>
      <c r="T134" s="30">
        <f>VLOOKUP($B134,Hitters!$A1:$R401,11,FALSE)</f>
        <v>133.666666666667</v>
      </c>
      <c r="U134" s="30">
        <f>VLOOKUP($B134,Hitters!$A1:$R401,12,FALSE)</f>
        <v>26.866666666666699</v>
      </c>
      <c r="V134" s="30">
        <f>VLOOKUP($B134,Hitters!$A1:$R401,13,FALSE)</f>
        <v>0.63333333333333297</v>
      </c>
      <c r="W134" s="30">
        <f>VLOOKUP($B134,Hitters!$A1:$R401,14,FALSE)</f>
        <v>71.6666666666667</v>
      </c>
      <c r="X134" s="30">
        <f>VLOOKUP($B134,Hitters!$A1:$R401,15,FALSE)</f>
        <v>73.599999999999994</v>
      </c>
      <c r="Y134" s="32">
        <f>VLOOKUP($B134,Hitters!$A1:$R401,16,FALSE)</f>
        <v>0.414215341308937</v>
      </c>
      <c r="Z134" s="32">
        <f>VLOOKUP($B134,Hitters!$A1:$R401,17,FALSE)</f>
        <v>0.78750116553736904</v>
      </c>
      <c r="AA134" s="30">
        <f>VLOOKUP($B134,Hitters!$A1:$R401,18,FALSE)</f>
        <v>0</v>
      </c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</row>
    <row r="135" spans="1:44" ht="18.600000000000001" customHeight="1">
      <c r="A135" s="24">
        <f ca="1">RANK(I135,I$2:I$651)</f>
        <v>215</v>
      </c>
      <c r="B135" s="25" t="s">
        <v>313</v>
      </c>
      <c r="C135" s="26" t="s">
        <v>136</v>
      </c>
      <c r="D135" s="26" t="s">
        <v>75</v>
      </c>
      <c r="E135" s="47" t="s">
        <v>11</v>
      </c>
      <c r="F135" s="48">
        <f ca="1">VLOOKUP(B135,'2B'!A1:I50,IF(Settings!$J$13="points",4,7),FALSE)</f>
        <v>14</v>
      </c>
      <c r="G135" s="29">
        <f>(M135*Settings!$B$2)+(N135*Settings!$B$3)+(O135*Settings!$B$4)+(P135*Settings!$B$5)+(Q135*Settings!$B$6)+(T135*Settings!$B$9)+(U135*Settings!$B$10)+(V135*Settings!$B$11)+(W135*Settings!$B$12)+(X135*Settings!$B$13)+(AA135*Settings!$B$16)</f>
        <v>405.01666666666631</v>
      </c>
      <c r="H135" s="30">
        <f>VLOOKUP(B135,'Standard Deviations'!$A1:$D651,4,FALSE)</f>
        <v>2.5726864803565688</v>
      </c>
      <c r="I135" s="31">
        <f ca="1">IF(Settings!$J$16="no",VLOOKUP(B135,'2B'!A1:I50,IF(Settings!$J$13="points",6,9),FALSE),VLOOKUP(B135,'2B+SS'!$A1:$I94,IF(Settings!$J$13="points",6,9),FALSE))</f>
        <v>0.26495250264152315</v>
      </c>
      <c r="J135" s="30"/>
      <c r="K135" s="30">
        <f ca="1">J135-A135</f>
        <v>-215</v>
      </c>
      <c r="L135" s="30"/>
      <c r="M135" s="30">
        <f>VLOOKUP($B135,Hitters!$A1:$R401,4,FALSE)</f>
        <v>516</v>
      </c>
      <c r="N135" s="30">
        <f>VLOOKUP($B135,Hitters!$A1:$R401,5,FALSE)</f>
        <v>74.7</v>
      </c>
      <c r="O135" s="30">
        <f>VLOOKUP($B135,Hitters!$A1:$R401,6,FALSE)</f>
        <v>6.3666666666666698</v>
      </c>
      <c r="P135" s="30">
        <f>VLOOKUP($B135,Hitters!$A1:$R401,7,FALSE)</f>
        <v>51</v>
      </c>
      <c r="Q135" s="30">
        <f>VLOOKUP($B135,Hitters!$A1:$R401,8,FALSE)</f>
        <v>4.8</v>
      </c>
      <c r="R135" s="32">
        <f>VLOOKUP($B135,Hitters!$A1:$R401,9,FALSE)</f>
        <v>0.30568475452196398</v>
      </c>
      <c r="S135" s="32">
        <f>VLOOKUP($B135,Hitters!$A1:$R401,10,FALSE)</f>
        <v>0.36195414272170801</v>
      </c>
      <c r="T135" s="30">
        <f>VLOOKUP($B135,Hitters!$A1:$R401,11,FALSE)</f>
        <v>157.73333333333301</v>
      </c>
      <c r="U135" s="30">
        <f>VLOOKUP($B135,Hitters!$A1:$R401,12,FALSE)</f>
        <v>27.1666666666667</v>
      </c>
      <c r="V135" s="30">
        <f>VLOOKUP($B135,Hitters!$A1:$R401,13,FALSE)</f>
        <v>2.8666666666666698</v>
      </c>
      <c r="W135" s="30">
        <f>VLOOKUP($B135,Hitters!$A1:$R401,14,FALSE)</f>
        <v>48.433333333333302</v>
      </c>
      <c r="X135" s="30">
        <f>VLOOKUP($B135,Hitters!$A1:$R401,15,FALSE)</f>
        <v>49.7</v>
      </c>
      <c r="Y135" s="32">
        <f>VLOOKUP($B135,Hitters!$A1:$R401,16,FALSE)</f>
        <v>0.40645994832041299</v>
      </c>
      <c r="Z135" s="32">
        <f>VLOOKUP($B135,Hitters!$A1:$R401,17,FALSE)</f>
        <v>0.76841409104212099</v>
      </c>
      <c r="AA135" s="30">
        <f>VLOOKUP($B135,Hitters!$A1:$R401,18,FALSE)</f>
        <v>0</v>
      </c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</row>
    <row r="136" spans="1:44" ht="18.600000000000001" customHeight="1">
      <c r="A136" s="24">
        <f ca="1">RANK(I136,I$2:I$651)</f>
        <v>166</v>
      </c>
      <c r="B136" s="25" t="s">
        <v>263</v>
      </c>
      <c r="C136" s="26" t="s">
        <v>125</v>
      </c>
      <c r="D136" s="26" t="s">
        <v>75</v>
      </c>
      <c r="E136" s="35" t="s">
        <v>31</v>
      </c>
      <c r="F136" s="36">
        <f ca="1">VLOOKUP(B136,SP!A1:I161,IF(Settings!$J$13="points",4,7),FALSE)</f>
        <v>51</v>
      </c>
      <c r="G136" s="29">
        <f>(AC136*Settings!$F$2)+(AF136*Settings!$F$5)+(AG136*Settings!$F$6)+(AH136*Settings!$F$7)+(AI136*Settings!$F$8)+(AJ136*Settings!$F$9)+(AK136*Settings!$F$10)+(AL136*Settings!$F$11)+(AM136*Settings!$F$12)+(AN136*Settings!$F$13)+(AO136*Settings!$F$14)+(AP136*Settings!$F$15)+(AQ136*Settings!$F$16)+(AR136*Settings!$F$17)</f>
        <v>402.57600000000002</v>
      </c>
      <c r="H136" s="30">
        <f>VLOOKUP(B136,'Standard Deviations'!$A1:$D651,4,FALSE)</f>
        <v>1.3087232565559135</v>
      </c>
      <c r="I136" s="31">
        <f ca="1">IF(Settings!$J$16="no",VLOOKUP(B136,SP!A1:I161,IF(Settings!$J$13="points",6,9),FALSE),VLOOKUP(B136,'SP+RP'!$A1:$I251,IF(Settings!$J$13="points",6,9),FALSE))</f>
        <v>1.1727434053852719</v>
      </c>
      <c r="J136" s="30"/>
      <c r="K136" s="30">
        <f ca="1">J136-A136</f>
        <v>-166</v>
      </c>
      <c r="L136" s="30"/>
      <c r="M136" s="30"/>
      <c r="N136" s="30"/>
      <c r="O136" s="30"/>
      <c r="P136" s="30"/>
      <c r="Q136" s="30"/>
      <c r="R136" s="32"/>
      <c r="S136" s="32"/>
      <c r="T136" s="30"/>
      <c r="U136" s="30"/>
      <c r="V136" s="30"/>
      <c r="W136" s="30"/>
      <c r="X136" s="30"/>
      <c r="Y136" s="32"/>
      <c r="Z136" s="32"/>
      <c r="AA136" s="30"/>
      <c r="AB136" s="30"/>
      <c r="AC136" s="30">
        <f>VLOOKUP($B136,Pitchers!$A1:$S251,4,FALSE)</f>
        <v>186.66666666666666</v>
      </c>
      <c r="AD136" s="32">
        <f>VLOOKUP($B136,Pitchers!$A1:$S251,5,FALSE)</f>
        <v>3.9579428571428577</v>
      </c>
      <c r="AE136" s="32">
        <f>VLOOKUP($B136,Pitchers!$A1:$S251,6,FALSE)</f>
        <v>1.1921428571428572</v>
      </c>
      <c r="AF136" s="30">
        <f>VLOOKUP($B136,Pitchers!$A1:$S251,7,FALSE)</f>
        <v>141.6</v>
      </c>
      <c r="AG136" s="30">
        <f>VLOOKUP($B136,Pitchers!$A1:$S251,8,FALSE)</f>
        <v>11.200000000000001</v>
      </c>
      <c r="AH136" s="30">
        <f>VLOOKUP($B136,Pitchers!$A1:$S251,9,FALSE)</f>
        <v>0</v>
      </c>
      <c r="AI136" s="30">
        <f>VLOOKUP($B136,Pitchers!$A1:$S251,10,FALSE)</f>
        <v>82.090666666666664</v>
      </c>
      <c r="AJ136" s="30">
        <f>VLOOKUP($B136,Pitchers!$A1:$S251,11,FALSE)</f>
        <v>182.16666666666666</v>
      </c>
      <c r="AK136" s="30">
        <f>VLOOKUP($B136,Pitchers!$A1:$S251,12,FALSE)</f>
        <v>40.366666666666667</v>
      </c>
      <c r="AL136" s="30">
        <f>VLOOKUP($B136,Pitchers!$A1:$S251,13,FALSE)</f>
        <v>25</v>
      </c>
      <c r="AM136" s="30">
        <f>VLOOKUP($B136,Pitchers!$A1:$S251,14,FALSE)</f>
        <v>30.933333333333334</v>
      </c>
      <c r="AN136" s="30">
        <f>VLOOKUP($B136,Pitchers!$A1:$S251,15,FALSE)</f>
        <v>30.933333333333334</v>
      </c>
      <c r="AO136" s="30">
        <f>VLOOKUP($B136,Pitchers!$A1:$S251,16,FALSE)</f>
        <v>10.6</v>
      </c>
      <c r="AP136" s="30">
        <f>VLOOKUP($B136,Pitchers!$A1:$S251,17,FALSE)</f>
        <v>17</v>
      </c>
      <c r="AQ136" s="30">
        <f>VLOOKUP($B136,Pitchers!$A1:$S251,18,FALSE)</f>
        <v>0</v>
      </c>
      <c r="AR136" s="30">
        <f>VLOOKUP($B136,Pitchers!$A1:$S251,19,FALSE)</f>
        <v>0</v>
      </c>
    </row>
    <row r="137" spans="1:44" ht="18.600000000000001" customHeight="1">
      <c r="A137" s="24">
        <f ca="1">RANK(I137,I$2:I$651)</f>
        <v>138</v>
      </c>
      <c r="B137" s="25" t="s">
        <v>234</v>
      </c>
      <c r="C137" s="26" t="s">
        <v>125</v>
      </c>
      <c r="D137" s="26" t="s">
        <v>75</v>
      </c>
      <c r="E137" s="35" t="s">
        <v>31</v>
      </c>
      <c r="F137" s="36">
        <f ca="1">VLOOKUP(B137,SP!A1:I161,IF(Settings!$J$13="points",4,7),FALSE)</f>
        <v>43</v>
      </c>
      <c r="G137" s="29">
        <f>(AC137*Settings!$F$2)+(AF137*Settings!$F$5)+(AG137*Settings!$F$6)+(AH137*Settings!$F$7)+(AI137*Settings!$F$8)+(AJ137*Settings!$F$9)+(AK137*Settings!$F$10)+(AL137*Settings!$F$11)+(AM137*Settings!$F$12)+(AN137*Settings!$F$13)+(AO137*Settings!$F$14)+(AP137*Settings!$F$15)+(AQ137*Settings!$F$16)+(AR137*Settings!$F$17)</f>
        <v>402.17066666666648</v>
      </c>
      <c r="H137" s="30">
        <f>VLOOKUP(B137,'Standard Deviations'!$A1:$D651,4,FALSE)</f>
        <v>2.0104252749271767</v>
      </c>
      <c r="I137" s="31">
        <f ca="1">IF(Settings!$J$16="no",VLOOKUP(B137,SP!A1:I161,IF(Settings!$J$13="points",6,9),FALSE),VLOOKUP(B137,'SP+RP'!$A1:$I251,IF(Settings!$J$13="points",6,9),FALSE))</f>
        <v>1.8744410083500855</v>
      </c>
      <c r="J137" s="30"/>
      <c r="K137" s="30">
        <f ca="1">J137-A137</f>
        <v>-138</v>
      </c>
      <c r="L137" s="30"/>
      <c r="M137" s="30"/>
      <c r="N137" s="30"/>
      <c r="O137" s="30"/>
      <c r="P137" s="30"/>
      <c r="Q137" s="30"/>
      <c r="R137" s="32"/>
      <c r="S137" s="32"/>
      <c r="T137" s="30"/>
      <c r="U137" s="30"/>
      <c r="V137" s="30"/>
      <c r="W137" s="30"/>
      <c r="X137" s="30"/>
      <c r="Y137" s="32"/>
      <c r="Z137" s="32"/>
      <c r="AA137" s="30"/>
      <c r="AB137" s="30"/>
      <c r="AC137" s="30">
        <f>VLOOKUP($B137,Pitchers!$A1:$S251,4,FALSE)</f>
        <v>171.93333333333331</v>
      </c>
      <c r="AD137" s="32">
        <f>VLOOKUP($B137,Pitchers!$A1:$S251,5,FALSE)</f>
        <v>3.6605118262892602</v>
      </c>
      <c r="AE137" s="32">
        <f>VLOOKUP($B137,Pitchers!$A1:$S251,6,FALSE)</f>
        <v>1.1826289259402871</v>
      </c>
      <c r="AF137" s="30">
        <f>VLOOKUP($B137,Pitchers!$A1:$S251,7,FALSE)</f>
        <v>157.6</v>
      </c>
      <c r="AG137" s="30">
        <f>VLOOKUP($B137,Pitchers!$A1:$S251,8,FALSE)</f>
        <v>10.166666666666666</v>
      </c>
      <c r="AH137" s="30">
        <f>VLOOKUP($B137,Pitchers!$A1:$S251,9,FALSE)</f>
        <v>0</v>
      </c>
      <c r="AI137" s="30">
        <f>VLOOKUP($B137,Pitchers!$A1:$S251,10,FALSE)</f>
        <v>69.929333333333332</v>
      </c>
      <c r="AJ137" s="30">
        <f>VLOOKUP($B137,Pitchers!$A1:$S251,11,FALSE)</f>
        <v>160.46666666666667</v>
      </c>
      <c r="AK137" s="30">
        <f>VLOOKUP($B137,Pitchers!$A1:$S251,12,FALSE)</f>
        <v>42.866666666666667</v>
      </c>
      <c r="AL137" s="30">
        <f>VLOOKUP($B137,Pitchers!$A1:$S251,13,FALSE)</f>
        <v>20</v>
      </c>
      <c r="AM137" s="30">
        <f>VLOOKUP($B137,Pitchers!$A1:$S251,14,FALSE)</f>
        <v>30.933333333333334</v>
      </c>
      <c r="AN137" s="30">
        <f>VLOOKUP($B137,Pitchers!$A1:$S251,15,FALSE)</f>
        <v>30.933333333333334</v>
      </c>
      <c r="AO137" s="30">
        <f>VLOOKUP($B137,Pitchers!$A1:$S251,16,FALSE)</f>
        <v>7.666666666666667</v>
      </c>
      <c r="AP137" s="30">
        <f>VLOOKUP($B137,Pitchers!$A1:$S251,17,FALSE)</f>
        <v>16</v>
      </c>
      <c r="AQ137" s="30">
        <f>VLOOKUP($B137,Pitchers!$A1:$S251,18,FALSE)</f>
        <v>0</v>
      </c>
      <c r="AR137" s="30">
        <f>VLOOKUP($B137,Pitchers!$A1:$S251,19,FALSE)</f>
        <v>0</v>
      </c>
    </row>
    <row r="138" spans="1:44" ht="18.600000000000001" customHeight="1">
      <c r="A138" s="24">
        <f ca="1">RANK(I138,I$2:I$651)</f>
        <v>244</v>
      </c>
      <c r="B138" s="25" t="s">
        <v>342</v>
      </c>
      <c r="C138" s="26" t="s">
        <v>77</v>
      </c>
      <c r="D138" s="26" t="s">
        <v>70</v>
      </c>
      <c r="E138" s="39" t="s">
        <v>7</v>
      </c>
      <c r="F138" s="40">
        <f ca="1">VLOOKUP(B138,'1B'!A1:I63,IF(Settings!$J$13="points",4,7),FALSE)</f>
        <v>19</v>
      </c>
      <c r="G138" s="29">
        <f>(M138*Settings!$B$2)+(N138*Settings!$B$3)+(O138*Settings!$B$4)+(P138*Settings!$B$5)+(Q138*Settings!$B$6)+(T138*Settings!$B$9)+(U138*Settings!$B$10)+(V138*Settings!$B$11)+(W138*Settings!$B$12)+(X138*Settings!$B$13)+(AA138*Settings!$B$16)</f>
        <v>399.18333333333385</v>
      </c>
      <c r="H138" s="30">
        <f>VLOOKUP(B138,'Standard Deviations'!$A1:$D651,4,FALSE)</f>
        <v>2.4971398808616745</v>
      </c>
      <c r="I138" s="31">
        <f ca="1">IF(Settings!$J$15="no",VLOOKUP(B138,'1B'!A1:I63,IF(Settings!$J$13="points",6,9),FALSE),VLOOKUP(B138,'1B+3B'!$A1:$I104,IF(Settings!$J$13="points",6,9),FALSE))</f>
        <v>-8.2391131885494406E-2</v>
      </c>
      <c r="J138" s="30"/>
      <c r="K138" s="30">
        <f ca="1">J138-A138</f>
        <v>-244</v>
      </c>
      <c r="L138" s="30"/>
      <c r="M138" s="30">
        <f>VLOOKUP($B138,Hitters!$A1:$R401,4,FALSE)</f>
        <v>463.66666666666703</v>
      </c>
      <c r="N138" s="30">
        <f>VLOOKUP($B138,Hitters!$A1:$R401,5,FALSE)</f>
        <v>59.566666666666698</v>
      </c>
      <c r="O138" s="30">
        <f>VLOOKUP($B138,Hitters!$A1:$R401,6,FALSE)</f>
        <v>19.866666666666699</v>
      </c>
      <c r="P138" s="30">
        <f>VLOOKUP($B138,Hitters!$A1:$R401,7,FALSE)</f>
        <v>70.6666666666667</v>
      </c>
      <c r="Q138" s="30">
        <f>VLOOKUP($B138,Hitters!$A1:$R401,8,FALSE)</f>
        <v>4.93333333333333</v>
      </c>
      <c r="R138" s="32">
        <f>VLOOKUP($B138,Hitters!$A1:$R401,9,FALSE)</f>
        <v>0.26455787203450798</v>
      </c>
      <c r="S138" s="32">
        <f>VLOOKUP($B138,Hitters!$A1:$R401,10,FALSE)</f>
        <v>0.31979585544571298</v>
      </c>
      <c r="T138" s="30">
        <f>VLOOKUP($B138,Hitters!$A1:$R401,11,FALSE)</f>
        <v>122.666666666667</v>
      </c>
      <c r="U138" s="30">
        <f>VLOOKUP($B138,Hitters!$A1:$R401,12,FALSE)</f>
        <v>28.033333333333299</v>
      </c>
      <c r="V138" s="30">
        <f>VLOOKUP($B138,Hitters!$A1:$R401,13,FALSE)</f>
        <v>0.9</v>
      </c>
      <c r="W138" s="30">
        <f>VLOOKUP($B138,Hitters!$A1:$R401,14,FALSE)</f>
        <v>39.8333333333333</v>
      </c>
      <c r="X138" s="30">
        <f>VLOOKUP($B138,Hitters!$A1:$R401,15,FALSE)</f>
        <v>83.3</v>
      </c>
      <c r="Y138" s="32">
        <f>VLOOKUP($B138,Hitters!$A1:$R401,16,FALSE)</f>
        <v>0.45744069015097</v>
      </c>
      <c r="Z138" s="32">
        <f>VLOOKUP($B138,Hitters!$A1:$R401,17,FALSE)</f>
        <v>0.77723654559668398</v>
      </c>
      <c r="AA138" s="30">
        <f>VLOOKUP($B138,Hitters!$A1:$R401,18,FALSE)</f>
        <v>0</v>
      </c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</row>
    <row r="139" spans="1:44" ht="18.600000000000001" customHeight="1">
      <c r="A139" s="24">
        <f ca="1">RANK(I139,I$2:I$651)</f>
        <v>176</v>
      </c>
      <c r="B139" s="25" t="s">
        <v>273</v>
      </c>
      <c r="C139" s="26" t="s">
        <v>72</v>
      </c>
      <c r="D139" s="26" t="s">
        <v>70</v>
      </c>
      <c r="E139" s="33" t="s">
        <v>15</v>
      </c>
      <c r="F139" s="34">
        <f ca="1">VLOOKUP(B139,'3B'!A1:I55,IF(Settings!$J$13="points",4,7),FALSE)</f>
        <v>15</v>
      </c>
      <c r="G139" s="29">
        <f>(M139*Settings!$B$2)+(N139*Settings!$B$3)+(O139*Settings!$B$4)+(P139*Settings!$B$5)+(Q139*Settings!$B$6)+(T139*Settings!$B$9)+(U139*Settings!$B$10)+(V139*Settings!$B$11)+(W139*Settings!$B$12)+(X139*Settings!$B$13)+(AA139*Settings!$B$16)</f>
        <v>399.10000000000059</v>
      </c>
      <c r="H139" s="30">
        <f>VLOOKUP(B139,'Standard Deviations'!$A1:$D651,4,FALSE)</f>
        <v>1.6877125312415926</v>
      </c>
      <c r="I139" s="31">
        <f ca="1">IF(Settings!$J$15="no",VLOOKUP(B139,'3B'!A1:I55,IF(Settings!$J$13="points",6,9),FALSE),VLOOKUP(B139,'1B+3B'!$A1:$I104,IF(Settings!$J$13="points",6,9),FALSE))</f>
        <v>0.96003119340986187</v>
      </c>
      <c r="J139" s="30"/>
      <c r="K139" s="30">
        <f ca="1">J139-A139</f>
        <v>-176</v>
      </c>
      <c r="L139" s="30"/>
      <c r="M139" s="30">
        <f>VLOOKUP($B139,Hitters!$A1:$R401,4,FALSE)</f>
        <v>513</v>
      </c>
      <c r="N139" s="30">
        <f>VLOOKUP($B139,Hitters!$A1:$R401,5,FALSE)</f>
        <v>70.633333333333297</v>
      </c>
      <c r="O139" s="30">
        <f>VLOOKUP($B139,Hitters!$A1:$R401,6,FALSE)</f>
        <v>28.066666666666698</v>
      </c>
      <c r="P139" s="30">
        <f>VLOOKUP($B139,Hitters!$A1:$R401,7,FALSE)</f>
        <v>79.466666666666697</v>
      </c>
      <c r="Q139" s="30">
        <f>VLOOKUP($B139,Hitters!$A1:$R401,8,FALSE)</f>
        <v>1</v>
      </c>
      <c r="R139" s="32">
        <f>VLOOKUP($B139,Hitters!$A1:$R401,9,FALSE)</f>
        <v>0.22040285899935</v>
      </c>
      <c r="S139" s="32">
        <f>VLOOKUP($B139,Hitters!$A1:$R401,10,FALSE)</f>
        <v>0.30496628326631903</v>
      </c>
      <c r="T139" s="30">
        <f>VLOOKUP($B139,Hitters!$A1:$R401,11,FALSE)</f>
        <v>113.066666666667</v>
      </c>
      <c r="U139" s="30">
        <f>VLOOKUP($B139,Hitters!$A1:$R401,12,FALSE)</f>
        <v>21.533333333333299</v>
      </c>
      <c r="V139" s="30">
        <f>VLOOKUP($B139,Hitters!$A1:$R401,13,FALSE)</f>
        <v>1.4</v>
      </c>
      <c r="W139" s="30">
        <f>VLOOKUP($B139,Hitters!$A1:$R401,14,FALSE)</f>
        <v>64.6666666666667</v>
      </c>
      <c r="X139" s="30">
        <f>VLOOKUP($B139,Hitters!$A1:$R401,15,FALSE)</f>
        <v>180.53333333333299</v>
      </c>
      <c r="Y139" s="32">
        <f>VLOOKUP($B139,Hitters!$A1:$R401,16,FALSE)</f>
        <v>0.431968810916179</v>
      </c>
      <c r="Z139" s="32">
        <f>VLOOKUP($B139,Hitters!$A1:$R401,17,FALSE)</f>
        <v>0.73693509418249903</v>
      </c>
      <c r="AA139" s="30">
        <f>VLOOKUP($B139,Hitters!$A1:$R401,18,FALSE)</f>
        <v>0</v>
      </c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</row>
    <row r="140" spans="1:44" ht="18.600000000000001" customHeight="1">
      <c r="A140" s="24">
        <f ca="1">RANK(I140,I$2:I$651)</f>
        <v>233</v>
      </c>
      <c r="B140" s="25" t="s">
        <v>333</v>
      </c>
      <c r="C140" s="26" t="s">
        <v>178</v>
      </c>
      <c r="D140" s="26" t="s">
        <v>75</v>
      </c>
      <c r="E140" s="47" t="s">
        <v>11</v>
      </c>
      <c r="F140" s="48">
        <f ca="1">VLOOKUP(B140,'2B'!A1:I50,IF(Settings!$J$13="points",4,7),FALSE)</f>
        <v>18</v>
      </c>
      <c r="G140" s="29">
        <f>(M140*Settings!$B$2)+(N140*Settings!$B$3)+(O140*Settings!$B$4)+(P140*Settings!$B$5)+(Q140*Settings!$B$6)+(T140*Settings!$B$9)+(U140*Settings!$B$10)+(V140*Settings!$B$11)+(W140*Settings!$B$12)+(X140*Settings!$B$13)+(AA140*Settings!$B$16)</f>
        <v>399.00000000000034</v>
      </c>
      <c r="H140" s="30">
        <f>VLOOKUP(B140,'Standard Deviations'!$A1:$D651,4,FALSE)</f>
        <v>2.3077359302634353</v>
      </c>
      <c r="I140" s="31">
        <f ca="1">IF(Settings!$J$16="no",VLOOKUP(B140,'2B'!A1:I50,IF(Settings!$J$13="points",6,9),FALSE),VLOOKUP(B140,'2B+SS'!$A1:$I94,IF(Settings!$J$13="points",6,9),FALSE))</f>
        <v>0</v>
      </c>
      <c r="J140" s="30"/>
      <c r="K140" s="30">
        <f ca="1">J140-A140</f>
        <v>-233</v>
      </c>
      <c r="L140" s="30"/>
      <c r="M140" s="30">
        <f>VLOOKUP($B140,Hitters!$A1:$R401,4,FALSE)</f>
        <v>514</v>
      </c>
      <c r="N140" s="30">
        <f>VLOOKUP($B140,Hitters!$A1:$R401,5,FALSE)</f>
        <v>68.5</v>
      </c>
      <c r="O140" s="30">
        <f>VLOOKUP($B140,Hitters!$A1:$R401,6,FALSE)</f>
        <v>16</v>
      </c>
      <c r="P140" s="30">
        <f>VLOOKUP($B140,Hitters!$A1:$R401,7,FALSE)</f>
        <v>67.900000000000006</v>
      </c>
      <c r="Q140" s="30">
        <f>VLOOKUP($B140,Hitters!$A1:$R401,8,FALSE)</f>
        <v>0.7</v>
      </c>
      <c r="R140" s="32">
        <f>VLOOKUP($B140,Hitters!$A1:$R401,9,FALSE)</f>
        <v>0.27795071335927402</v>
      </c>
      <c r="S140" s="32">
        <f>VLOOKUP($B140,Hitters!$A1:$R401,10,FALSE)</f>
        <v>0.32511867608901002</v>
      </c>
      <c r="T140" s="30">
        <f>VLOOKUP($B140,Hitters!$A1:$R401,11,FALSE)</f>
        <v>142.86666666666699</v>
      </c>
      <c r="U140" s="30">
        <f>VLOOKUP($B140,Hitters!$A1:$R401,12,FALSE)</f>
        <v>29.1666666666667</v>
      </c>
      <c r="V140" s="30">
        <f>VLOOKUP($B140,Hitters!$A1:$R401,13,FALSE)</f>
        <v>3</v>
      </c>
      <c r="W140" s="30">
        <f>VLOOKUP($B140,Hitters!$A1:$R401,14,FALSE)</f>
        <v>38.4</v>
      </c>
      <c r="X140" s="30">
        <f>VLOOKUP($B140,Hitters!$A1:$R401,15,FALSE)</f>
        <v>102.8</v>
      </c>
      <c r="Y140" s="32">
        <f>VLOOKUP($B140,Hitters!$A1:$R401,16,FALSE)</f>
        <v>0.43975356679636801</v>
      </c>
      <c r="Z140" s="32">
        <f>VLOOKUP($B140,Hitters!$A1:$R401,17,FALSE)</f>
        <v>0.76487224288537803</v>
      </c>
      <c r="AA140" s="30">
        <f>VLOOKUP($B140,Hitters!$A1:$R401,18,FALSE)</f>
        <v>0</v>
      </c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</row>
    <row r="141" spans="1:44" ht="18.600000000000001" customHeight="1">
      <c r="A141" s="24">
        <f ca="1">RANK(I141,I$2:I$651)</f>
        <v>229</v>
      </c>
      <c r="B141" s="25" t="s">
        <v>327</v>
      </c>
      <c r="C141" s="26" t="s">
        <v>97</v>
      </c>
      <c r="D141" s="26" t="s">
        <v>75</v>
      </c>
      <c r="E141" s="47" t="s">
        <v>11</v>
      </c>
      <c r="F141" s="48">
        <f ca="1">VLOOKUP(B141,'2B'!A1:I50,IF(Settings!$J$13="points",4,7),FALSE)</f>
        <v>17</v>
      </c>
      <c r="G141" s="29">
        <f>(M141*Settings!$B$2)+(N141*Settings!$B$3)+(O141*Settings!$B$4)+(P141*Settings!$B$5)+(Q141*Settings!$B$6)+(T141*Settings!$B$9)+(U141*Settings!$B$10)+(V141*Settings!$B$11)+(W141*Settings!$B$12)+(X141*Settings!$B$13)+(AA141*Settings!$B$16)</f>
        <v>398.35000000000031</v>
      </c>
      <c r="H141" s="30">
        <f>VLOOKUP(B141,'Standard Deviations'!$A1:$D651,4,FALSE)</f>
        <v>2.3682034744782507</v>
      </c>
      <c r="I141" s="31">
        <f ca="1">IF(Settings!$J$16="no",VLOOKUP(B141,'2B'!A1:I50,IF(Settings!$J$13="points",6,9),FALSE),VLOOKUP(B141,'2B+SS'!$A1:$I94,IF(Settings!$J$13="points",6,9),FALSE))</f>
        <v>6.0471284116649038E-2</v>
      </c>
      <c r="J141" s="30"/>
      <c r="K141" s="30">
        <f ca="1">J141-A141</f>
        <v>-229</v>
      </c>
      <c r="L141" s="30"/>
      <c r="M141" s="30">
        <f>VLOOKUP($B141,Hitters!$A1:$R401,4,FALSE)</f>
        <v>505</v>
      </c>
      <c r="N141" s="30">
        <f>VLOOKUP($B141,Hitters!$A1:$R401,5,FALSE)</f>
        <v>65.466666666666697</v>
      </c>
      <c r="O141" s="30">
        <f>VLOOKUP($B141,Hitters!$A1:$R401,6,FALSE)</f>
        <v>9.9666666666666703</v>
      </c>
      <c r="P141" s="30">
        <f>VLOOKUP($B141,Hitters!$A1:$R401,7,FALSE)</f>
        <v>60.733333333333299</v>
      </c>
      <c r="Q141" s="30">
        <f>VLOOKUP($B141,Hitters!$A1:$R401,8,FALSE)</f>
        <v>3.3333333333333299</v>
      </c>
      <c r="R141" s="32">
        <f>VLOOKUP($B141,Hitters!$A1:$R401,9,FALSE)</f>
        <v>0.29617161716171603</v>
      </c>
      <c r="S141" s="32">
        <f>VLOOKUP($B141,Hitters!$A1:$R401,10,FALSE)</f>
        <v>0.34391967725301098</v>
      </c>
      <c r="T141" s="30">
        <f>VLOOKUP($B141,Hitters!$A1:$R401,11,FALSE)</f>
        <v>149.566666666667</v>
      </c>
      <c r="U141" s="30">
        <f>VLOOKUP($B141,Hitters!$A1:$R401,12,FALSE)</f>
        <v>32.966666666666697</v>
      </c>
      <c r="V141" s="30">
        <f>VLOOKUP($B141,Hitters!$A1:$R401,13,FALSE)</f>
        <v>1.4</v>
      </c>
      <c r="W141" s="30">
        <f>VLOOKUP($B141,Hitters!$A1:$R401,14,FALSE)</f>
        <v>39.4</v>
      </c>
      <c r="X141" s="30">
        <f>VLOOKUP($B141,Hitters!$A1:$R401,15,FALSE)</f>
        <v>66.966666666666697</v>
      </c>
      <c r="Y141" s="32">
        <f>VLOOKUP($B141,Hitters!$A1:$R401,16,FALSE)</f>
        <v>0.42620462046204599</v>
      </c>
      <c r="Z141" s="32">
        <f>VLOOKUP($B141,Hitters!$A1:$R401,17,FALSE)</f>
        <v>0.77012429771505697</v>
      </c>
      <c r="AA141" s="30">
        <f>VLOOKUP($B141,Hitters!$A1:$R401,18,FALSE)</f>
        <v>0</v>
      </c>
      <c r="AB141" s="30"/>
      <c r="AC141" s="30"/>
      <c r="AD141" s="32"/>
      <c r="AE141" s="32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</row>
    <row r="142" spans="1:44" ht="18.600000000000001" customHeight="1">
      <c r="A142" s="24">
        <f ca="1">RANK(I142,I$2:I$651)</f>
        <v>121</v>
      </c>
      <c r="B142" s="25" t="s">
        <v>216</v>
      </c>
      <c r="C142" s="26" t="s">
        <v>116</v>
      </c>
      <c r="D142" s="26" t="s">
        <v>70</v>
      </c>
      <c r="E142" s="35" t="s">
        <v>31</v>
      </c>
      <c r="F142" s="36">
        <f ca="1">VLOOKUP(B142,SP!A1:I161,IF(Settings!$J$13="points",4,7),FALSE)</f>
        <v>36</v>
      </c>
      <c r="G142" s="29">
        <f>(AC142*Settings!$F$2)+(AF142*Settings!$F$5)+(AG142*Settings!$F$6)+(AH142*Settings!$F$7)+(AI142*Settings!$F$8)+(AJ142*Settings!$F$9)+(AK142*Settings!$F$10)+(AL142*Settings!$F$11)+(AM142*Settings!$F$12)+(AN142*Settings!$F$13)+(AO142*Settings!$F$14)+(AP142*Settings!$F$15)+(AQ142*Settings!$F$16)+(AR142*Settings!$F$17)</f>
        <v>398.11666666666673</v>
      </c>
      <c r="H142" s="30">
        <f>VLOOKUP(B142,'Standard Deviations'!$A1:$D651,4,FALSE)</f>
        <v>2.366784870060314</v>
      </c>
      <c r="I142" s="31">
        <f ca="1">IF(Settings!$J$16="no",VLOOKUP(B142,SP!A1:I161,IF(Settings!$J$13="points",6,9),FALSE),VLOOKUP(B142,'SP+RP'!$A1:$I251,IF(Settings!$J$13="points",6,9),FALSE))</f>
        <v>2.2308042337006286</v>
      </c>
      <c r="J142" s="30"/>
      <c r="K142" s="30">
        <f ca="1">J142-A142</f>
        <v>-121</v>
      </c>
      <c r="L142" s="30"/>
      <c r="M142" s="30"/>
      <c r="N142" s="30"/>
      <c r="O142" s="30"/>
      <c r="P142" s="30"/>
      <c r="Q142" s="30"/>
      <c r="R142" s="32"/>
      <c r="S142" s="32"/>
      <c r="T142" s="30"/>
      <c r="U142" s="30"/>
      <c r="V142" s="30"/>
      <c r="W142" s="30"/>
      <c r="X142" s="30"/>
      <c r="Y142" s="32"/>
      <c r="Z142" s="32"/>
      <c r="AA142" s="30"/>
      <c r="AB142" s="30"/>
      <c r="AC142" s="30">
        <f>VLOOKUP($B142,Pitchers!$A1:$S251,4,FALSE)</f>
        <v>165.73333333333335</v>
      </c>
      <c r="AD142" s="32">
        <f>VLOOKUP($B142,Pitchers!$A1:$S251,5,FALSE)</f>
        <v>3.7650844730490745</v>
      </c>
      <c r="AE142" s="32">
        <f>VLOOKUP($B142,Pitchers!$A1:$S251,6,FALSE)</f>
        <v>1.155068382944489</v>
      </c>
      <c r="AF142" s="30">
        <f>VLOOKUP($B142,Pitchers!$A1:$S251,7,FALSE)</f>
        <v>165.70000000000002</v>
      </c>
      <c r="AG142" s="30">
        <f>VLOOKUP($B142,Pitchers!$A1:$S251,8,FALSE)</f>
        <v>10.5</v>
      </c>
      <c r="AH142" s="30">
        <f>VLOOKUP($B142,Pitchers!$A1:$S251,9,FALSE)</f>
        <v>0</v>
      </c>
      <c r="AI142" s="30">
        <f>VLOOKUP($B142,Pitchers!$A1:$S251,10,FALSE)</f>
        <v>69.333333333333329</v>
      </c>
      <c r="AJ142" s="30">
        <f>VLOOKUP($B142,Pitchers!$A1:$S251,11,FALSE)</f>
        <v>152.03333333333333</v>
      </c>
      <c r="AK142" s="30">
        <f>VLOOKUP($B142,Pitchers!$A1:$S251,12,FALSE)</f>
        <v>39.4</v>
      </c>
      <c r="AL142" s="30">
        <f>VLOOKUP($B142,Pitchers!$A1:$S251,13,FALSE)</f>
        <v>26</v>
      </c>
      <c r="AM142" s="30">
        <f>VLOOKUP($B142,Pitchers!$A1:$S251,14,FALSE)</f>
        <v>28.933333333333334</v>
      </c>
      <c r="AN142" s="30">
        <f>VLOOKUP($B142,Pitchers!$A1:$S251,15,FALSE)</f>
        <v>28.933333333333334</v>
      </c>
      <c r="AO142" s="30">
        <f>VLOOKUP($B142,Pitchers!$A1:$S251,16,FALSE)</f>
        <v>8.5333333333333332</v>
      </c>
      <c r="AP142" s="30">
        <f>VLOOKUP($B142,Pitchers!$A1:$S251,17,FALSE)</f>
        <v>16</v>
      </c>
      <c r="AQ142" s="30">
        <f>VLOOKUP($B142,Pitchers!$A1:$S251,18,FALSE)</f>
        <v>0</v>
      </c>
      <c r="AR142" s="30">
        <f>VLOOKUP($B142,Pitchers!$A1:$S251,19,FALSE)</f>
        <v>0</v>
      </c>
    </row>
    <row r="143" spans="1:44" ht="18.600000000000001" customHeight="1">
      <c r="A143" s="24">
        <f ca="1">RANK(I143,I$2:I$651)</f>
        <v>61</v>
      </c>
      <c r="B143" s="25" t="s">
        <v>151</v>
      </c>
      <c r="C143" s="26" t="s">
        <v>125</v>
      </c>
      <c r="D143" s="26" t="s">
        <v>75</v>
      </c>
      <c r="E143" s="27" t="s">
        <v>23</v>
      </c>
      <c r="F143" s="28">
        <f ca="1">VLOOKUP(B143,OF!A1:I139,IF(Settings!$J$13="points",4,7),FALSE)</f>
        <v>23</v>
      </c>
      <c r="G143" s="29">
        <f>(M143*Settings!$B$2)+(N143*Settings!$B$3)+(O143*Settings!$B$4)+(P143*Settings!$B$5)+(Q143*Settings!$B$6)+(T143*Settings!$B$9)+(U143*Settings!$B$10)+(V143*Settings!$B$11)+(W143*Settings!$B$12)+(X143*Settings!$B$13)+(AA143*Settings!$B$16)</f>
        <v>397.85000000000042</v>
      </c>
      <c r="H143" s="30">
        <f>VLOOKUP(B143,'Standard Deviations'!$A1:$D651,4,FALSE)</f>
        <v>4.2327308114636431</v>
      </c>
      <c r="I143" s="31">
        <f ca="1">VLOOKUP(B143,OF!A1:I139,IF(Settings!$J$13="points",6,9),FALSE)</f>
        <v>4.1140148109378574</v>
      </c>
      <c r="J143" s="30"/>
      <c r="K143" s="30">
        <f ca="1">J143-A143</f>
        <v>-61</v>
      </c>
      <c r="L143" s="30"/>
      <c r="M143" s="30">
        <f>VLOOKUP($B143,Hitters!$A1:$R401,4,FALSE)</f>
        <v>460.33333333333297</v>
      </c>
      <c r="N143" s="30">
        <f>VLOOKUP($B143,Hitters!$A1:$R401,5,FALSE)</f>
        <v>71.400000000000006</v>
      </c>
      <c r="O143" s="30">
        <f>VLOOKUP($B143,Hitters!$A1:$R401,6,FALSE)</f>
        <v>24.266666666666701</v>
      </c>
      <c r="P143" s="30">
        <f>VLOOKUP($B143,Hitters!$A1:$R401,7,FALSE)</f>
        <v>72.533333333333303</v>
      </c>
      <c r="Q143" s="30">
        <f>VLOOKUP($B143,Hitters!$A1:$R401,8,FALSE)</f>
        <v>15.0666666666667</v>
      </c>
      <c r="R143" s="32">
        <f>VLOOKUP($B143,Hitters!$A1:$R401,9,FALSE)</f>
        <v>0.24475018102824</v>
      </c>
      <c r="S143" s="32">
        <f>VLOOKUP($B143,Hitters!$A1:$R401,10,FALSE)</f>
        <v>0.307740680330929</v>
      </c>
      <c r="T143" s="30">
        <f>VLOOKUP($B143,Hitters!$A1:$R401,11,FALSE)</f>
        <v>112.666666666667</v>
      </c>
      <c r="U143" s="30">
        <f>VLOOKUP($B143,Hitters!$A1:$R401,12,FALSE)</f>
        <v>19.733333333333299</v>
      </c>
      <c r="V143" s="30">
        <f>VLOOKUP($B143,Hitters!$A1:$R401,13,FALSE)</f>
        <v>1.4666666666666699</v>
      </c>
      <c r="W143" s="30">
        <f>VLOOKUP($B143,Hitters!$A1:$R401,14,FALSE)</f>
        <v>43.933333333333302</v>
      </c>
      <c r="X143" s="30">
        <f>VLOOKUP($B143,Hitters!$A1:$R401,15,FALSE)</f>
        <v>147.5</v>
      </c>
      <c r="Y143" s="32">
        <f>VLOOKUP($B143,Hitters!$A1:$R401,16,FALSE)</f>
        <v>0.45213613323678498</v>
      </c>
      <c r="Z143" s="32">
        <f>VLOOKUP($B143,Hitters!$A1:$R401,17,FALSE)</f>
        <v>0.75987681356771397</v>
      </c>
      <c r="AA143" s="30">
        <f>VLOOKUP($B143,Hitters!$A1:$R401,18,FALSE)</f>
        <v>0</v>
      </c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</row>
    <row r="144" spans="1:44" ht="20.100000000000001" customHeight="1">
      <c r="A144" s="24">
        <f ca="1">RANK(I144,I$2:I$651)</f>
        <v>109</v>
      </c>
      <c r="B144" s="25" t="s">
        <v>203</v>
      </c>
      <c r="C144" s="26" t="s">
        <v>158</v>
      </c>
      <c r="D144" s="26" t="s">
        <v>70</v>
      </c>
      <c r="E144" s="35" t="s">
        <v>31</v>
      </c>
      <c r="F144" s="36">
        <f ca="1">VLOOKUP(B144,SP!A1:I161,IF(Settings!$J$13="points",4,7),FALSE)</f>
        <v>33</v>
      </c>
      <c r="G144" s="29">
        <f>(AC144*Settings!$F$2)+(AF144*Settings!$F$5)+(AG144*Settings!$F$6)+(AH144*Settings!$F$7)+(AI144*Settings!$F$8)+(AJ144*Settings!$F$9)+(AK144*Settings!$F$10)+(AL144*Settings!$F$11)+(AM144*Settings!$F$12)+(AN144*Settings!$F$13)+(AO144*Settings!$F$14)+(AP144*Settings!$F$15)+(AQ144*Settings!$F$16)+(AR144*Settings!$F$17)</f>
        <v>397.56666666666666</v>
      </c>
      <c r="H144" s="30">
        <f>VLOOKUP(B144,'Standard Deviations'!$A1:$D651,4,FALSE)</f>
        <v>2.7229029736059438</v>
      </c>
      <c r="I144" s="31">
        <f ca="1">IF(Settings!$J$16="no",VLOOKUP(B144,SP!A1:I161,IF(Settings!$J$13="points",6,9),FALSE),VLOOKUP(B144,'SP+RP'!$A1:$I251,IF(Settings!$J$13="points",6,9),FALSE))</f>
        <v>2.5869185495498646</v>
      </c>
      <c r="J144" s="30"/>
      <c r="K144" s="30">
        <f ca="1">J144-A144</f>
        <v>-109</v>
      </c>
      <c r="L144" s="30"/>
      <c r="M144" s="30"/>
      <c r="N144" s="30"/>
      <c r="O144" s="30"/>
      <c r="P144" s="30"/>
      <c r="Q144" s="30"/>
      <c r="R144" s="32"/>
      <c r="S144" s="32"/>
      <c r="T144" s="30"/>
      <c r="U144" s="30"/>
      <c r="V144" s="30"/>
      <c r="W144" s="30"/>
      <c r="X144" s="30"/>
      <c r="Y144" s="32"/>
      <c r="Z144" s="32"/>
      <c r="AA144" s="30"/>
      <c r="AB144" s="30"/>
      <c r="AC144" s="30">
        <f>VLOOKUP($B144,Pitchers!$A1:$S251,4,FALSE)</f>
        <v>161.73333333333332</v>
      </c>
      <c r="AD144" s="32">
        <f>VLOOKUP($B144,Pitchers!$A1:$S251,5,FALSE)</f>
        <v>3.9101401483924159</v>
      </c>
      <c r="AE144" s="32">
        <f>VLOOKUP($B144,Pitchers!$A1:$S251,6,FALSE)</f>
        <v>1.1265457543281121</v>
      </c>
      <c r="AF144" s="30">
        <f>VLOOKUP($B144,Pitchers!$A1:$S251,7,FALSE)</f>
        <v>166.26666666666668</v>
      </c>
      <c r="AG144" s="30">
        <f>VLOOKUP($B144,Pitchers!$A1:$S251,8,FALSE)</f>
        <v>11.6</v>
      </c>
      <c r="AH144" s="30">
        <f>VLOOKUP($B144,Pitchers!$A1:$S251,9,FALSE)</f>
        <v>0</v>
      </c>
      <c r="AI144" s="30">
        <f>VLOOKUP($B144,Pitchers!$A1:$S251,10,FALSE)</f>
        <v>70.266666666666666</v>
      </c>
      <c r="AJ144" s="30">
        <f>VLOOKUP($B144,Pitchers!$A1:$S251,11,FALSE)</f>
        <v>134.53333333333333</v>
      </c>
      <c r="AK144" s="30">
        <f>VLOOKUP($B144,Pitchers!$A1:$S251,12,FALSE)</f>
        <v>47.666666666666664</v>
      </c>
      <c r="AL144" s="30">
        <f>VLOOKUP($B144,Pitchers!$A1:$S251,13,FALSE)</f>
        <v>26</v>
      </c>
      <c r="AM144" s="30">
        <f>VLOOKUP($B144,Pitchers!$A1:$S251,14,FALSE)</f>
        <v>29.933333333333334</v>
      </c>
      <c r="AN144" s="30">
        <f>VLOOKUP($B144,Pitchers!$A1:$S251,15,FALSE)</f>
        <v>29.933333333333334</v>
      </c>
      <c r="AO144" s="30">
        <f>VLOOKUP($B144,Pitchers!$A1:$S251,16,FALSE)</f>
        <v>8.2999999999999989</v>
      </c>
      <c r="AP144" s="30">
        <f>VLOOKUP($B144,Pitchers!$A1:$S251,17,FALSE)</f>
        <v>14</v>
      </c>
      <c r="AQ144" s="30">
        <f>VLOOKUP($B144,Pitchers!$A1:$S251,18,FALSE)</f>
        <v>0</v>
      </c>
      <c r="AR144" s="30">
        <f>VLOOKUP($B144,Pitchers!$A1:$S251,19,FALSE)</f>
        <v>0</v>
      </c>
    </row>
    <row r="145" spans="1:44" ht="18.600000000000001" customHeight="1">
      <c r="A145" s="24">
        <f ca="1">RANK(I145,I$2:I$651)</f>
        <v>106</v>
      </c>
      <c r="B145" s="25" t="s">
        <v>200</v>
      </c>
      <c r="C145" s="26" t="s">
        <v>95</v>
      </c>
      <c r="D145" s="26" t="s">
        <v>70</v>
      </c>
      <c r="E145" s="45" t="s">
        <v>19</v>
      </c>
      <c r="F145" s="46">
        <f ca="1">VLOOKUP(B145,'C'!A1:I54,IF(Settings!$J$13="points",4,7),FALSE)</f>
        <v>5</v>
      </c>
      <c r="G145" s="29">
        <f>(M145*Settings!$B$2)+(N145*Settings!$B$3)+(O145*Settings!$B$4)+(P145*Settings!$B$5)+(Q145*Settings!$B$6)+(T145*Settings!$B$9)+(U145*Settings!$B$10)+(V145*Settings!$B$11)+(W145*Settings!$B$12)+(X145*Settings!$B$13)+(AA145*Settings!$B$16)</f>
        <v>396.4</v>
      </c>
      <c r="H145" s="30">
        <f>VLOOKUP(B145,'Standard Deviations'!$A1:$D651,4,FALSE)</f>
        <v>2.4328929365117014</v>
      </c>
      <c r="I145" s="31">
        <f ca="1">VLOOKUP(B145,'C'!A1:I54,IF(Settings!$J$13="points",6,9),FALSE)</f>
        <v>2.7499850972935409</v>
      </c>
      <c r="J145" s="30"/>
      <c r="K145" s="30">
        <f ca="1">J145-A145</f>
        <v>-106</v>
      </c>
      <c r="L145" s="30"/>
      <c r="M145" s="30">
        <f>VLOOKUP($B145,Hitters!$A1:$R401,4,FALSE)</f>
        <v>425.5</v>
      </c>
      <c r="N145" s="30">
        <f>VLOOKUP($B145,Hitters!$A1:$R401,5,FALSE)</f>
        <v>63.6</v>
      </c>
      <c r="O145" s="30">
        <f>VLOOKUP($B145,Hitters!$A1:$R401,6,FALSE)</f>
        <v>17.149999999999999</v>
      </c>
      <c r="P145" s="30">
        <f>VLOOKUP($B145,Hitters!$A1:$R401,7,FALSE)</f>
        <v>68.150000000000006</v>
      </c>
      <c r="Q145" s="30">
        <f>VLOOKUP($B145,Hitters!$A1:$R401,8,FALSE)</f>
        <v>0.85</v>
      </c>
      <c r="R145" s="32">
        <f>VLOOKUP($B145,Hitters!$A1:$R401,9,FALSE)</f>
        <v>0.28143360752056401</v>
      </c>
      <c r="S145" s="32">
        <f>VLOOKUP($B145,Hitters!$A1:$R401,10,FALSE)</f>
        <v>0.35877175745415801</v>
      </c>
      <c r="T145" s="30">
        <f>VLOOKUP($B145,Hitters!$A1:$R401,11,FALSE)</f>
        <v>119.75</v>
      </c>
      <c r="U145" s="30">
        <f>VLOOKUP($B145,Hitters!$A1:$R401,12,FALSE)</f>
        <v>23.55</v>
      </c>
      <c r="V145" s="30">
        <f>VLOOKUP($B145,Hitters!$A1:$R401,13,FALSE)</f>
        <v>0.85</v>
      </c>
      <c r="W145" s="30">
        <f>VLOOKUP($B145,Hitters!$A1:$R401,14,FALSE)</f>
        <v>53.7</v>
      </c>
      <c r="X145" s="30">
        <f>VLOOKUP($B145,Hitters!$A1:$R401,15,FALSE)</f>
        <v>57.5</v>
      </c>
      <c r="Y145" s="32">
        <f>VLOOKUP($B145,Hitters!$A1:$R401,16,FALSE)</f>
        <v>0.461692126909518</v>
      </c>
      <c r="Z145" s="32">
        <f>VLOOKUP($B145,Hitters!$A1:$R401,17,FALSE)</f>
        <v>0.82046388436367601</v>
      </c>
      <c r="AA145" s="30">
        <f>VLOOKUP($B145,Hitters!$A1:$R401,18,FALSE)</f>
        <v>0</v>
      </c>
      <c r="AB145" s="30"/>
      <c r="AC145" s="30"/>
      <c r="AD145" s="32"/>
      <c r="AE145" s="32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</row>
    <row r="146" spans="1:44" ht="18.600000000000001" customHeight="1">
      <c r="A146" s="24">
        <f ca="1">RANK(I146,I$2:I$651)</f>
        <v>188</v>
      </c>
      <c r="B146" s="25" t="s">
        <v>285</v>
      </c>
      <c r="C146" s="26" t="s">
        <v>122</v>
      </c>
      <c r="D146" s="26" t="s">
        <v>75</v>
      </c>
      <c r="E146" s="35" t="s">
        <v>31</v>
      </c>
      <c r="F146" s="36">
        <f ca="1">VLOOKUP(B146,SP!A1:I161,IF(Settings!$J$13="points",4,7),FALSE)</f>
        <v>58</v>
      </c>
      <c r="G146" s="29">
        <f>(AC146*Settings!$F$2)+(AF146*Settings!$F$5)+(AG146*Settings!$F$6)+(AH146*Settings!$F$7)+(AI146*Settings!$F$8)+(AJ146*Settings!$F$9)+(AK146*Settings!$F$10)+(AL146*Settings!$F$11)+(AM146*Settings!$F$12)+(AN146*Settings!$F$13)+(AO146*Settings!$F$14)+(AP146*Settings!$F$15)+(AQ146*Settings!$F$16)+(AR146*Settings!$F$17)</f>
        <v>394.50999999999988</v>
      </c>
      <c r="H146" s="30">
        <f>VLOOKUP(B146,'Standard Deviations'!$A1:$D651,4,FALSE)</f>
        <v>0.85361277580161121</v>
      </c>
      <c r="I146" s="31">
        <f ca="1">IF(Settings!$J$16="no",VLOOKUP(B146,SP!A1:I161,IF(Settings!$J$13="points",6,9),FALSE),VLOOKUP(B146,'SP+RP'!$A1:$I251,IF(Settings!$J$13="points",6,9),FALSE))</f>
        <v>0.71762817101383625</v>
      </c>
      <c r="J146" s="30"/>
      <c r="K146" s="30">
        <f ca="1">J146-A146</f>
        <v>-188</v>
      </c>
      <c r="L146" s="30"/>
      <c r="M146" s="30"/>
      <c r="N146" s="30"/>
      <c r="O146" s="30"/>
      <c r="P146" s="30"/>
      <c r="Q146" s="30"/>
      <c r="R146" s="32"/>
      <c r="S146" s="32"/>
      <c r="T146" s="30"/>
      <c r="U146" s="30"/>
      <c r="V146" s="30"/>
      <c r="W146" s="30"/>
      <c r="X146" s="30"/>
      <c r="Y146" s="32"/>
      <c r="Z146" s="32"/>
      <c r="AA146" s="30"/>
      <c r="AB146" s="30"/>
      <c r="AC146" s="30">
        <f>VLOOKUP($B146,Pitchers!$A1:$S251,4,FALSE)</f>
        <v>181.86666666666665</v>
      </c>
      <c r="AD146" s="32">
        <f>VLOOKUP($B146,Pitchers!$A1:$S251,5,FALSE)</f>
        <v>4.0532991202346045</v>
      </c>
      <c r="AE146" s="32">
        <f>VLOOKUP($B146,Pitchers!$A1:$S251,6,FALSE)</f>
        <v>1.2485337243401762</v>
      </c>
      <c r="AF146" s="30">
        <f>VLOOKUP($B146,Pitchers!$A1:$S251,7,FALSE)</f>
        <v>156.23333333333332</v>
      </c>
      <c r="AG146" s="30">
        <f>VLOOKUP($B146,Pitchers!$A1:$S251,8,FALSE)</f>
        <v>11.133333333333333</v>
      </c>
      <c r="AH146" s="30">
        <f>VLOOKUP($B146,Pitchers!$A1:$S251,9,FALSE)</f>
        <v>0</v>
      </c>
      <c r="AI146" s="30">
        <f>VLOOKUP($B146,Pitchers!$A1:$S251,10,FALSE)</f>
        <v>81.906666666666666</v>
      </c>
      <c r="AJ146" s="30">
        <f>VLOOKUP($B146,Pitchers!$A1:$S251,11,FALSE)</f>
        <v>173.5</v>
      </c>
      <c r="AK146" s="30">
        <f>VLOOKUP($B146,Pitchers!$A1:$S251,12,FALSE)</f>
        <v>53.566666666666663</v>
      </c>
      <c r="AL146" s="30">
        <f>VLOOKUP($B146,Pitchers!$A1:$S251,13,FALSE)</f>
        <v>26</v>
      </c>
      <c r="AM146" s="30">
        <f>VLOOKUP($B146,Pitchers!$A1:$S251,14,FALSE)</f>
        <v>30.266666666666666</v>
      </c>
      <c r="AN146" s="30">
        <f>VLOOKUP($B146,Pitchers!$A1:$S251,15,FALSE)</f>
        <v>30.266666666666666</v>
      </c>
      <c r="AO146" s="30">
        <f>VLOOKUP($B146,Pitchers!$A1:$S251,16,FALSE)</f>
        <v>9.8333333333333339</v>
      </c>
      <c r="AP146" s="30">
        <f>VLOOKUP($B146,Pitchers!$A1:$S251,17,FALSE)</f>
        <v>17</v>
      </c>
      <c r="AQ146" s="30">
        <f>VLOOKUP($B146,Pitchers!$A1:$S251,18,FALSE)</f>
        <v>0</v>
      </c>
      <c r="AR146" s="30">
        <f>VLOOKUP($B146,Pitchers!$A1:$S251,19,FALSE)</f>
        <v>0</v>
      </c>
    </row>
    <row r="147" spans="1:44" ht="18.600000000000001" customHeight="1">
      <c r="A147" s="24">
        <f ca="1">RANK(I147,I$2:I$651)</f>
        <v>145</v>
      </c>
      <c r="B147" s="25" t="s">
        <v>242</v>
      </c>
      <c r="C147" s="26" t="s">
        <v>74</v>
      </c>
      <c r="D147" s="26" t="s">
        <v>75</v>
      </c>
      <c r="E147" s="35" t="s">
        <v>31</v>
      </c>
      <c r="F147" s="36">
        <f ca="1">VLOOKUP(B147,SP!A1:I161,IF(Settings!$J$13="points",4,7),FALSE)</f>
        <v>46</v>
      </c>
      <c r="G147" s="29">
        <f>(AC147*Settings!$F$2)+(AF147*Settings!$F$5)+(AG147*Settings!$F$6)+(AH147*Settings!$F$7)+(AI147*Settings!$F$8)+(AJ147*Settings!$F$9)+(AK147*Settings!$F$10)+(AL147*Settings!$F$11)+(AM147*Settings!$F$12)+(AN147*Settings!$F$13)+(AO147*Settings!$F$14)+(AP147*Settings!$F$15)+(AQ147*Settings!$F$16)+(AR147*Settings!$F$17)</f>
        <v>394.15000000000009</v>
      </c>
      <c r="H147" s="30">
        <f>VLOOKUP(B147,'Standard Deviations'!$A1:$D651,4,FALSE)</f>
        <v>1.76489745638155</v>
      </c>
      <c r="I147" s="31">
        <f ca="1">IF(Settings!$J$16="no",VLOOKUP(B147,SP!A1:I161,IF(Settings!$J$13="points",6,9),FALSE),VLOOKUP(B147,'SP+RP'!$A1:$I251,IF(Settings!$J$13="points",6,9),FALSE))</f>
        <v>1.6289112811015465</v>
      </c>
      <c r="J147" s="30"/>
      <c r="K147" s="30">
        <f ca="1">J147-A147</f>
        <v>-145</v>
      </c>
      <c r="L147" s="30"/>
      <c r="M147" s="30"/>
      <c r="N147" s="30"/>
      <c r="O147" s="30"/>
      <c r="P147" s="30"/>
      <c r="Q147" s="30"/>
      <c r="R147" s="32"/>
      <c r="S147" s="32"/>
      <c r="T147" s="30"/>
      <c r="U147" s="30"/>
      <c r="V147" s="30"/>
      <c r="W147" s="30"/>
      <c r="X147" s="30"/>
      <c r="Y147" s="32"/>
      <c r="Z147" s="32"/>
      <c r="AA147" s="30"/>
      <c r="AB147" s="30"/>
      <c r="AC147" s="30">
        <f>VLOOKUP($B147,Pitchers!$A1:$S251,4,FALSE)</f>
        <v>162.23333333333335</v>
      </c>
      <c r="AD147" s="32">
        <f>VLOOKUP($B147,Pitchers!$A1:$S251,5,FALSE)</f>
        <v>3.9535648243271004</v>
      </c>
      <c r="AE147" s="32">
        <f>VLOOKUP($B147,Pitchers!$A1:$S251,6,FALSE)</f>
        <v>1.2161495787959729</v>
      </c>
      <c r="AF147" s="30">
        <f>VLOOKUP($B147,Pitchers!$A1:$S251,7,FALSE)</f>
        <v>182.56666666666669</v>
      </c>
      <c r="AG147" s="30">
        <f>VLOOKUP($B147,Pitchers!$A1:$S251,8,FALSE)</f>
        <v>10.533333333333333</v>
      </c>
      <c r="AH147" s="30">
        <f>VLOOKUP($B147,Pitchers!$A1:$S251,9,FALSE)</f>
        <v>0</v>
      </c>
      <c r="AI147" s="30">
        <f>VLOOKUP($B147,Pitchers!$A1:$S251,10,FALSE)</f>
        <v>71.266666666666666</v>
      </c>
      <c r="AJ147" s="30">
        <f>VLOOKUP($B147,Pitchers!$A1:$S251,11,FALSE)</f>
        <v>142.76666666666668</v>
      </c>
      <c r="AK147" s="30">
        <f>VLOOKUP($B147,Pitchers!$A1:$S251,12,FALSE)</f>
        <v>54.533333333333331</v>
      </c>
      <c r="AL147" s="30">
        <f>VLOOKUP($B147,Pitchers!$A1:$S251,13,FALSE)</f>
        <v>19</v>
      </c>
      <c r="AM147" s="30">
        <f>VLOOKUP($B147,Pitchers!$A1:$S251,14,FALSE)</f>
        <v>29.266666666666666</v>
      </c>
      <c r="AN147" s="30">
        <f>VLOOKUP($B147,Pitchers!$A1:$S251,15,FALSE)</f>
        <v>29.266666666666666</v>
      </c>
      <c r="AO147" s="30">
        <f>VLOOKUP($B147,Pitchers!$A1:$S251,16,FALSE)</f>
        <v>6.8</v>
      </c>
      <c r="AP147" s="30">
        <f>VLOOKUP($B147,Pitchers!$A1:$S251,17,FALSE)</f>
        <v>15</v>
      </c>
      <c r="AQ147" s="30">
        <f>VLOOKUP($B147,Pitchers!$A1:$S251,18,FALSE)</f>
        <v>0</v>
      </c>
      <c r="AR147" s="30">
        <f>VLOOKUP($B147,Pitchers!$A1:$S251,19,FALSE)</f>
        <v>0</v>
      </c>
    </row>
    <row r="148" spans="1:44" ht="20.100000000000001" customHeight="1">
      <c r="A148" s="24">
        <f ca="1">RANK(I148,I$2:I$651)</f>
        <v>73</v>
      </c>
      <c r="B148" s="25" t="s">
        <v>166</v>
      </c>
      <c r="C148" s="26" t="s">
        <v>119</v>
      </c>
      <c r="D148" s="26" t="s">
        <v>70</v>
      </c>
      <c r="E148" s="45" t="s">
        <v>19</v>
      </c>
      <c r="F148" s="46">
        <f ca="1">VLOOKUP(B148,'C'!A1:I54,IF(Settings!$J$13="points",4,7),FALSE)</f>
        <v>4</v>
      </c>
      <c r="G148" s="29">
        <f>(M148*Settings!$B$2)+(N148*Settings!$B$3)+(O148*Settings!$B$4)+(P148*Settings!$B$5)+(Q148*Settings!$B$6)+(T148*Settings!$B$9)+(U148*Settings!$B$10)+(V148*Settings!$B$11)+(W148*Settings!$B$12)+(X148*Settings!$B$13)+(AA148*Settings!$B$16)</f>
        <v>393.8333333333336</v>
      </c>
      <c r="H148" s="30">
        <f>VLOOKUP(B148,'Standard Deviations'!$A1:$D651,4,FALSE)</f>
        <v>3.4024183049802366</v>
      </c>
      <c r="I148" s="31">
        <f ca="1">VLOOKUP(B148,'C'!A1:I54,IF(Settings!$J$13="points",6,9),FALSE)</f>
        <v>3.7195119888102597</v>
      </c>
      <c r="J148" s="30"/>
      <c r="K148" s="30">
        <f ca="1">J148-A148</f>
        <v>-73</v>
      </c>
      <c r="L148" s="30"/>
      <c r="M148" s="30">
        <f>VLOOKUP($B148,Hitters!$A1:$R401,4,FALSE)</f>
        <v>498.33333333333297</v>
      </c>
      <c r="N148" s="30">
        <f>VLOOKUP($B148,Hitters!$A1:$R401,5,FALSE)</f>
        <v>64.5</v>
      </c>
      <c r="O148" s="30">
        <f>VLOOKUP($B148,Hitters!$A1:$R401,6,FALSE)</f>
        <v>27.233333333333299</v>
      </c>
      <c r="P148" s="30">
        <f>VLOOKUP($B148,Hitters!$A1:$R401,7,FALSE)</f>
        <v>81.033333333333303</v>
      </c>
      <c r="Q148" s="30">
        <f>VLOOKUP($B148,Hitters!$A1:$R401,8,FALSE)</f>
        <v>0.96666666666666701</v>
      </c>
      <c r="R148" s="32">
        <f>VLOOKUP($B148,Hitters!$A1:$R401,9,FALSE)</f>
        <v>0.262006688963211</v>
      </c>
      <c r="S148" s="32">
        <f>VLOOKUP($B148,Hitters!$A1:$R401,10,FALSE)</f>
        <v>0.290743031110266</v>
      </c>
      <c r="T148" s="30">
        <f>VLOOKUP($B148,Hitters!$A1:$R401,11,FALSE)</f>
        <v>130.566666666667</v>
      </c>
      <c r="U148" s="30">
        <f>VLOOKUP($B148,Hitters!$A1:$R401,12,FALSE)</f>
        <v>22.8</v>
      </c>
      <c r="V148" s="30">
        <f>VLOOKUP($B148,Hitters!$A1:$R401,13,FALSE)</f>
        <v>1</v>
      </c>
      <c r="W148" s="30">
        <f>VLOOKUP($B148,Hitters!$A1:$R401,14,FALSE)</f>
        <v>22.233333333333299</v>
      </c>
      <c r="X148" s="30">
        <f>VLOOKUP($B148,Hitters!$A1:$R401,15,FALSE)</f>
        <v>127.933333333333</v>
      </c>
      <c r="Y148" s="32">
        <f>VLOOKUP($B148,Hitters!$A1:$R401,16,FALSE)</f>
        <v>0.47571906354515098</v>
      </c>
      <c r="Z148" s="32">
        <f>VLOOKUP($B148,Hitters!$A1:$R401,17,FALSE)</f>
        <v>0.76646209465541604</v>
      </c>
      <c r="AA148" s="30">
        <f>VLOOKUP($B148,Hitters!$A1:$R401,18,FALSE)</f>
        <v>0</v>
      </c>
      <c r="AB148" s="30"/>
      <c r="AC148" s="30"/>
      <c r="AD148" s="32"/>
      <c r="AE148" s="32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</row>
    <row r="149" spans="1:44" ht="18.600000000000001" customHeight="1">
      <c r="A149" s="24">
        <f ca="1">RANK(I149,I$2:I$651)</f>
        <v>206</v>
      </c>
      <c r="B149" s="25" t="s">
        <v>303</v>
      </c>
      <c r="C149" s="26" t="s">
        <v>79</v>
      </c>
      <c r="D149" s="26" t="s">
        <v>70</v>
      </c>
      <c r="E149" s="37" t="s">
        <v>27</v>
      </c>
      <c r="F149" s="38">
        <f ca="1">VLOOKUP(B149,SS!A1:I45,IF(Settings!$J$13="points",4,7),FALSE)</f>
        <v>15</v>
      </c>
      <c r="G149" s="29">
        <f>(M149*Settings!$B$2)+(N149*Settings!$B$3)+(O149*Settings!$B$4)+(P149*Settings!$B$5)+(Q149*Settings!$B$6)+(T149*Settings!$B$9)+(U149*Settings!$B$10)+(V149*Settings!$B$11)+(W149*Settings!$B$12)+(X149*Settings!$B$13)+(AA149*Settings!$B$16)</f>
        <v>393.0500000000003</v>
      </c>
      <c r="H149" s="30">
        <f>VLOOKUP(B149,'Standard Deviations'!$A1:$D651,4,FALSE)</f>
        <v>3.4037210517427736</v>
      </c>
      <c r="I149" s="31">
        <f ca="1">IF(Settings!$J$16="no",VLOOKUP(B149,SS!A1:I45,IF(Settings!$J$13="points",6,9),FALSE),VLOOKUP(B149,'2B+SS'!$A1:$I94,IF(Settings!$J$13="points",6,9),FALSE))</f>
        <v>0.39929733237092258</v>
      </c>
      <c r="J149" s="30"/>
      <c r="K149" s="30">
        <f ca="1">J149-A149</f>
        <v>-206</v>
      </c>
      <c r="L149" s="30"/>
      <c r="M149" s="30">
        <f>VLOOKUP($B149,Hitters!$A1:$R401,4,FALSE)</f>
        <v>532.66666666666697</v>
      </c>
      <c r="N149" s="30">
        <f>VLOOKUP($B149,Hitters!$A1:$R401,5,FALSE)</f>
        <v>70.733333333333306</v>
      </c>
      <c r="O149" s="30">
        <f>VLOOKUP($B149,Hitters!$A1:$R401,6,FALSE)</f>
        <v>21.6666666666667</v>
      </c>
      <c r="P149" s="30">
        <f>VLOOKUP($B149,Hitters!$A1:$R401,7,FALSE)</f>
        <v>68.466666666666697</v>
      </c>
      <c r="Q149" s="30">
        <f>VLOOKUP($B149,Hitters!$A1:$R401,8,FALSE)</f>
        <v>10.966666666666701</v>
      </c>
      <c r="R149" s="32">
        <f>VLOOKUP($B149,Hitters!$A1:$R401,9,FALSE)</f>
        <v>0.251564455569462</v>
      </c>
      <c r="S149" s="32">
        <f>VLOOKUP($B149,Hitters!$A1:$R401,10,FALSE)</f>
        <v>0.28415668485836498</v>
      </c>
      <c r="T149" s="30">
        <f>VLOOKUP($B149,Hitters!$A1:$R401,11,FALSE)</f>
        <v>134</v>
      </c>
      <c r="U149" s="30">
        <f>VLOOKUP($B149,Hitters!$A1:$R401,12,FALSE)</f>
        <v>22.566666666666698</v>
      </c>
      <c r="V149" s="30">
        <f>VLOOKUP($B149,Hitters!$A1:$R401,13,FALSE)</f>
        <v>2.4666666666666699</v>
      </c>
      <c r="W149" s="30">
        <f>VLOOKUP($B149,Hitters!$A1:$R401,14,FALSE)</f>
        <v>26.366666666666699</v>
      </c>
      <c r="X149" s="30">
        <f>VLOOKUP($B149,Hitters!$A1:$R401,15,FALSE)</f>
        <v>135.30000000000001</v>
      </c>
      <c r="Y149" s="32">
        <f>VLOOKUP($B149,Hitters!$A1:$R401,16,FALSE)</f>
        <v>0.42521902377972498</v>
      </c>
      <c r="Z149" s="32">
        <f>VLOOKUP($B149,Hitters!$A1:$R401,17,FALSE)</f>
        <v>0.70937570863808896</v>
      </c>
      <c r="AA149" s="30">
        <f>VLOOKUP($B149,Hitters!$A1:$R401,18,FALSE)</f>
        <v>0</v>
      </c>
      <c r="AB149" s="30"/>
      <c r="AC149" s="30"/>
      <c r="AD149" s="32"/>
      <c r="AE149" s="32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</row>
    <row r="150" spans="1:44" ht="18.600000000000001" customHeight="1">
      <c r="A150" s="24">
        <f ca="1">RANK(I150,I$2:I$651)</f>
        <v>117</v>
      </c>
      <c r="B150" s="25" t="s">
        <v>212</v>
      </c>
      <c r="C150" s="26" t="s">
        <v>72</v>
      </c>
      <c r="D150" s="26" t="s">
        <v>70</v>
      </c>
      <c r="E150" s="35" t="s">
        <v>31</v>
      </c>
      <c r="F150" s="36">
        <f ca="1">VLOOKUP(B150,SP!A1:I161,IF(Settings!$J$13="points",4,7),FALSE)</f>
        <v>35</v>
      </c>
      <c r="G150" s="29">
        <f>(AC150*Settings!$F$2)+(AF150*Settings!$F$5)+(AG150*Settings!$F$6)+(AH150*Settings!$F$7)+(AI150*Settings!$F$8)+(AJ150*Settings!$F$9)+(AK150*Settings!$F$10)+(AL150*Settings!$F$11)+(AM150*Settings!$F$12)+(AN150*Settings!$F$13)+(AO150*Settings!$F$14)+(AP150*Settings!$F$15)+(AQ150*Settings!$F$16)+(AR150*Settings!$F$17)</f>
        <v>392.59333333333336</v>
      </c>
      <c r="H150" s="30">
        <f>VLOOKUP(B150,'Standard Deviations'!$A1:$D651,4,FALSE)</f>
        <v>2.4336448183898383</v>
      </c>
      <c r="I150" s="31">
        <f ca="1">IF(Settings!$J$16="no",VLOOKUP(B150,SP!A1:I161,IF(Settings!$J$13="points",6,9),FALSE),VLOOKUP(B150,'SP+RP'!$A1:$I251,IF(Settings!$J$13="points",6,9),FALSE))</f>
        <v>2.2976572417967245</v>
      </c>
      <c r="J150" s="30"/>
      <c r="K150" s="30">
        <f ca="1">J150-A150</f>
        <v>-117</v>
      </c>
      <c r="L150" s="30"/>
      <c r="M150" s="30"/>
      <c r="N150" s="30"/>
      <c r="O150" s="30"/>
      <c r="P150" s="30"/>
      <c r="Q150" s="30"/>
      <c r="R150" s="32"/>
      <c r="S150" s="32"/>
      <c r="T150" s="30"/>
      <c r="U150" s="30"/>
      <c r="V150" s="30"/>
      <c r="W150" s="30"/>
      <c r="X150" s="30"/>
      <c r="Y150" s="32"/>
      <c r="Z150" s="32"/>
      <c r="AA150" s="30"/>
      <c r="AB150" s="30"/>
      <c r="AC150" s="30">
        <f>VLOOKUP($B150,Pitchers!$A1:$S251,4,FALSE)</f>
        <v>166.26666666666665</v>
      </c>
      <c r="AD150" s="32">
        <f>VLOOKUP($B150,Pitchers!$A1:$S251,5,FALSE)</f>
        <v>3.5341419406575785</v>
      </c>
      <c r="AE150" s="32">
        <f>VLOOKUP($B150,Pitchers!$A1:$S251,6,FALSE)</f>
        <v>1.1641940657578189</v>
      </c>
      <c r="AF150" s="30">
        <f>VLOOKUP($B150,Pitchers!$A1:$S251,7,FALSE)</f>
        <v>163.36666666666667</v>
      </c>
      <c r="AG150" s="30">
        <f>VLOOKUP($B150,Pitchers!$A1:$S251,8,FALSE)</f>
        <v>9.7333333333333325</v>
      </c>
      <c r="AH150" s="30">
        <f>VLOOKUP($B150,Pitchers!$A1:$S251,9,FALSE)</f>
        <v>0</v>
      </c>
      <c r="AI150" s="30">
        <f>VLOOKUP($B150,Pitchers!$A1:$S251,10,FALSE)</f>
        <v>65.290000000000006</v>
      </c>
      <c r="AJ150" s="30">
        <f>VLOOKUP($B150,Pitchers!$A1:$S251,11,FALSE)</f>
        <v>159.86666666666667</v>
      </c>
      <c r="AK150" s="30">
        <f>VLOOKUP($B150,Pitchers!$A1:$S251,12,FALSE)</f>
        <v>33.699999999999996</v>
      </c>
      <c r="AL150" s="30">
        <f>VLOOKUP($B150,Pitchers!$A1:$S251,13,FALSE)</f>
        <v>17</v>
      </c>
      <c r="AM150" s="30">
        <f>VLOOKUP($B150,Pitchers!$A1:$S251,14,FALSE)</f>
        <v>29.733333333333334</v>
      </c>
      <c r="AN150" s="30">
        <f>VLOOKUP($B150,Pitchers!$A1:$S251,15,FALSE)</f>
        <v>29.733333333333334</v>
      </c>
      <c r="AO150" s="30">
        <f>VLOOKUP($B150,Pitchers!$A1:$S251,16,FALSE)</f>
        <v>7.2333333333333334</v>
      </c>
      <c r="AP150" s="30">
        <f>VLOOKUP($B150,Pitchers!$A1:$S251,17,FALSE)</f>
        <v>13</v>
      </c>
      <c r="AQ150" s="30">
        <f>VLOOKUP($B150,Pitchers!$A1:$S251,18,FALSE)</f>
        <v>0</v>
      </c>
      <c r="AR150" s="30">
        <f>VLOOKUP($B150,Pitchers!$A1:$S251,19,FALSE)</f>
        <v>0</v>
      </c>
    </row>
    <row r="151" spans="1:44" ht="18.600000000000001" customHeight="1">
      <c r="A151" s="24">
        <f ca="1">RANK(I151,I$2:I$651)</f>
        <v>134</v>
      </c>
      <c r="B151" s="25" t="s">
        <v>230</v>
      </c>
      <c r="C151" s="26" t="s">
        <v>139</v>
      </c>
      <c r="D151" s="26" t="s">
        <v>75</v>
      </c>
      <c r="E151" s="33" t="s">
        <v>15</v>
      </c>
      <c r="F151" s="34">
        <f ca="1">VLOOKUP(B151,'3B'!A1:I55,IF(Settings!$J$13="points",4,7),FALSE)</f>
        <v>9</v>
      </c>
      <c r="G151" s="29">
        <f>(M151*Settings!$B$2)+(N151*Settings!$B$3)+(O151*Settings!$B$4)+(P151*Settings!$B$5)+(Q151*Settings!$B$6)+(T151*Settings!$B$9)+(U151*Settings!$B$10)+(V151*Settings!$B$11)+(W151*Settings!$B$12)+(X151*Settings!$B$13)+(AA151*Settings!$B$16)</f>
        <v>388.98333333333346</v>
      </c>
      <c r="H151" s="30">
        <f>VLOOKUP(B151,'Standard Deviations'!$A1:$D651,4,FALSE)</f>
        <v>2.6214896625847972</v>
      </c>
      <c r="I151" s="31">
        <f ca="1">IF(Settings!$J$15="no",VLOOKUP(B151,'3B'!A1:I55,IF(Settings!$J$13="points",6,9),FALSE),VLOOKUP(B151,'1B+3B'!$A1:$I104,IF(Settings!$J$13="points",6,9),FALSE))</f>
        <v>1.8938112697337175</v>
      </c>
      <c r="J151" s="30"/>
      <c r="K151" s="30">
        <f ca="1">J151-A151</f>
        <v>-134</v>
      </c>
      <c r="L151" s="30"/>
      <c r="M151" s="30">
        <f>VLOOKUP($B151,Hitters!$A1:$R401,4,FALSE)</f>
        <v>519</v>
      </c>
      <c r="N151" s="30">
        <f>VLOOKUP($B151,Hitters!$A1:$R401,5,FALSE)</f>
        <v>67.133333333333297</v>
      </c>
      <c r="O151" s="30">
        <f>VLOOKUP($B151,Hitters!$A1:$R401,6,FALSE)</f>
        <v>10.9</v>
      </c>
      <c r="P151" s="30">
        <f>VLOOKUP($B151,Hitters!$A1:$R401,7,FALSE)</f>
        <v>56.1666666666667</v>
      </c>
      <c r="Q151" s="30">
        <f>VLOOKUP($B151,Hitters!$A1:$R401,8,FALSE)</f>
        <v>17.033333333333299</v>
      </c>
      <c r="R151" s="32">
        <f>VLOOKUP($B151,Hitters!$A1:$R401,9,FALSE)</f>
        <v>0.259473346178548</v>
      </c>
      <c r="S151" s="32">
        <f>VLOOKUP($B151,Hitters!$A1:$R401,10,FALSE)</f>
        <v>0.32034989560129601</v>
      </c>
      <c r="T151" s="30">
        <f>VLOOKUP($B151,Hitters!$A1:$R401,11,FALSE)</f>
        <v>134.666666666667</v>
      </c>
      <c r="U151" s="30">
        <f>VLOOKUP($B151,Hitters!$A1:$R401,12,FALSE)</f>
        <v>28.033333333333299</v>
      </c>
      <c r="V151" s="30">
        <f>VLOOKUP($B151,Hitters!$A1:$R401,13,FALSE)</f>
        <v>3.43333333333333</v>
      </c>
      <c r="W151" s="30">
        <f>VLOOKUP($B151,Hitters!$A1:$R401,14,FALSE)</f>
        <v>48.933333333333302</v>
      </c>
      <c r="X151" s="30">
        <f>VLOOKUP($B151,Hitters!$A1:$R401,15,FALSE)</f>
        <v>123.9</v>
      </c>
      <c r="Y151" s="32">
        <f>VLOOKUP($B151,Hitters!$A1:$R401,16,FALSE)</f>
        <v>0.38972382787411702</v>
      </c>
      <c r="Z151" s="32">
        <f>VLOOKUP($B151,Hitters!$A1:$R401,17,FALSE)</f>
        <v>0.71007372347541298</v>
      </c>
      <c r="AA151" s="30">
        <f>VLOOKUP($B151,Hitters!$A1:$R401,18,FALSE)</f>
        <v>0</v>
      </c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</row>
    <row r="152" spans="1:44" ht="18.600000000000001" customHeight="1">
      <c r="A152" s="24">
        <f ca="1">RANK(I152,I$2:I$651)</f>
        <v>172</v>
      </c>
      <c r="B152" s="25" t="s">
        <v>271</v>
      </c>
      <c r="C152" s="26" t="s">
        <v>119</v>
      </c>
      <c r="D152" s="26" t="s">
        <v>70</v>
      </c>
      <c r="E152" s="35" t="s">
        <v>31</v>
      </c>
      <c r="F152" s="36">
        <f ca="1">VLOOKUP(B152,SP!A1:I161,IF(Settings!$J$13="points",4,7),FALSE)</f>
        <v>52</v>
      </c>
      <c r="G152" s="29">
        <f>(AC152*Settings!$F$2)+(AF152*Settings!$F$5)+(AG152*Settings!$F$6)+(AH152*Settings!$F$7)+(AI152*Settings!$F$8)+(AJ152*Settings!$F$9)+(AK152*Settings!$F$10)+(AL152*Settings!$F$11)+(AM152*Settings!$F$12)+(AN152*Settings!$F$13)+(AO152*Settings!$F$14)+(AP152*Settings!$F$15)+(AQ152*Settings!$F$16)+(AR152*Settings!$F$17)</f>
        <v>388.71133333333341</v>
      </c>
      <c r="H152" s="30">
        <f>VLOOKUP(B152,'Standard Deviations'!$A1:$D651,4,FALSE)</f>
        <v>1.1541908467785056</v>
      </c>
      <c r="I152" s="31">
        <f ca="1">IF(Settings!$J$16="no",VLOOKUP(B152,SP!A1:I161,IF(Settings!$J$13="points",6,9),FALSE),VLOOKUP(B152,'SP+RP'!$A1:$I251,IF(Settings!$J$13="points",6,9),FALSE))</f>
        <v>1.0182096823720999</v>
      </c>
      <c r="J152" s="30"/>
      <c r="K152" s="30">
        <f ca="1">J152-A152</f>
        <v>-172</v>
      </c>
      <c r="L152" s="30"/>
      <c r="M152" s="30"/>
      <c r="N152" s="30"/>
      <c r="O152" s="30"/>
      <c r="P152" s="30"/>
      <c r="Q152" s="30"/>
      <c r="R152" s="32"/>
      <c r="S152" s="32"/>
      <c r="T152" s="30"/>
      <c r="U152" s="30"/>
      <c r="V152" s="30"/>
      <c r="W152" s="30"/>
      <c r="X152" s="30"/>
      <c r="Y152" s="32"/>
      <c r="Z152" s="32"/>
      <c r="AA152" s="30"/>
      <c r="AB152" s="30"/>
      <c r="AC152" s="30">
        <f>VLOOKUP($B152,Pitchers!$A1:$S251,4,FALSE)</f>
        <v>173.33333333333334</v>
      </c>
      <c r="AD152" s="32">
        <f>VLOOKUP($B152,Pitchers!$A1:$S251,5,FALSE)</f>
        <v>3.8226807692307689</v>
      </c>
      <c r="AE152" s="32">
        <f>VLOOKUP($B152,Pitchers!$A1:$S251,6,FALSE)</f>
        <v>1.2509615384615385</v>
      </c>
      <c r="AF152" s="30">
        <f>VLOOKUP($B152,Pitchers!$A1:$S251,7,FALSE)</f>
        <v>162.46666666666667</v>
      </c>
      <c r="AG152" s="30">
        <f>VLOOKUP($B152,Pitchers!$A1:$S251,8,FALSE)</f>
        <v>10.299999999999999</v>
      </c>
      <c r="AH152" s="30">
        <f>VLOOKUP($B152,Pitchers!$A1:$S251,9,FALSE)</f>
        <v>0</v>
      </c>
      <c r="AI152" s="30">
        <f>VLOOKUP($B152,Pitchers!$A1:$S251,10,FALSE)</f>
        <v>73.622</v>
      </c>
      <c r="AJ152" s="30">
        <f>VLOOKUP($B152,Pitchers!$A1:$S251,11,FALSE)</f>
        <v>166.03333333333333</v>
      </c>
      <c r="AK152" s="30">
        <f>VLOOKUP($B152,Pitchers!$A1:$S251,12,FALSE)</f>
        <v>50.800000000000004</v>
      </c>
      <c r="AL152" s="30">
        <f>VLOOKUP($B152,Pitchers!$A1:$S251,13,FALSE)</f>
        <v>19</v>
      </c>
      <c r="AM152" s="30">
        <f>VLOOKUP($B152,Pitchers!$A1:$S251,14,FALSE)</f>
        <v>29.599999999999998</v>
      </c>
      <c r="AN152" s="30">
        <f>VLOOKUP($B152,Pitchers!$A1:$S251,15,FALSE)</f>
        <v>29.599999999999998</v>
      </c>
      <c r="AO152" s="30">
        <f>VLOOKUP($B152,Pitchers!$A1:$S251,16,FALSE)</f>
        <v>9.0333333333333332</v>
      </c>
      <c r="AP152" s="30">
        <f>VLOOKUP($B152,Pitchers!$A1:$S251,17,FALSE)</f>
        <v>17</v>
      </c>
      <c r="AQ152" s="30">
        <f>VLOOKUP($B152,Pitchers!$A1:$S251,18,FALSE)</f>
        <v>0</v>
      </c>
      <c r="AR152" s="30">
        <f>VLOOKUP($B152,Pitchers!$A1:$S251,19,FALSE)</f>
        <v>0</v>
      </c>
    </row>
    <row r="153" spans="1:44" ht="18.600000000000001" customHeight="1">
      <c r="A153" s="24">
        <f ca="1">RANK(I153,I$2:I$651)</f>
        <v>120</v>
      </c>
      <c r="B153" s="25" t="s">
        <v>214</v>
      </c>
      <c r="C153" s="26" t="s">
        <v>178</v>
      </c>
      <c r="D153" s="26" t="s">
        <v>75</v>
      </c>
      <c r="E153" s="27" t="s">
        <v>23</v>
      </c>
      <c r="F153" s="28">
        <f ca="1">VLOOKUP(B153,OF!A1:I139,IF(Settings!$J$13="points",4,7),FALSE)</f>
        <v>40</v>
      </c>
      <c r="G153" s="29">
        <f>(M153*Settings!$B$2)+(N153*Settings!$B$3)+(O153*Settings!$B$4)+(P153*Settings!$B$5)+(Q153*Settings!$B$6)+(T153*Settings!$B$9)+(U153*Settings!$B$10)+(V153*Settings!$B$11)+(W153*Settings!$B$12)+(X153*Settings!$B$13)+(AA153*Settings!$B$16)</f>
        <v>388.13333333333367</v>
      </c>
      <c r="H153" s="30">
        <f>VLOOKUP(B153,'Standard Deviations'!$A1:$D651,4,FALSE)</f>
        <v>2.3532455745413472</v>
      </c>
      <c r="I153" s="31">
        <f ca="1">VLOOKUP(B153,OF!A1:I139,IF(Settings!$J$13="points",6,9),FALSE)</f>
        <v>2.2345316897882341</v>
      </c>
      <c r="J153" s="30"/>
      <c r="K153" s="30">
        <f ca="1">J153-A153</f>
        <v>-120</v>
      </c>
      <c r="L153" s="30"/>
      <c r="M153" s="30">
        <f>VLOOKUP($B153,Hitters!$A1:$R401,4,FALSE)</f>
        <v>503.66666666666703</v>
      </c>
      <c r="N153" s="30">
        <f>VLOOKUP($B153,Hitters!$A1:$R401,5,FALSE)</f>
        <v>67.766666666666694</v>
      </c>
      <c r="O153" s="30">
        <f>VLOOKUP($B153,Hitters!$A1:$R401,6,FALSE)</f>
        <v>14.5666666666667</v>
      </c>
      <c r="P153" s="30">
        <f>VLOOKUP($B153,Hitters!$A1:$R401,7,FALSE)</f>
        <v>70.3</v>
      </c>
      <c r="Q153" s="30">
        <f>VLOOKUP($B153,Hitters!$A1:$R401,8,FALSE)</f>
        <v>3.8</v>
      </c>
      <c r="R153" s="32">
        <f>VLOOKUP($B153,Hitters!$A1:$R401,9,FALSE)</f>
        <v>0.271409662475182</v>
      </c>
      <c r="S153" s="32">
        <f>VLOOKUP($B153,Hitters!$A1:$R401,10,FALSE)</f>
        <v>0.31996636422908897</v>
      </c>
      <c r="T153" s="30">
        <f>VLOOKUP($B153,Hitters!$A1:$R401,11,FALSE)</f>
        <v>136.69999999999999</v>
      </c>
      <c r="U153" s="30">
        <f>VLOOKUP($B153,Hitters!$A1:$R401,12,FALSE)</f>
        <v>22.966666666666701</v>
      </c>
      <c r="V153" s="30">
        <f>VLOOKUP($B153,Hitters!$A1:$R401,13,FALSE)</f>
        <v>4.4666666666666703</v>
      </c>
      <c r="W153" s="30">
        <f>VLOOKUP($B153,Hitters!$A1:$R401,14,FALSE)</f>
        <v>38.3333333333333</v>
      </c>
      <c r="X153" s="30">
        <f>VLOOKUP($B153,Hitters!$A1:$R401,15,FALSE)</f>
        <v>100.333333333333</v>
      </c>
      <c r="Y153" s="32">
        <f>VLOOKUP($B153,Hitters!$A1:$R401,16,FALSE)</f>
        <v>0.42150893448047699</v>
      </c>
      <c r="Z153" s="32">
        <f>VLOOKUP($B153,Hitters!$A1:$R401,17,FALSE)</f>
        <v>0.74147529870956497</v>
      </c>
      <c r="AA153" s="30">
        <f>VLOOKUP($B153,Hitters!$A1:$R401,18,FALSE)</f>
        <v>0</v>
      </c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</row>
    <row r="154" spans="1:44" ht="18.600000000000001" customHeight="1">
      <c r="A154" s="24">
        <f ca="1">RANK(I154,I$2:I$651)</f>
        <v>141</v>
      </c>
      <c r="B154" s="25" t="s">
        <v>237</v>
      </c>
      <c r="C154" s="26" t="s">
        <v>101</v>
      </c>
      <c r="D154" s="26" t="s">
        <v>70</v>
      </c>
      <c r="E154" s="27" t="s">
        <v>23</v>
      </c>
      <c r="F154" s="28">
        <f ca="1">VLOOKUP(B154,OF!A1:I139,IF(Settings!$J$13="points",4,7),FALSE)</f>
        <v>45</v>
      </c>
      <c r="G154" s="29">
        <f>(M154*Settings!$B$2)+(N154*Settings!$B$3)+(O154*Settings!$B$4)+(P154*Settings!$B$5)+(Q154*Settings!$B$6)+(T154*Settings!$B$9)+(U154*Settings!$B$10)+(V154*Settings!$B$11)+(W154*Settings!$B$12)+(X154*Settings!$B$13)+(AA154*Settings!$B$16)</f>
        <v>388.01666666666631</v>
      </c>
      <c r="H154" s="30">
        <f>VLOOKUP(B154,'Standard Deviations'!$A1:$D651,4,FALSE)</f>
        <v>1.8775934065757378</v>
      </c>
      <c r="I154" s="31">
        <f ca="1">VLOOKUP(B154,OF!A1:I139,IF(Settings!$J$13="points",6,9),FALSE)</f>
        <v>1.7588733481339927</v>
      </c>
      <c r="J154" s="30"/>
      <c r="K154" s="30">
        <f ca="1">J154-A154</f>
        <v>-141</v>
      </c>
      <c r="L154" s="30"/>
      <c r="M154" s="30">
        <f>VLOOKUP($B154,Hitters!$A1:$R401,4,FALSE)</f>
        <v>516.33333333333303</v>
      </c>
      <c r="N154" s="30">
        <f>VLOOKUP($B154,Hitters!$A1:$R401,5,FALSE)</f>
        <v>67.066666666666706</v>
      </c>
      <c r="O154" s="30">
        <f>VLOOKUP($B154,Hitters!$A1:$R401,6,FALSE)</f>
        <v>18.5</v>
      </c>
      <c r="P154" s="30">
        <f>VLOOKUP($B154,Hitters!$A1:$R401,7,FALSE)</f>
        <v>65.766666666666694</v>
      </c>
      <c r="Q154" s="30">
        <f>VLOOKUP($B154,Hitters!$A1:$R401,8,FALSE)</f>
        <v>4.5</v>
      </c>
      <c r="R154" s="32">
        <f>VLOOKUP($B154,Hitters!$A1:$R401,9,FALSE)</f>
        <v>0.25435765009683697</v>
      </c>
      <c r="S154" s="32">
        <f>VLOOKUP($B154,Hitters!$A1:$R401,10,FALSE)</f>
        <v>0.29636487144497398</v>
      </c>
      <c r="T154" s="30">
        <f>VLOOKUP($B154,Hitters!$A1:$R401,11,FALSE)</f>
        <v>131.333333333333</v>
      </c>
      <c r="U154" s="30">
        <f>VLOOKUP($B154,Hitters!$A1:$R401,12,FALSE)</f>
        <v>28.1666666666667</v>
      </c>
      <c r="V154" s="30">
        <f>VLOOKUP($B154,Hitters!$A1:$R401,13,FALSE)</f>
        <v>2.3666666666666698</v>
      </c>
      <c r="W154" s="30">
        <f>VLOOKUP($B154,Hitters!$A1:$R401,14,FALSE)</f>
        <v>33</v>
      </c>
      <c r="X154" s="30">
        <f>VLOOKUP($B154,Hitters!$A1:$R401,15,FALSE)</f>
        <v>111.166666666667</v>
      </c>
      <c r="Y154" s="32">
        <f>VLOOKUP($B154,Hitters!$A1:$R401,16,FALSE)</f>
        <v>0.42556488056810798</v>
      </c>
      <c r="Z154" s="32">
        <f>VLOOKUP($B154,Hitters!$A1:$R401,17,FALSE)</f>
        <v>0.72192975201308296</v>
      </c>
      <c r="AA154" s="30">
        <f>VLOOKUP($B154,Hitters!$A1:$R401,18,FALSE)</f>
        <v>0</v>
      </c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</row>
    <row r="155" spans="1:44" ht="18.600000000000001" customHeight="1">
      <c r="A155" s="24">
        <f ca="1">RANK(I155,I$2:I$651)</f>
        <v>154</v>
      </c>
      <c r="B155" s="25" t="s">
        <v>250</v>
      </c>
      <c r="C155" s="26" t="s">
        <v>105</v>
      </c>
      <c r="D155" s="26" t="s">
        <v>70</v>
      </c>
      <c r="E155" s="33" t="s">
        <v>15</v>
      </c>
      <c r="F155" s="34">
        <f ca="1">VLOOKUP(B155,'3B'!A1:I55,IF(Settings!$J$13="points",4,7),FALSE)</f>
        <v>12</v>
      </c>
      <c r="G155" s="29">
        <f>(M155*Settings!$B$2)+(N155*Settings!$B$3)+(O155*Settings!$B$4)+(P155*Settings!$B$5)+(Q155*Settings!$B$6)+(T155*Settings!$B$9)+(U155*Settings!$B$10)+(V155*Settings!$B$11)+(W155*Settings!$B$12)+(X155*Settings!$B$13)+(AA155*Settings!$B$16)</f>
        <v>386.96666666666715</v>
      </c>
      <c r="H155" s="30">
        <f>VLOOKUP(B155,'Standard Deviations'!$A1:$D651,4,FALSE)</f>
        <v>2.165111725784798</v>
      </c>
      <c r="I155" s="31">
        <f ca="1">IF(Settings!$J$15="no",VLOOKUP(B155,'3B'!A1:I55,IF(Settings!$J$13="points",6,9),FALSE),VLOOKUP(B155,'1B+3B'!$A1:$I104,IF(Settings!$J$13="points",6,9),FALSE))</f>
        <v>1.4374317997609407</v>
      </c>
      <c r="J155" s="30"/>
      <c r="K155" s="30">
        <f ca="1">J155-A155</f>
        <v>-154</v>
      </c>
      <c r="L155" s="30"/>
      <c r="M155" s="30">
        <f>VLOOKUP($B155,Hitters!$A1:$R401,4,FALSE)</f>
        <v>467</v>
      </c>
      <c r="N155" s="30">
        <f>VLOOKUP($B155,Hitters!$A1:$R401,5,FALSE)</f>
        <v>64.7</v>
      </c>
      <c r="O155" s="30">
        <f>VLOOKUP($B155,Hitters!$A1:$R401,6,FALSE)</f>
        <v>14.6666666666667</v>
      </c>
      <c r="P155" s="30">
        <f>VLOOKUP($B155,Hitters!$A1:$R401,7,FALSE)</f>
        <v>69.7</v>
      </c>
      <c r="Q155" s="30">
        <f>VLOOKUP($B155,Hitters!$A1:$R401,8,FALSE)</f>
        <v>2.7333333333333298</v>
      </c>
      <c r="R155" s="32">
        <f>VLOOKUP($B155,Hitters!$A1:$R401,9,FALSE)</f>
        <v>0.27401855817273402</v>
      </c>
      <c r="S155" s="32">
        <f>VLOOKUP($B155,Hitters!$A1:$R401,10,FALSE)</f>
        <v>0.33899391631568498</v>
      </c>
      <c r="T155" s="30">
        <f>VLOOKUP($B155,Hitters!$A1:$R401,11,FALSE)</f>
        <v>127.966666666667</v>
      </c>
      <c r="U155" s="30">
        <f>VLOOKUP($B155,Hitters!$A1:$R401,12,FALSE)</f>
        <v>27.6666666666667</v>
      </c>
      <c r="V155" s="30">
        <f>VLOOKUP($B155,Hitters!$A1:$R401,13,FALSE)</f>
        <v>0.56666666666666698</v>
      </c>
      <c r="W155" s="30">
        <f>VLOOKUP($B155,Hitters!$A1:$R401,14,FALSE)</f>
        <v>48.3</v>
      </c>
      <c r="X155" s="30">
        <f>VLOOKUP($B155,Hitters!$A1:$R401,15,FALSE)</f>
        <v>89.733333333333306</v>
      </c>
      <c r="Y155" s="32">
        <f>VLOOKUP($B155,Hitters!$A1:$R401,16,FALSE)</f>
        <v>0.42990720913633101</v>
      </c>
      <c r="Z155" s="32">
        <f>VLOOKUP($B155,Hitters!$A1:$R401,17,FALSE)</f>
        <v>0.76890112545201605</v>
      </c>
      <c r="AA155" s="30">
        <f>VLOOKUP($B155,Hitters!$A1:$R401,18,FALSE)</f>
        <v>0</v>
      </c>
      <c r="AB155" s="30"/>
      <c r="AC155" s="30"/>
      <c r="AD155" s="32"/>
      <c r="AE155" s="32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</row>
    <row r="156" spans="1:44" ht="18.600000000000001" customHeight="1">
      <c r="A156" s="24">
        <f ca="1">RANK(I156,I$2:I$651)</f>
        <v>150</v>
      </c>
      <c r="B156" s="25" t="s">
        <v>246</v>
      </c>
      <c r="C156" s="26" t="s">
        <v>158</v>
      </c>
      <c r="D156" s="26" t="s">
        <v>70</v>
      </c>
      <c r="E156" s="35" t="s">
        <v>31</v>
      </c>
      <c r="F156" s="36">
        <f ca="1">VLOOKUP(B156,SP!A1:I161,IF(Settings!$J$13="points",4,7),FALSE)</f>
        <v>47</v>
      </c>
      <c r="G156" s="29">
        <f>(AC156*Settings!$F$2)+(AF156*Settings!$F$5)+(AG156*Settings!$F$6)+(AH156*Settings!$F$7)+(AI156*Settings!$F$8)+(AJ156*Settings!$F$9)+(AK156*Settings!$F$10)+(AL156*Settings!$F$11)+(AM156*Settings!$F$12)+(AN156*Settings!$F$13)+(AO156*Settings!$F$14)+(AP156*Settings!$F$15)+(AQ156*Settings!$F$16)+(AR156*Settings!$F$17)</f>
        <v>385.33399999999989</v>
      </c>
      <c r="H156" s="30">
        <f>VLOOKUP(B156,'Standard Deviations'!$A1:$D651,4,FALSE)</f>
        <v>1.7141792825766409</v>
      </c>
      <c r="I156" s="31">
        <f ca="1">IF(Settings!$J$16="no",VLOOKUP(B156,SP!A1:I161,IF(Settings!$J$13="points",6,9),FALSE),VLOOKUP(B156,'SP+RP'!$A1:$I251,IF(Settings!$J$13="points",6,9),FALSE))</f>
        <v>1.5781914229294822</v>
      </c>
      <c r="J156" s="30"/>
      <c r="K156" s="30">
        <f ca="1">J156-A156</f>
        <v>-150</v>
      </c>
      <c r="L156" s="30"/>
      <c r="M156" s="30"/>
      <c r="N156" s="30"/>
      <c r="O156" s="30"/>
      <c r="P156" s="30"/>
      <c r="Q156" s="30"/>
      <c r="R156" s="32"/>
      <c r="S156" s="32"/>
      <c r="T156" s="30"/>
      <c r="U156" s="30"/>
      <c r="V156" s="30"/>
      <c r="W156" s="30"/>
      <c r="X156" s="30"/>
      <c r="Y156" s="32"/>
      <c r="Z156" s="32"/>
      <c r="AA156" s="30"/>
      <c r="AB156" s="30"/>
      <c r="AC156" s="30">
        <f>VLOOKUP($B156,Pitchers!$A1:$S251,4,FALSE)</f>
        <v>166.23333333333332</v>
      </c>
      <c r="AD156" s="32">
        <f>VLOOKUP($B156,Pitchers!$A1:$S251,5,FALSE)</f>
        <v>3.7492119510727888</v>
      </c>
      <c r="AE156" s="32">
        <f>VLOOKUP($B156,Pitchers!$A1:$S251,6,FALSE)</f>
        <v>1.2041307399238019</v>
      </c>
      <c r="AF156" s="30">
        <f>VLOOKUP($B156,Pitchers!$A1:$S251,7,FALSE)</f>
        <v>164.1</v>
      </c>
      <c r="AG156" s="30">
        <f>VLOOKUP($B156,Pitchers!$A1:$S251,8,FALSE)</f>
        <v>10</v>
      </c>
      <c r="AH156" s="30">
        <f>VLOOKUP($B156,Pitchers!$A1:$S251,9,FALSE)</f>
        <v>0</v>
      </c>
      <c r="AI156" s="30">
        <f>VLOOKUP($B156,Pitchers!$A1:$S251,10,FALSE)</f>
        <v>69.249333333333325</v>
      </c>
      <c r="AJ156" s="30">
        <f>VLOOKUP($B156,Pitchers!$A1:$S251,11,FALSE)</f>
        <v>152.43333333333334</v>
      </c>
      <c r="AK156" s="30">
        <f>VLOOKUP($B156,Pitchers!$A1:$S251,12,FALSE)</f>
        <v>47.733333333333327</v>
      </c>
      <c r="AL156" s="30">
        <f>VLOOKUP($B156,Pitchers!$A1:$S251,13,FALSE)</f>
        <v>21</v>
      </c>
      <c r="AM156" s="30">
        <f>VLOOKUP($B156,Pitchers!$A1:$S251,14,FALSE)</f>
        <v>29.733333333333334</v>
      </c>
      <c r="AN156" s="30">
        <f>VLOOKUP($B156,Pitchers!$A1:$S251,15,FALSE)</f>
        <v>29.733333333333334</v>
      </c>
      <c r="AO156" s="30">
        <f>VLOOKUP($B156,Pitchers!$A1:$S251,16,FALSE)</f>
        <v>8.7999999999999989</v>
      </c>
      <c r="AP156" s="30">
        <f>VLOOKUP($B156,Pitchers!$A1:$S251,17,FALSE)</f>
        <v>16</v>
      </c>
      <c r="AQ156" s="30">
        <f>VLOOKUP($B156,Pitchers!$A1:$S251,18,FALSE)</f>
        <v>0</v>
      </c>
      <c r="AR156" s="30">
        <f>VLOOKUP($B156,Pitchers!$A1:$S251,19,FALSE)</f>
        <v>0</v>
      </c>
    </row>
    <row r="157" spans="1:44" ht="18.600000000000001" customHeight="1">
      <c r="A157" s="24">
        <f ca="1">RANK(I157,I$2:I$651)</f>
        <v>65</v>
      </c>
      <c r="B157" s="25" t="s">
        <v>156</v>
      </c>
      <c r="C157" s="26" t="s">
        <v>82</v>
      </c>
      <c r="D157" s="26" t="s">
        <v>75</v>
      </c>
      <c r="E157" s="35" t="s">
        <v>31</v>
      </c>
      <c r="F157" s="36">
        <f ca="1">VLOOKUP(B157,SP!A1:I161,IF(Settings!$J$13="points",4,7),FALSE)</f>
        <v>22</v>
      </c>
      <c r="G157" s="29">
        <f>(AC157*Settings!$F$2)+(AF157*Settings!$F$5)+(AG157*Settings!$F$6)+(AH157*Settings!$F$7)+(AI157*Settings!$F$8)+(AJ157*Settings!$F$9)+(AK157*Settings!$F$10)+(AL157*Settings!$F$11)+(AM157*Settings!$F$12)+(AN157*Settings!$F$13)+(AO157*Settings!$F$14)+(AP157*Settings!$F$15)+(AQ157*Settings!$F$16)+(AR157*Settings!$F$17)</f>
        <v>384.05</v>
      </c>
      <c r="H157" s="30">
        <f>VLOOKUP(B157,'Standard Deviations'!$A1:$D651,4,FALSE)</f>
        <v>4.1571580327367759</v>
      </c>
      <c r="I157" s="31">
        <f ca="1">IF(Settings!$J$16="no",VLOOKUP(B157,SP!A1:I161,IF(Settings!$J$13="points",6,9),FALSE),VLOOKUP(B157,'SP+RP'!$A1:$I251,IF(Settings!$J$13="points",6,9),FALSE))</f>
        <v>4.0211786869791473</v>
      </c>
      <c r="J157" s="30"/>
      <c r="K157" s="30">
        <f ca="1">J157-A157</f>
        <v>-65</v>
      </c>
      <c r="L157" s="30"/>
      <c r="M157" s="30"/>
      <c r="N157" s="30"/>
      <c r="O157" s="30"/>
      <c r="P157" s="30"/>
      <c r="Q157" s="30"/>
      <c r="R157" s="32"/>
      <c r="S157" s="32"/>
      <c r="T157" s="30"/>
      <c r="U157" s="30"/>
      <c r="V157" s="30"/>
      <c r="W157" s="30"/>
      <c r="X157" s="30"/>
      <c r="Y157" s="32"/>
      <c r="Z157" s="32"/>
      <c r="AA157" s="30"/>
      <c r="AB157" s="30"/>
      <c r="AC157" s="30">
        <f>VLOOKUP($B157,Pitchers!$A1:$S251,4,FALSE)</f>
        <v>134.70000000000002</v>
      </c>
      <c r="AD157" s="32">
        <f>VLOOKUP($B157,Pitchers!$A1:$S251,5,FALSE)</f>
        <v>3.0979955456570152</v>
      </c>
      <c r="AE157" s="32">
        <f>VLOOKUP($B157,Pitchers!$A1:$S251,6,FALSE)</f>
        <v>1.0737441227418953</v>
      </c>
      <c r="AF157" s="30">
        <f>VLOOKUP($B157,Pitchers!$A1:$S251,7,FALSE)</f>
        <v>144.1</v>
      </c>
      <c r="AG157" s="30">
        <f>VLOOKUP($B157,Pitchers!$A1:$S251,8,FALSE)</f>
        <v>11.033333333333333</v>
      </c>
      <c r="AH157" s="30">
        <f>VLOOKUP($B157,Pitchers!$A1:$S251,9,FALSE)</f>
        <v>0</v>
      </c>
      <c r="AI157" s="30">
        <f>VLOOKUP($B157,Pitchers!$A1:$S251,10,FALSE)</f>
        <v>46.366666666666667</v>
      </c>
      <c r="AJ157" s="30">
        <f>VLOOKUP($B157,Pitchers!$A1:$S251,11,FALSE)</f>
        <v>117.26666666666667</v>
      </c>
      <c r="AK157" s="30">
        <f>VLOOKUP($B157,Pitchers!$A1:$S251,12,FALSE)</f>
        <v>27.366666666666664</v>
      </c>
      <c r="AL157" s="30">
        <f>VLOOKUP($B157,Pitchers!$A1:$S251,13,FALSE)</f>
        <v>22</v>
      </c>
      <c r="AM157" s="30">
        <f>VLOOKUP($B157,Pitchers!$A1:$S251,14,FALSE)</f>
        <v>24.099999999999998</v>
      </c>
      <c r="AN157" s="30">
        <f>VLOOKUP($B157,Pitchers!$A1:$S251,15,FALSE)</f>
        <v>24.099999999999998</v>
      </c>
      <c r="AO157" s="30">
        <f>VLOOKUP($B157,Pitchers!$A1:$S251,16,FALSE)</f>
        <v>5.8666666666666671</v>
      </c>
      <c r="AP157" s="30">
        <f>VLOOKUP($B157,Pitchers!$A1:$S251,17,FALSE)</f>
        <v>17</v>
      </c>
      <c r="AQ157" s="30">
        <f>VLOOKUP($B157,Pitchers!$A1:$S251,18,FALSE)</f>
        <v>0</v>
      </c>
      <c r="AR157" s="30">
        <f>VLOOKUP($B157,Pitchers!$A1:$S251,19,FALSE)</f>
        <v>0</v>
      </c>
    </row>
    <row r="158" spans="1:44" ht="18.600000000000001" customHeight="1">
      <c r="A158" s="24">
        <f ca="1">RANK(I158,I$2:I$651)</f>
        <v>125</v>
      </c>
      <c r="B158" s="25" t="s">
        <v>218</v>
      </c>
      <c r="C158" s="26" t="s">
        <v>219</v>
      </c>
      <c r="D158" s="26" t="s">
        <v>75</v>
      </c>
      <c r="E158" s="27" t="s">
        <v>23</v>
      </c>
      <c r="F158" s="28">
        <f ca="1">VLOOKUP(B158,OF!A1:I139,IF(Settings!$J$13="points",4,7),FALSE)</f>
        <v>42</v>
      </c>
      <c r="G158" s="29">
        <f>(M158*Settings!$B$2)+(N158*Settings!$B$3)+(O158*Settings!$B$4)+(P158*Settings!$B$5)+(Q158*Settings!$B$6)+(T158*Settings!$B$9)+(U158*Settings!$B$10)+(V158*Settings!$B$11)+(W158*Settings!$B$12)+(X158*Settings!$B$13)+(AA158*Settings!$B$16)</f>
        <v>383.7166666666667</v>
      </c>
      <c r="H158" s="30">
        <f>VLOOKUP(B158,'Standard Deviations'!$A1:$D651,4,FALSE)</f>
        <v>2.3220478662015851</v>
      </c>
      <c r="I158" s="31">
        <f ca="1">VLOOKUP(B158,OF!A1:I139,IF(Settings!$J$13="points",6,9),FALSE)</f>
        <v>2.2033343509348544</v>
      </c>
      <c r="J158" s="30"/>
      <c r="K158" s="30">
        <f ca="1">J158-A158</f>
        <v>-125</v>
      </c>
      <c r="L158" s="30"/>
      <c r="M158" s="30">
        <f>VLOOKUP($B158,Hitters!$A1:$R401,4,FALSE)</f>
        <v>473.66666666666703</v>
      </c>
      <c r="N158" s="30">
        <f>VLOOKUP($B158,Hitters!$A1:$R401,5,FALSE)</f>
        <v>71.599999999999994</v>
      </c>
      <c r="O158" s="30">
        <f>VLOOKUP($B158,Hitters!$A1:$R401,6,FALSE)</f>
        <v>23.8333333333333</v>
      </c>
      <c r="P158" s="30">
        <f>VLOOKUP($B158,Hitters!$A1:$R401,7,FALSE)</f>
        <v>70</v>
      </c>
      <c r="Q158" s="30">
        <f>VLOOKUP($B158,Hitters!$A1:$R401,8,FALSE)</f>
        <v>1.7666666666666699</v>
      </c>
      <c r="R158" s="32">
        <f>VLOOKUP($B158,Hitters!$A1:$R401,9,FALSE)</f>
        <v>0.24996481351161201</v>
      </c>
      <c r="S158" s="32">
        <f>VLOOKUP($B158,Hitters!$A1:$R401,10,FALSE)</f>
        <v>0.31319355679773098</v>
      </c>
      <c r="T158" s="30">
        <f>VLOOKUP($B158,Hitters!$A1:$R401,11,FALSE)</f>
        <v>118.4</v>
      </c>
      <c r="U158" s="30">
        <f>VLOOKUP($B158,Hitters!$A1:$R401,12,FALSE)</f>
        <v>19.566666666666698</v>
      </c>
      <c r="V158" s="30">
        <f>VLOOKUP($B158,Hitters!$A1:$R401,13,FALSE)</f>
        <v>1.6</v>
      </c>
      <c r="W158" s="30">
        <f>VLOOKUP($B158,Hitters!$A1:$R401,14,FALSE)</f>
        <v>45.766666666666701</v>
      </c>
      <c r="X158" s="30">
        <f>VLOOKUP($B158,Hitters!$A1:$R401,15,FALSE)</f>
        <v>129.69999999999999</v>
      </c>
      <c r="Y158" s="32">
        <f>VLOOKUP($B158,Hitters!$A1:$R401,16,FALSE)</f>
        <v>0.44897959183673503</v>
      </c>
      <c r="Z158" s="32">
        <f>VLOOKUP($B158,Hitters!$A1:$R401,17,FALSE)</f>
        <v>0.76217314863446595</v>
      </c>
      <c r="AA158" s="30">
        <f>VLOOKUP($B158,Hitters!$A1:$R401,18,FALSE)</f>
        <v>0</v>
      </c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</row>
    <row r="159" spans="1:44" ht="18.600000000000001" customHeight="1">
      <c r="A159" s="24">
        <f ca="1">RANK(I159,I$2:I$651)</f>
        <v>182</v>
      </c>
      <c r="B159" s="25" t="s">
        <v>279</v>
      </c>
      <c r="C159" s="26" t="s">
        <v>219</v>
      </c>
      <c r="D159" s="26" t="s">
        <v>75</v>
      </c>
      <c r="E159" s="27" t="s">
        <v>23</v>
      </c>
      <c r="F159" s="28">
        <f ca="1">VLOOKUP(B159,OF!A1:I139,IF(Settings!$J$13="points",4,7),FALSE)</f>
        <v>51</v>
      </c>
      <c r="G159" s="29">
        <f>(M159*Settings!$B$2)+(N159*Settings!$B$3)+(O159*Settings!$B$4)+(P159*Settings!$B$5)+(Q159*Settings!$B$6)+(T159*Settings!$B$9)+(U159*Settings!$B$10)+(V159*Settings!$B$11)+(W159*Settings!$B$12)+(X159*Settings!$B$13)+(AA159*Settings!$B$16)</f>
        <v>383.68333333333396</v>
      </c>
      <c r="H159" s="30">
        <f>VLOOKUP(B159,'Standard Deviations'!$A1:$D651,4,FALSE)</f>
        <v>0.96552144912749704</v>
      </c>
      <c r="I159" s="31">
        <f ca="1">VLOOKUP(B159,OF!A1:I139,IF(Settings!$J$13="points",6,9),FALSE)</f>
        <v>0.84680332667798885</v>
      </c>
      <c r="J159" s="30"/>
      <c r="K159" s="30">
        <f ca="1">J159-A159</f>
        <v>-182</v>
      </c>
      <c r="L159" s="30"/>
      <c r="M159" s="30">
        <f>VLOOKUP($B159,Hitters!$A1:$R401,4,FALSE)</f>
        <v>475</v>
      </c>
      <c r="N159" s="30">
        <f>VLOOKUP($B159,Hitters!$A1:$R401,5,FALSE)</f>
        <v>71.466666666666697</v>
      </c>
      <c r="O159" s="30">
        <f>VLOOKUP($B159,Hitters!$A1:$R401,6,FALSE)</f>
        <v>19.466666666666701</v>
      </c>
      <c r="P159" s="30">
        <f>VLOOKUP($B159,Hitters!$A1:$R401,7,FALSE)</f>
        <v>62.3333333333333</v>
      </c>
      <c r="Q159" s="30">
        <f>VLOOKUP($B159,Hitters!$A1:$R401,8,FALSE)</f>
        <v>4.6333333333333302</v>
      </c>
      <c r="R159" s="32">
        <f>VLOOKUP($B159,Hitters!$A1:$R401,9,FALSE)</f>
        <v>0.23192982456140401</v>
      </c>
      <c r="S159" s="32">
        <f>VLOOKUP($B159,Hitters!$A1:$R401,10,FALSE)</f>
        <v>0.30964166744497401</v>
      </c>
      <c r="T159" s="30">
        <f>VLOOKUP($B159,Hitters!$A1:$R401,11,FALSE)</f>
        <v>110.166666666667</v>
      </c>
      <c r="U159" s="30">
        <f>VLOOKUP($B159,Hitters!$A1:$R401,12,FALSE)</f>
        <v>27.7</v>
      </c>
      <c r="V159" s="30">
        <f>VLOOKUP($B159,Hitters!$A1:$R401,13,FALSE)</f>
        <v>3.0333333333333301</v>
      </c>
      <c r="W159" s="30">
        <f>VLOOKUP($B159,Hitters!$A1:$R401,14,FALSE)</f>
        <v>55.6</v>
      </c>
      <c r="X159" s="30">
        <f>VLOOKUP($B159,Hitters!$A1:$R401,15,FALSE)</f>
        <v>135.03333333333299</v>
      </c>
      <c r="Y159" s="32">
        <f>VLOOKUP($B159,Hitters!$A1:$R401,16,FALSE)</f>
        <v>0.42596491228070199</v>
      </c>
      <c r="Z159" s="32">
        <f>VLOOKUP($B159,Hitters!$A1:$R401,17,FALSE)</f>
        <v>0.735606579725675</v>
      </c>
      <c r="AA159" s="30">
        <f>VLOOKUP($B159,Hitters!$A1:$R401,18,FALSE)</f>
        <v>0</v>
      </c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</row>
    <row r="160" spans="1:44" ht="18.600000000000001" customHeight="1">
      <c r="A160" s="24">
        <f ca="1">RANK(I160,I$2:I$651)</f>
        <v>183</v>
      </c>
      <c r="B160" s="25" t="s">
        <v>280</v>
      </c>
      <c r="C160" s="26" t="s">
        <v>116</v>
      </c>
      <c r="D160" s="26" t="s">
        <v>70</v>
      </c>
      <c r="E160" s="35" t="s">
        <v>31</v>
      </c>
      <c r="F160" s="36">
        <f ca="1">VLOOKUP(B160,SP!A1:I161,IF(Settings!$J$13="points",4,7),FALSE)</f>
        <v>55</v>
      </c>
      <c r="G160" s="29">
        <f>(AC160*Settings!$F$2)+(AF160*Settings!$F$5)+(AG160*Settings!$F$6)+(AH160*Settings!$F$7)+(AI160*Settings!$F$8)+(AJ160*Settings!$F$9)+(AK160*Settings!$F$10)+(AL160*Settings!$F$11)+(AM160*Settings!$F$12)+(AN160*Settings!$F$13)+(AO160*Settings!$F$14)+(AP160*Settings!$F$15)+(AQ160*Settings!$F$16)+(AR160*Settings!$F$17)</f>
        <v>383.2833333333333</v>
      </c>
      <c r="H160" s="30">
        <f>VLOOKUP(B160,'Standard Deviations'!$A1:$D651,4,FALSE)</f>
        <v>0.97517709127815566</v>
      </c>
      <c r="I160" s="31">
        <f ca="1">IF(Settings!$J$16="no",VLOOKUP(B160,SP!A1:I161,IF(Settings!$J$13="points",6,9),FALSE),VLOOKUP(B160,'SP+RP'!$A1:$I251,IF(Settings!$J$13="points",6,9),FALSE))</f>
        <v>0.83919603410044596</v>
      </c>
      <c r="J160" s="30"/>
      <c r="K160" s="30">
        <f ca="1">J160-A160</f>
        <v>-183</v>
      </c>
      <c r="L160" s="30"/>
      <c r="M160" s="30"/>
      <c r="N160" s="30"/>
      <c r="O160" s="30"/>
      <c r="P160" s="30"/>
      <c r="Q160" s="30"/>
      <c r="R160" s="32"/>
      <c r="S160" s="32"/>
      <c r="T160" s="30"/>
      <c r="U160" s="30"/>
      <c r="V160" s="30"/>
      <c r="W160" s="30"/>
      <c r="X160" s="30"/>
      <c r="Y160" s="32"/>
      <c r="Z160" s="32"/>
      <c r="AA160" s="30"/>
      <c r="AB160" s="30"/>
      <c r="AC160" s="30">
        <f>VLOOKUP($B160,Pitchers!$A1:$S251,4,FALSE)</f>
        <v>169.43333333333334</v>
      </c>
      <c r="AD160" s="32">
        <f>VLOOKUP($B160,Pitchers!$A1:$S251,5,FALSE)</f>
        <v>4.1644698012984449</v>
      </c>
      <c r="AE160" s="32">
        <f>VLOOKUP($B160,Pitchers!$A1:$S251,6,FALSE)</f>
        <v>1.2626401731261065</v>
      </c>
      <c r="AF160" s="30">
        <f>VLOOKUP($B160,Pitchers!$A1:$S251,7,FALSE)</f>
        <v>181.83333333333334</v>
      </c>
      <c r="AG160" s="30">
        <f>VLOOKUP($B160,Pitchers!$A1:$S251,8,FALSE)</f>
        <v>10.866666666666667</v>
      </c>
      <c r="AH160" s="30">
        <f>VLOOKUP($B160,Pitchers!$A1:$S251,9,FALSE)</f>
        <v>0</v>
      </c>
      <c r="AI160" s="30">
        <f>VLOOKUP($B160,Pitchers!$A1:$S251,10,FALSE)</f>
        <v>78.399999999999991</v>
      </c>
      <c r="AJ160" s="30">
        <f>VLOOKUP($B160,Pitchers!$A1:$S251,11,FALSE)</f>
        <v>156.93333333333334</v>
      </c>
      <c r="AK160" s="30">
        <f>VLOOKUP($B160,Pitchers!$A1:$S251,12,FALSE)</f>
        <v>57</v>
      </c>
      <c r="AL160" s="30">
        <f>VLOOKUP($B160,Pitchers!$A1:$S251,13,FALSE)</f>
        <v>27</v>
      </c>
      <c r="AM160" s="30">
        <f>VLOOKUP($B160,Pitchers!$A1:$S251,14,FALSE)</f>
        <v>30.933333333333334</v>
      </c>
      <c r="AN160" s="30">
        <f>VLOOKUP($B160,Pitchers!$A1:$S251,15,FALSE)</f>
        <v>30.599999999999998</v>
      </c>
      <c r="AO160" s="30">
        <f>VLOOKUP($B160,Pitchers!$A1:$S251,16,FALSE)</f>
        <v>8.9333333333333336</v>
      </c>
      <c r="AP160" s="30">
        <f>VLOOKUP($B160,Pitchers!$A1:$S251,17,FALSE)</f>
        <v>15</v>
      </c>
      <c r="AQ160" s="30">
        <f>VLOOKUP($B160,Pitchers!$A1:$S251,18,FALSE)</f>
        <v>0</v>
      </c>
      <c r="AR160" s="30">
        <f>VLOOKUP($B160,Pitchers!$A1:$S251,19,FALSE)</f>
        <v>0</v>
      </c>
    </row>
    <row r="161" spans="1:44" ht="18.600000000000001" customHeight="1">
      <c r="A161" s="24">
        <f ca="1">RANK(I161,I$2:I$651)</f>
        <v>270</v>
      </c>
      <c r="B161" s="25" t="s">
        <v>368</v>
      </c>
      <c r="C161" s="26" t="s">
        <v>158</v>
      </c>
      <c r="D161" s="26" t="s">
        <v>70</v>
      </c>
      <c r="E161" s="39" t="s">
        <v>7</v>
      </c>
      <c r="F161" s="40">
        <f ca="1">VLOOKUP(B161,'1B'!A1:I63,IF(Settings!$J$13="points",4,7),FALSE)</f>
        <v>21</v>
      </c>
      <c r="G161" s="29">
        <f>(M161*Settings!$B$2)+(N161*Settings!$B$3)+(O161*Settings!$B$4)+(P161*Settings!$B$5)+(Q161*Settings!$B$6)+(T161*Settings!$B$9)+(U161*Settings!$B$10)+(V161*Settings!$B$11)+(W161*Settings!$B$12)+(X161*Settings!$B$13)+(AA161*Settings!$B$16)</f>
        <v>382.58333333333314</v>
      </c>
      <c r="H161" s="30">
        <f>VLOOKUP(B161,'Standard Deviations'!$A1:$D651,4,FALSE)</f>
        <v>2.0082241599102284</v>
      </c>
      <c r="I161" s="31">
        <f ca="1">IF(Settings!$J$15="no",VLOOKUP(B161,'1B'!A1:I63,IF(Settings!$J$13="points",6,9),FALSE),VLOOKUP(B161,'1B+3B'!$A1:$I104,IF(Settings!$J$13="points",6,9),FALSE))</f>
        <v>-0.57130448022755154</v>
      </c>
      <c r="J161" s="30"/>
      <c r="K161" s="30">
        <f ca="1">J161-A161</f>
        <v>-270</v>
      </c>
      <c r="L161" s="30"/>
      <c r="M161" s="30">
        <f>VLOOKUP($B161,Hitters!$A1:$R401,4,FALSE)</f>
        <v>489.66666666666703</v>
      </c>
      <c r="N161" s="30">
        <f>VLOOKUP($B161,Hitters!$A1:$R401,5,FALSE)</f>
        <v>59.9</v>
      </c>
      <c r="O161" s="30">
        <f>VLOOKUP($B161,Hitters!$A1:$R401,6,FALSE)</f>
        <v>17.8333333333333</v>
      </c>
      <c r="P161" s="30">
        <f>VLOOKUP($B161,Hitters!$A1:$R401,7,FALSE)</f>
        <v>71.266666666666694</v>
      </c>
      <c r="Q161" s="30">
        <f>VLOOKUP($B161,Hitters!$A1:$R401,8,FALSE)</f>
        <v>1.7333333333333301</v>
      </c>
      <c r="R161" s="32">
        <f>VLOOKUP($B161,Hitters!$A1:$R401,9,FALSE)</f>
        <v>0.26875425459496299</v>
      </c>
      <c r="S161" s="32">
        <f>VLOOKUP($B161,Hitters!$A1:$R401,10,FALSE)</f>
        <v>0.31187001940103298</v>
      </c>
      <c r="T161" s="30">
        <f>VLOOKUP($B161,Hitters!$A1:$R401,11,FALSE)</f>
        <v>131.6</v>
      </c>
      <c r="U161" s="30">
        <f>VLOOKUP($B161,Hitters!$A1:$R401,12,FALSE)</f>
        <v>29.033333333333299</v>
      </c>
      <c r="V161" s="30">
        <f>VLOOKUP($B161,Hitters!$A1:$R401,13,FALSE)</f>
        <v>0.53333333333333299</v>
      </c>
      <c r="W161" s="30">
        <f>VLOOKUP($B161,Hitters!$A1:$R401,14,FALSE)</f>
        <v>32.9</v>
      </c>
      <c r="X161" s="30">
        <f>VLOOKUP($B161,Hitters!$A1:$R401,15,FALSE)</f>
        <v>95.1</v>
      </c>
      <c r="Y161" s="32">
        <f>VLOOKUP($B161,Hitters!$A1:$R401,16,FALSE)</f>
        <v>0.43948264125255299</v>
      </c>
      <c r="Z161" s="32">
        <f>VLOOKUP($B161,Hitters!$A1:$R401,17,FALSE)</f>
        <v>0.75135266065358497</v>
      </c>
      <c r="AA161" s="30">
        <f>VLOOKUP($B161,Hitters!$A1:$R401,18,FALSE)</f>
        <v>0</v>
      </c>
      <c r="AB161" s="30"/>
      <c r="AC161" s="30"/>
      <c r="AD161" s="32"/>
      <c r="AE161" s="32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</row>
    <row r="162" spans="1:44" ht="20.100000000000001" customHeight="1">
      <c r="A162" s="24">
        <f ca="1">RANK(I162,I$2:I$651)</f>
        <v>233</v>
      </c>
      <c r="B162" s="25" t="s">
        <v>335</v>
      </c>
      <c r="C162" s="26" t="s">
        <v>260</v>
      </c>
      <c r="D162" s="26" t="s">
        <v>70</v>
      </c>
      <c r="E162" s="37" t="s">
        <v>27</v>
      </c>
      <c r="F162" s="38">
        <f ca="1">VLOOKUP(B162,SS!A1:I45,IF(Settings!$J$13="points",4,7),FALSE)</f>
        <v>18</v>
      </c>
      <c r="G162" s="29">
        <f>(M162*Settings!$B$2)+(N162*Settings!$B$3)+(O162*Settings!$B$4)+(P162*Settings!$B$5)+(Q162*Settings!$B$6)+(T162*Settings!$B$9)+(U162*Settings!$B$10)+(V162*Settings!$B$11)+(W162*Settings!$B$12)+(X162*Settings!$B$13)+(AA162*Settings!$B$16)</f>
        <v>382.49999999999943</v>
      </c>
      <c r="H162" s="30">
        <f>VLOOKUP(B162,'Standard Deviations'!$A1:$D651,4,FALSE)</f>
        <v>3.0044199496547868</v>
      </c>
      <c r="I162" s="31">
        <f ca="1">IF(Settings!$J$16="no",VLOOKUP(B162,SS!A1:I45,IF(Settings!$J$13="points",6,9),FALSE),VLOOKUP(B162,'2B+SS'!$A1:$I94,IF(Settings!$J$13="points",6,9),FALSE))</f>
        <v>0</v>
      </c>
      <c r="J162" s="30"/>
      <c r="K162" s="30">
        <f ca="1">J162-A162</f>
        <v>-233</v>
      </c>
      <c r="L162" s="30"/>
      <c r="M162" s="30">
        <f>VLOOKUP($B162,Hitters!$A1:$R401,4,FALSE)</f>
        <v>552</v>
      </c>
      <c r="N162" s="30">
        <f>VLOOKUP($B162,Hitters!$A1:$R401,5,FALSE)</f>
        <v>70.066666666666706</v>
      </c>
      <c r="O162" s="30">
        <f>VLOOKUP($B162,Hitters!$A1:$R401,6,FALSE)</f>
        <v>19.600000000000001</v>
      </c>
      <c r="P162" s="30">
        <f>VLOOKUP($B162,Hitters!$A1:$R401,7,FALSE)</f>
        <v>70.400000000000006</v>
      </c>
      <c r="Q162" s="30">
        <f>VLOOKUP($B162,Hitters!$A1:$R401,8,FALSE)</f>
        <v>11.8333333333333</v>
      </c>
      <c r="R162" s="32">
        <f>VLOOKUP($B162,Hitters!$A1:$R401,9,FALSE)</f>
        <v>0.24480676328502399</v>
      </c>
      <c r="S162" s="32">
        <f>VLOOKUP($B162,Hitters!$A1:$R401,10,FALSE)</f>
        <v>0.27836624980067898</v>
      </c>
      <c r="T162" s="30">
        <f>VLOOKUP($B162,Hitters!$A1:$R401,11,FALSE)</f>
        <v>135.13333333333301</v>
      </c>
      <c r="U162" s="30">
        <f>VLOOKUP($B162,Hitters!$A1:$R401,12,FALSE)</f>
        <v>24.8333333333333</v>
      </c>
      <c r="V162" s="30">
        <f>VLOOKUP($B162,Hitters!$A1:$R401,13,FALSE)</f>
        <v>3.1</v>
      </c>
      <c r="W162" s="30">
        <f>VLOOKUP($B162,Hitters!$A1:$R401,14,FALSE)</f>
        <v>27.8</v>
      </c>
      <c r="X162" s="30">
        <f>VLOOKUP($B162,Hitters!$A1:$R401,15,FALSE)</f>
        <v>163.86666666666699</v>
      </c>
      <c r="Y162" s="32">
        <f>VLOOKUP($B162,Hitters!$A1:$R401,16,FALSE)</f>
        <v>0.40754830917874402</v>
      </c>
      <c r="Z162" s="32">
        <f>VLOOKUP($B162,Hitters!$A1:$R401,17,FALSE)</f>
        <v>0.68591455897942299</v>
      </c>
      <c r="AA162" s="30">
        <f>VLOOKUP($B162,Hitters!$A1:$R401,18,FALSE)</f>
        <v>0</v>
      </c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</row>
    <row r="163" spans="1:44" ht="20.100000000000001" customHeight="1">
      <c r="A163" s="24">
        <f ca="1">RANK(I163,I$2:I$651)</f>
        <v>181</v>
      </c>
      <c r="B163" s="25" t="s">
        <v>278</v>
      </c>
      <c r="C163" s="26" t="s">
        <v>95</v>
      </c>
      <c r="D163" s="26" t="s">
        <v>70</v>
      </c>
      <c r="E163" s="47" t="s">
        <v>11</v>
      </c>
      <c r="F163" s="48">
        <f ca="1">VLOOKUP(B163,'2B'!A1:I50,IF(Settings!$J$13="points",4,7),FALSE)</f>
        <v>11</v>
      </c>
      <c r="G163" s="29">
        <f>(M163*Settings!$B$2)+(N163*Settings!$B$3)+(O163*Settings!$B$4)+(P163*Settings!$B$5)+(Q163*Settings!$B$6)+(T163*Settings!$B$9)+(U163*Settings!$B$10)+(V163*Settings!$B$11)+(W163*Settings!$B$12)+(X163*Settings!$B$13)+(AA163*Settings!$B$16)</f>
        <v>382.30000000000035</v>
      </c>
      <c r="H163" s="30">
        <f>VLOOKUP(B163,'Standard Deviations'!$A1:$D651,4,FALSE)</f>
        <v>3.171716148463501</v>
      </c>
      <c r="I163" s="31">
        <f ca="1">IF(Settings!$J$16="no",VLOOKUP(B163,'2B'!A1:I50,IF(Settings!$J$13="points",6,9),FALSE),VLOOKUP(B163,'2B+SS'!$A1:$I94,IF(Settings!$J$13="points",6,9),FALSE))</f>
        <v>0.8639778998212293</v>
      </c>
      <c r="J163" s="30"/>
      <c r="K163" s="30">
        <f ca="1">J163-A163</f>
        <v>-181</v>
      </c>
      <c r="L163" s="30"/>
      <c r="M163" s="30">
        <f>VLOOKUP($B163,Hitters!$A1:$R401,4,FALSE)</f>
        <v>482</v>
      </c>
      <c r="N163" s="30">
        <f>VLOOKUP($B163,Hitters!$A1:$R401,5,FALSE)</f>
        <v>66.433333333333294</v>
      </c>
      <c r="O163" s="30">
        <f>VLOOKUP($B163,Hitters!$A1:$R401,6,FALSE)</f>
        <v>10.766666666666699</v>
      </c>
      <c r="P163" s="30">
        <f>VLOOKUP($B163,Hitters!$A1:$R401,7,FALSE)</f>
        <v>54.633333333333297</v>
      </c>
      <c r="Q163" s="30">
        <f>VLOOKUP($B163,Hitters!$A1:$R401,8,FALSE)</f>
        <v>19.933333333333302</v>
      </c>
      <c r="R163" s="32">
        <f>VLOOKUP($B163,Hitters!$A1:$R401,9,FALSE)</f>
        <v>0.26424619640387298</v>
      </c>
      <c r="S163" s="32">
        <f>VLOOKUP($B163,Hitters!$A1:$R401,10,FALSE)</f>
        <v>0.306904220174052</v>
      </c>
      <c r="T163" s="30">
        <f>VLOOKUP($B163,Hitters!$A1:$R401,11,FALSE)</f>
        <v>127.366666666667</v>
      </c>
      <c r="U163" s="30">
        <f>VLOOKUP($B163,Hitters!$A1:$R401,12,FALSE)</f>
        <v>27.8333333333333</v>
      </c>
      <c r="V163" s="30">
        <f>VLOOKUP($B163,Hitters!$A1:$R401,13,FALSE)</f>
        <v>1.36666666666667</v>
      </c>
      <c r="W163" s="30">
        <f>VLOOKUP($B163,Hitters!$A1:$R401,14,FALSE)</f>
        <v>31.8</v>
      </c>
      <c r="X163" s="30">
        <f>VLOOKUP($B163,Hitters!$A1:$R401,15,FALSE)</f>
        <v>81.266666666666694</v>
      </c>
      <c r="Y163" s="32">
        <f>VLOOKUP($B163,Hitters!$A1:$R401,16,FALSE)</f>
        <v>0.39467496542185299</v>
      </c>
      <c r="Z163" s="32">
        <f>VLOOKUP($B163,Hitters!$A1:$R401,17,FALSE)</f>
        <v>0.70157918559590504</v>
      </c>
      <c r="AA163" s="30">
        <f>VLOOKUP($B163,Hitters!$A1:$R401,18,FALSE)</f>
        <v>0</v>
      </c>
      <c r="AB163" s="30"/>
      <c r="AC163" s="30"/>
      <c r="AD163" s="32"/>
      <c r="AE163" s="32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</row>
    <row r="164" spans="1:44" ht="18.600000000000001" customHeight="1">
      <c r="A164" s="24">
        <f ca="1">RANK(I164,I$2:I$651)</f>
        <v>225</v>
      </c>
      <c r="B164" s="25" t="s">
        <v>323</v>
      </c>
      <c r="C164" s="26" t="s">
        <v>160</v>
      </c>
      <c r="D164" s="26" t="s">
        <v>75</v>
      </c>
      <c r="E164" s="37" t="s">
        <v>27</v>
      </c>
      <c r="F164" s="38">
        <f ca="1">VLOOKUP(B164,SS!A1:I45,IF(Settings!$J$13="points",4,7),FALSE)</f>
        <v>16</v>
      </c>
      <c r="G164" s="29">
        <f>(M164*Settings!$B$2)+(N164*Settings!$B$3)+(O164*Settings!$B$4)+(P164*Settings!$B$5)+(Q164*Settings!$B$6)+(T164*Settings!$B$9)+(U164*Settings!$B$10)+(V164*Settings!$B$11)+(W164*Settings!$B$12)+(X164*Settings!$B$13)+(AA164*Settings!$B$16)</f>
        <v>381.31666666666666</v>
      </c>
      <c r="H164" s="30">
        <f>VLOOKUP(B164,'Standard Deviations'!$A1:$D651,4,FALSE)</f>
        <v>3.1598362457023708</v>
      </c>
      <c r="I164" s="31">
        <f ca="1">IF(Settings!$J$16="no",VLOOKUP(B164,SS!A1:I45,IF(Settings!$J$13="points",6,9),FALSE),VLOOKUP(B164,'2B+SS'!$A1:$I94,IF(Settings!$J$13="points",6,9),FALSE))</f>
        <v>0.15541273677834688</v>
      </c>
      <c r="J164" s="30"/>
      <c r="K164" s="30">
        <f ca="1">J164-A164</f>
        <v>-225</v>
      </c>
      <c r="L164" s="30"/>
      <c r="M164" s="30">
        <f>VLOOKUP($B164,Hitters!$A1:$R401,4,FALSE)</f>
        <v>481.33333333333297</v>
      </c>
      <c r="N164" s="30">
        <f>VLOOKUP($B164,Hitters!$A1:$R401,5,FALSE)</f>
        <v>64.3</v>
      </c>
      <c r="O164" s="30">
        <f>VLOOKUP($B164,Hitters!$A1:$R401,6,FALSE)</f>
        <v>8.8333333333333304</v>
      </c>
      <c r="P164" s="30">
        <f>VLOOKUP($B164,Hitters!$A1:$R401,7,FALSE)</f>
        <v>52.3</v>
      </c>
      <c r="Q164" s="30">
        <f>VLOOKUP($B164,Hitters!$A1:$R401,8,FALSE)</f>
        <v>17.7</v>
      </c>
      <c r="R164" s="32">
        <f>VLOOKUP($B164,Hitters!$A1:$R401,9,FALSE)</f>
        <v>0.28005540166205001</v>
      </c>
      <c r="S164" s="32">
        <f>VLOOKUP($B164,Hitters!$A1:$R401,10,FALSE)</f>
        <v>0.32521574351489102</v>
      </c>
      <c r="T164" s="30">
        <f>VLOOKUP($B164,Hitters!$A1:$R401,11,FALSE)</f>
        <v>134.80000000000001</v>
      </c>
      <c r="U164" s="30">
        <f>VLOOKUP($B164,Hitters!$A1:$R401,12,FALSE)</f>
        <v>23.6</v>
      </c>
      <c r="V164" s="30">
        <f>VLOOKUP($B164,Hitters!$A1:$R401,13,FALSE)</f>
        <v>3.7</v>
      </c>
      <c r="W164" s="30">
        <f>VLOOKUP($B164,Hitters!$A1:$R401,14,FALSE)</f>
        <v>34.533333333333303</v>
      </c>
      <c r="X164" s="30">
        <f>VLOOKUP($B164,Hitters!$A1:$R401,15,FALSE)</f>
        <v>67.3</v>
      </c>
      <c r="Y164" s="32">
        <f>VLOOKUP($B164,Hitters!$A1:$R401,16,FALSE)</f>
        <v>0.39951523545706402</v>
      </c>
      <c r="Z164" s="32">
        <f>VLOOKUP($B164,Hitters!$A1:$R401,17,FALSE)</f>
        <v>0.72473097897195404</v>
      </c>
      <c r="AA164" s="30">
        <f>VLOOKUP($B164,Hitters!$A1:$R401,18,FALSE)</f>
        <v>0</v>
      </c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</row>
    <row r="165" spans="1:44" ht="18.600000000000001" customHeight="1">
      <c r="A165" s="24">
        <f ca="1">RANK(I165,I$2:I$651)</f>
        <v>81</v>
      </c>
      <c r="B165" s="25" t="s">
        <v>174</v>
      </c>
      <c r="C165" s="26" t="s">
        <v>64</v>
      </c>
      <c r="D165" s="26" t="s">
        <v>75</v>
      </c>
      <c r="E165" s="41" t="s">
        <v>34</v>
      </c>
      <c r="F165" s="42">
        <f ca="1">VLOOKUP(B165,RP!A1:I91,IF(Settings!$J$13="points",4,7),FALSE)</f>
        <v>4</v>
      </c>
      <c r="G165" s="29">
        <f>(AC165*Settings!$F$2)+(AF165*Settings!$F$5)+(AG165*Settings!$F$6)+(AH165*Settings!$F$7)+(AI165*Settings!$F$8)+(AJ165*Settings!$F$9)+(AK165*Settings!$F$10)+(AL165*Settings!$F$11)+(AM165*Settings!$F$12)+(AN165*Settings!$F$13)+(AO165*Settings!$F$14)+(AP165*Settings!$F$15)+(AQ165*Settings!$F$16)+(AR165*Settings!$F$17)</f>
        <v>380.75</v>
      </c>
      <c r="H165" s="30">
        <f>VLOOKUP(B165,'Standard Deviations'!$A1:$D651,4,FALSE)</f>
        <v>5.1136966302521563</v>
      </c>
      <c r="I165" s="31">
        <f ca="1">IF(Settings!$J$16="no",VLOOKUP(B165,RP!A1:I91,IF(Settings!$J$13="points",6,9),FALSE),VLOOKUP(B165,'SP+RP'!$A1:$I251,IF(Settings!$J$13="points",6,9),FALSE))</f>
        <v>3.5426287902982336</v>
      </c>
      <c r="J165" s="30"/>
      <c r="K165" s="30">
        <f ca="1">J165-A165</f>
        <v>-81</v>
      </c>
      <c r="L165" s="30"/>
      <c r="M165" s="30"/>
      <c r="N165" s="30"/>
      <c r="O165" s="30"/>
      <c r="P165" s="30"/>
      <c r="Q165" s="30"/>
      <c r="R165" s="32"/>
      <c r="S165" s="32"/>
      <c r="T165" s="30"/>
      <c r="U165" s="30"/>
      <c r="V165" s="30"/>
      <c r="W165" s="30"/>
      <c r="X165" s="30"/>
      <c r="Y165" s="32"/>
      <c r="Z165" s="32"/>
      <c r="AA165" s="30"/>
      <c r="AB165" s="30"/>
      <c r="AC165" s="30">
        <f>VLOOKUP($B165,Pitchers!$A1:$S251,4,FALSE)</f>
        <v>56.833333333333336</v>
      </c>
      <c r="AD165" s="32">
        <f>VLOOKUP($B165,Pitchers!$A1:$S251,5,FALSE)</f>
        <v>3.1407624633431084</v>
      </c>
      <c r="AE165" s="32">
        <f>VLOOKUP($B165,Pitchers!$A1:$S251,6,FALSE)</f>
        <v>1.0721407624633432</v>
      </c>
      <c r="AF165" s="30">
        <f>VLOOKUP($B165,Pitchers!$A1:$S251,7,FALSE)</f>
        <v>88.5</v>
      </c>
      <c r="AG165" s="30">
        <f>VLOOKUP($B165,Pitchers!$A1:$S251,8,FALSE)</f>
        <v>3.1333333333333333</v>
      </c>
      <c r="AH165" s="30">
        <f>VLOOKUP($B165,Pitchers!$A1:$S251,9,FALSE)</f>
        <v>34.333333333333336</v>
      </c>
      <c r="AI165" s="30">
        <f>VLOOKUP($B165,Pitchers!$A1:$S251,10,FALSE)</f>
        <v>19.833333333333332</v>
      </c>
      <c r="AJ165" s="30">
        <f>VLOOKUP($B165,Pitchers!$A1:$S251,11,FALSE)</f>
        <v>38.133333333333333</v>
      </c>
      <c r="AK165" s="30">
        <f>VLOOKUP($B165,Pitchers!$A1:$S251,12,FALSE)</f>
        <v>22.8</v>
      </c>
      <c r="AL165" s="30">
        <f>VLOOKUP($B165,Pitchers!$A1:$S251,13,FALSE)</f>
        <v>7</v>
      </c>
      <c r="AM165" s="30">
        <f>VLOOKUP($B165,Pitchers!$A1:$S251,14,FALSE)</f>
        <v>61.6</v>
      </c>
      <c r="AN165" s="30">
        <f>VLOOKUP($B165,Pitchers!$A1:$S251,15,FALSE)</f>
        <v>0</v>
      </c>
      <c r="AO165" s="30">
        <f>VLOOKUP($B165,Pitchers!$A1:$S251,16,FALSE)</f>
        <v>3.1</v>
      </c>
      <c r="AP165" s="30">
        <f>VLOOKUP($B165,Pitchers!$A1:$S251,17,FALSE)</f>
        <v>0</v>
      </c>
      <c r="AQ165" s="30">
        <f>VLOOKUP($B165,Pitchers!$A1:$S251,18,FALSE)</f>
        <v>0</v>
      </c>
      <c r="AR165" s="30">
        <f>VLOOKUP($B165,Pitchers!$A1:$S251,19,FALSE)</f>
        <v>3</v>
      </c>
    </row>
    <row r="166" spans="1:44" ht="18.600000000000001" customHeight="1">
      <c r="A166" s="24">
        <f ca="1">RANK(I166,I$2:I$651)</f>
        <v>137</v>
      </c>
      <c r="B166" s="25" t="s">
        <v>233</v>
      </c>
      <c r="C166" s="26" t="s">
        <v>225</v>
      </c>
      <c r="D166" s="26" t="s">
        <v>75</v>
      </c>
      <c r="E166" s="35" t="s">
        <v>31</v>
      </c>
      <c r="F166" s="36">
        <f ca="1">VLOOKUP(B166,SP!A1:I161,IF(Settings!$J$13="points",4,7),FALSE)</f>
        <v>42</v>
      </c>
      <c r="G166" s="29">
        <f>(AC166*Settings!$F$2)+(AF166*Settings!$F$5)+(AG166*Settings!$F$6)+(AH166*Settings!$F$7)+(AI166*Settings!$F$8)+(AJ166*Settings!$F$9)+(AK166*Settings!$F$10)+(AL166*Settings!$F$11)+(AM166*Settings!$F$12)+(AN166*Settings!$F$13)+(AO166*Settings!$F$14)+(AP166*Settings!$F$15)+(AQ166*Settings!$F$16)+(AR166*Settings!$F$17)</f>
        <v>379.93333333333317</v>
      </c>
      <c r="H166" s="30">
        <f>VLOOKUP(B166,'Standard Deviations'!$A1:$D651,4,FALSE)</f>
        <v>2.0168519251974701</v>
      </c>
      <c r="I166" s="31">
        <f ca="1">IF(Settings!$J$16="no",VLOOKUP(B166,SP!A1:I161,IF(Settings!$J$13="points",6,9),FALSE),VLOOKUP(B166,'SP+RP'!$A1:$I251,IF(Settings!$J$13="points",6,9),FALSE))</f>
        <v>1.8808659045697804</v>
      </c>
      <c r="J166" s="30"/>
      <c r="K166" s="30">
        <f ca="1">J166-A166</f>
        <v>-137</v>
      </c>
      <c r="L166" s="30"/>
      <c r="M166" s="30"/>
      <c r="N166" s="30"/>
      <c r="O166" s="30"/>
      <c r="P166" s="30"/>
      <c r="Q166" s="30"/>
      <c r="R166" s="32"/>
      <c r="S166" s="32"/>
      <c r="T166" s="30"/>
      <c r="U166" s="30"/>
      <c r="V166" s="30"/>
      <c r="W166" s="30"/>
      <c r="X166" s="30"/>
      <c r="Y166" s="32"/>
      <c r="Z166" s="32"/>
      <c r="AA166" s="30"/>
      <c r="AB166" s="30"/>
      <c r="AC166" s="30">
        <f>VLOOKUP($B166,Pitchers!$A1:$S251,4,FALSE)</f>
        <v>156.23333333333332</v>
      </c>
      <c r="AD166" s="32">
        <f>VLOOKUP($B166,Pitchers!$A1:$S251,5,FALSE)</f>
        <v>3.6483891615105613</v>
      </c>
      <c r="AE166" s="32">
        <f>VLOOKUP($B166,Pitchers!$A1:$S251,6,FALSE)</f>
        <v>1.1877533603584383</v>
      </c>
      <c r="AF166" s="30">
        <f>VLOOKUP($B166,Pitchers!$A1:$S251,7,FALSE)</f>
        <v>187.86666666666667</v>
      </c>
      <c r="AG166" s="30">
        <f>VLOOKUP($B166,Pitchers!$A1:$S251,8,FALSE)</f>
        <v>8.1</v>
      </c>
      <c r="AH166" s="30">
        <f>VLOOKUP($B166,Pitchers!$A1:$S251,9,FALSE)</f>
        <v>0</v>
      </c>
      <c r="AI166" s="30">
        <f>VLOOKUP($B166,Pitchers!$A1:$S251,10,FALSE)</f>
        <v>63.333333333333336</v>
      </c>
      <c r="AJ166" s="30">
        <f>VLOOKUP($B166,Pitchers!$A1:$S251,11,FALSE)</f>
        <v>131.6</v>
      </c>
      <c r="AK166" s="30">
        <f>VLOOKUP($B166,Pitchers!$A1:$S251,12,FALSE)</f>
        <v>53.966666666666669</v>
      </c>
      <c r="AL166" s="30">
        <f>VLOOKUP($B166,Pitchers!$A1:$S251,13,FALSE)</f>
        <v>21</v>
      </c>
      <c r="AM166" s="30">
        <f>VLOOKUP($B166,Pitchers!$A1:$S251,14,FALSE)</f>
        <v>28.066666666666666</v>
      </c>
      <c r="AN166" s="30">
        <f>VLOOKUP($B166,Pitchers!$A1:$S251,15,FALSE)</f>
        <v>27.733333333333334</v>
      </c>
      <c r="AO166" s="30">
        <f>VLOOKUP($B166,Pitchers!$A1:$S251,16,FALSE)</f>
        <v>8.2999999999999989</v>
      </c>
      <c r="AP166" s="30">
        <f>VLOOKUP($B166,Pitchers!$A1:$S251,17,FALSE)</f>
        <v>17</v>
      </c>
      <c r="AQ166" s="30">
        <f>VLOOKUP($B166,Pitchers!$A1:$S251,18,FALSE)</f>
        <v>0</v>
      </c>
      <c r="AR166" s="30">
        <f>VLOOKUP($B166,Pitchers!$A1:$S251,19,FALSE)</f>
        <v>0</v>
      </c>
    </row>
    <row r="167" spans="1:44" ht="18.600000000000001" customHeight="1">
      <c r="A167" s="24">
        <f ca="1">RANK(I167,I$2:I$651)</f>
        <v>71</v>
      </c>
      <c r="B167" s="25" t="s">
        <v>163</v>
      </c>
      <c r="C167" s="26" t="s">
        <v>95</v>
      </c>
      <c r="D167" s="26" t="s">
        <v>70</v>
      </c>
      <c r="E167" s="41" t="s">
        <v>34</v>
      </c>
      <c r="F167" s="42">
        <f ca="1">VLOOKUP(B167,RP!A1:I91,IF(Settings!$J$13="points",4,7),FALSE)</f>
        <v>3</v>
      </c>
      <c r="G167" s="29">
        <f>(AC167*Settings!$F$2)+(AF167*Settings!$F$5)+(AG167*Settings!$F$6)+(AH167*Settings!$F$7)+(AI167*Settings!$F$8)+(AJ167*Settings!$F$9)+(AK167*Settings!$F$10)+(AL167*Settings!$F$11)+(AM167*Settings!$F$12)+(AN167*Settings!$F$13)+(AO167*Settings!$F$14)+(AP167*Settings!$F$15)+(AQ167*Settings!$F$16)+(AR167*Settings!$F$17)</f>
        <v>379.45</v>
      </c>
      <c r="H167" s="30">
        <f>VLOOKUP(B167,'Standard Deviations'!$A1:$D651,4,FALSE)</f>
        <v>5.3330142887227279</v>
      </c>
      <c r="I167" s="31">
        <f ca="1">IF(Settings!$J$16="no",VLOOKUP(B167,RP!A1:I91,IF(Settings!$J$13="points",6,9),FALSE),VLOOKUP(B167,'SP+RP'!$A1:$I251,IF(Settings!$J$13="points",6,9),FALSE))</f>
        <v>3.7619481046650947</v>
      </c>
      <c r="J167" s="30"/>
      <c r="K167" s="30">
        <f ca="1">J167-A167</f>
        <v>-71</v>
      </c>
      <c r="L167" s="30"/>
      <c r="M167" s="30"/>
      <c r="N167" s="30"/>
      <c r="O167" s="30"/>
      <c r="P167" s="30"/>
      <c r="Q167" s="30"/>
      <c r="R167" s="32"/>
      <c r="S167" s="32"/>
      <c r="T167" s="30"/>
      <c r="U167" s="30"/>
      <c r="V167" s="30"/>
      <c r="W167" s="30"/>
      <c r="X167" s="30"/>
      <c r="Y167" s="32"/>
      <c r="Z167" s="32"/>
      <c r="AA167" s="30"/>
      <c r="AB167" s="30"/>
      <c r="AC167" s="30">
        <f>VLOOKUP($B167,Pitchers!$A1:$S251,4,FALSE)</f>
        <v>63.29999999999999</v>
      </c>
      <c r="AD167" s="32">
        <f>VLOOKUP($B167,Pitchers!$A1:$S251,5,FALSE)</f>
        <v>2.8104265402843605</v>
      </c>
      <c r="AE167" s="32">
        <f>VLOOKUP($B167,Pitchers!$A1:$S251,6,FALSE)</f>
        <v>1.09478672985782</v>
      </c>
      <c r="AF167" s="30">
        <f>VLOOKUP($B167,Pitchers!$A1:$S251,7,FALSE)</f>
        <v>75.100000000000009</v>
      </c>
      <c r="AG167" s="30">
        <f>VLOOKUP($B167,Pitchers!$A1:$S251,8,FALSE)</f>
        <v>4.5333333333333332</v>
      </c>
      <c r="AH167" s="30">
        <f>VLOOKUP($B167,Pitchers!$A1:$S251,9,FALSE)</f>
        <v>32</v>
      </c>
      <c r="AI167" s="30">
        <f>VLOOKUP($B167,Pitchers!$A1:$S251,10,FALSE)</f>
        <v>19.766666666666666</v>
      </c>
      <c r="AJ167" s="30">
        <f>VLOOKUP($B167,Pitchers!$A1:$S251,11,FALSE)</f>
        <v>47.199999999999996</v>
      </c>
      <c r="AK167" s="30">
        <f>VLOOKUP($B167,Pitchers!$A1:$S251,12,FALSE)</f>
        <v>22.099999999999998</v>
      </c>
      <c r="AL167" s="30">
        <f>VLOOKUP($B167,Pitchers!$A1:$S251,13,FALSE)</f>
        <v>8</v>
      </c>
      <c r="AM167" s="30">
        <f>VLOOKUP($B167,Pitchers!$A1:$S251,14,FALSE)</f>
        <v>62.6</v>
      </c>
      <c r="AN167" s="30">
        <f>VLOOKUP($B167,Pitchers!$A1:$S251,15,FALSE)</f>
        <v>0</v>
      </c>
      <c r="AO167" s="30">
        <f>VLOOKUP($B167,Pitchers!$A1:$S251,16,FALSE)</f>
        <v>2.9333333333333336</v>
      </c>
      <c r="AP167" s="30">
        <f>VLOOKUP($B167,Pitchers!$A1:$S251,17,FALSE)</f>
        <v>0</v>
      </c>
      <c r="AQ167" s="30">
        <f>VLOOKUP($B167,Pitchers!$A1:$S251,18,FALSE)</f>
        <v>2.5</v>
      </c>
      <c r="AR167" s="30">
        <f>VLOOKUP($B167,Pitchers!$A1:$S251,19,FALSE)</f>
        <v>6</v>
      </c>
    </row>
    <row r="168" spans="1:44" ht="18.600000000000001" customHeight="1">
      <c r="A168" s="24">
        <f ca="1">RANK(I168,I$2:I$651)</f>
        <v>129</v>
      </c>
      <c r="B168" s="25" t="s">
        <v>224</v>
      </c>
      <c r="C168" s="26" t="s">
        <v>225</v>
      </c>
      <c r="D168" s="26" t="s">
        <v>75</v>
      </c>
      <c r="E168" s="35" t="s">
        <v>31</v>
      </c>
      <c r="F168" s="36">
        <f ca="1">VLOOKUP(B168,SP!A1:I161,IF(Settings!$J$13="points",4,7),FALSE)</f>
        <v>38</v>
      </c>
      <c r="G168" s="29">
        <f>(AC168*Settings!$F$2)+(AF168*Settings!$F$5)+(AG168*Settings!$F$6)+(AH168*Settings!$F$7)+(AI168*Settings!$F$8)+(AJ168*Settings!$F$9)+(AK168*Settings!$F$10)+(AL168*Settings!$F$11)+(AM168*Settings!$F$12)+(AN168*Settings!$F$13)+(AO168*Settings!$F$14)+(AP168*Settings!$F$15)+(AQ168*Settings!$F$16)+(AR168*Settings!$F$17)</f>
        <v>378.50000000000017</v>
      </c>
      <c r="H168" s="30">
        <f>VLOOKUP(B168,'Standard Deviations'!$A1:$D651,4,FALSE)</f>
        <v>2.1944077834506333</v>
      </c>
      <c r="I168" s="31">
        <f ca="1">IF(Settings!$J$16="no",VLOOKUP(B168,SP!A1:I161,IF(Settings!$J$13="points",6,9),FALSE),VLOOKUP(B168,'SP+RP'!$A1:$I251,IF(Settings!$J$13="points",6,9),FALSE))</f>
        <v>2.0584227579320893</v>
      </c>
      <c r="J168" s="30"/>
      <c r="K168" s="30">
        <f ca="1">J168-A168</f>
        <v>-129</v>
      </c>
      <c r="L168" s="30"/>
      <c r="M168" s="30"/>
      <c r="N168" s="30"/>
      <c r="O168" s="30"/>
      <c r="P168" s="30"/>
      <c r="Q168" s="30"/>
      <c r="R168" s="32"/>
      <c r="S168" s="32"/>
      <c r="T168" s="30"/>
      <c r="U168" s="30"/>
      <c r="V168" s="30"/>
      <c r="W168" s="30"/>
      <c r="X168" s="30"/>
      <c r="Y168" s="32"/>
      <c r="Z168" s="32"/>
      <c r="AA168" s="30"/>
      <c r="AB168" s="30"/>
      <c r="AC168" s="30">
        <f>VLOOKUP($B168,Pitchers!$A1:$S251,4,FALSE)</f>
        <v>159.26666666666668</v>
      </c>
      <c r="AD168" s="32">
        <f>VLOOKUP($B168,Pitchers!$A1:$S251,5,FALSE)</f>
        <v>3.9160736709920463</v>
      </c>
      <c r="AE168" s="32">
        <f>VLOOKUP($B168,Pitchers!$A1:$S251,6,FALSE)</f>
        <v>1.1538300544160736</v>
      </c>
      <c r="AF168" s="30">
        <f>VLOOKUP($B168,Pitchers!$A1:$S251,7,FALSE)</f>
        <v>197.73333333333335</v>
      </c>
      <c r="AG168" s="30">
        <f>VLOOKUP($B168,Pitchers!$A1:$S251,8,FALSE)</f>
        <v>8.5333333333333332</v>
      </c>
      <c r="AH168" s="30">
        <f>VLOOKUP($B168,Pitchers!$A1:$S251,9,FALSE)</f>
        <v>0</v>
      </c>
      <c r="AI168" s="30">
        <f>VLOOKUP($B168,Pitchers!$A1:$S251,10,FALSE)</f>
        <v>69.3</v>
      </c>
      <c r="AJ168" s="30">
        <f>VLOOKUP($B168,Pitchers!$A1:$S251,11,FALSE)</f>
        <v>128.53333333333333</v>
      </c>
      <c r="AK168" s="30">
        <f>VLOOKUP($B168,Pitchers!$A1:$S251,12,FALSE)</f>
        <v>55.233333333333327</v>
      </c>
      <c r="AL168" s="30">
        <f>VLOOKUP($B168,Pitchers!$A1:$S251,13,FALSE)</f>
        <v>25</v>
      </c>
      <c r="AM168" s="30">
        <f>VLOOKUP($B168,Pitchers!$A1:$S251,14,FALSE)</f>
        <v>29.733333333333334</v>
      </c>
      <c r="AN168" s="30">
        <f>VLOOKUP($B168,Pitchers!$A1:$S251,15,FALSE)</f>
        <v>29.733333333333334</v>
      </c>
      <c r="AO168" s="30">
        <f>VLOOKUP($B168,Pitchers!$A1:$S251,16,FALSE)</f>
        <v>9.9666666666666668</v>
      </c>
      <c r="AP168" s="30">
        <f>VLOOKUP($B168,Pitchers!$A1:$S251,17,FALSE)</f>
        <v>15</v>
      </c>
      <c r="AQ168" s="30">
        <f>VLOOKUP($B168,Pitchers!$A1:$S251,18,FALSE)</f>
        <v>0</v>
      </c>
      <c r="AR168" s="30">
        <f>VLOOKUP($B168,Pitchers!$A1:$S251,19,FALSE)</f>
        <v>0</v>
      </c>
    </row>
    <row r="169" spans="1:44" ht="18.600000000000001" customHeight="1">
      <c r="A169" s="24">
        <f ca="1">RANK(I169,I$2:I$651)</f>
        <v>112</v>
      </c>
      <c r="B169" s="25" t="s">
        <v>206</v>
      </c>
      <c r="C169" s="26" t="s">
        <v>77</v>
      </c>
      <c r="D169" s="26" t="s">
        <v>70</v>
      </c>
      <c r="E169" s="27" t="s">
        <v>23</v>
      </c>
      <c r="F169" s="28">
        <f ca="1">VLOOKUP(B169,OF!A1:I139,IF(Settings!$J$13="points",4,7),FALSE)</f>
        <v>38</v>
      </c>
      <c r="G169" s="29">
        <f>(M169*Settings!$B$2)+(N169*Settings!$B$3)+(O169*Settings!$B$4)+(P169*Settings!$B$5)+(Q169*Settings!$B$6)+(T169*Settings!$B$9)+(U169*Settings!$B$10)+(V169*Settings!$B$11)+(W169*Settings!$B$12)+(X169*Settings!$B$13)+(AA169*Settings!$B$16)</f>
        <v>378.48333333333346</v>
      </c>
      <c r="H169" s="30">
        <f>VLOOKUP(B169,'Standard Deviations'!$A1:$D651,4,FALSE)</f>
        <v>2.5699233098299246</v>
      </c>
      <c r="I169" s="31">
        <f ca="1">VLOOKUP(B169,OF!A1:I139,IF(Settings!$J$13="points",6,9),FALSE)</f>
        <v>2.4512031113205501</v>
      </c>
      <c r="J169" s="30"/>
      <c r="K169" s="30">
        <f ca="1">J169-A169</f>
        <v>-112</v>
      </c>
      <c r="L169" s="30"/>
      <c r="M169" s="30">
        <f>VLOOKUP($B169,Hitters!$A1:$R401,4,FALSE)</f>
        <v>492.66666666666703</v>
      </c>
      <c r="N169" s="30">
        <f>VLOOKUP($B169,Hitters!$A1:$R401,5,FALSE)</f>
        <v>58.7</v>
      </c>
      <c r="O169" s="30">
        <f>VLOOKUP($B169,Hitters!$A1:$R401,6,FALSE)</f>
        <v>18.266666666666701</v>
      </c>
      <c r="P169" s="30">
        <f>VLOOKUP($B169,Hitters!$A1:$R401,7,FALSE)</f>
        <v>67.6666666666667</v>
      </c>
      <c r="Q169" s="30">
        <f>VLOOKUP($B169,Hitters!$A1:$R401,8,FALSE)</f>
        <v>2.1666666666666701</v>
      </c>
      <c r="R169" s="32">
        <f>VLOOKUP($B169,Hitters!$A1:$R401,9,FALSE)</f>
        <v>0.28234100135318002</v>
      </c>
      <c r="S169" s="32">
        <f>VLOOKUP($B169,Hitters!$A1:$R401,10,FALSE)</f>
        <v>0.31040408315059198</v>
      </c>
      <c r="T169" s="30">
        <f>VLOOKUP($B169,Hitters!$A1:$R401,11,FALSE)</f>
        <v>139.1</v>
      </c>
      <c r="U169" s="30">
        <f>VLOOKUP($B169,Hitters!$A1:$R401,12,FALSE)</f>
        <v>31.266666666666701</v>
      </c>
      <c r="V169" s="30">
        <f>VLOOKUP($B169,Hitters!$A1:$R401,13,FALSE)</f>
        <v>0.83333333333333304</v>
      </c>
      <c r="W169" s="30">
        <f>VLOOKUP($B169,Hitters!$A1:$R401,14,FALSE)</f>
        <v>22.266666666666701</v>
      </c>
      <c r="X169" s="30">
        <f>VLOOKUP($B169,Hitters!$A1:$R401,15,FALSE)</f>
        <v>103.366666666667</v>
      </c>
      <c r="Y169" s="32">
        <f>VLOOKUP($B169,Hitters!$A1:$R401,16,FALSE)</f>
        <v>0.46041948579161002</v>
      </c>
      <c r="Z169" s="32">
        <f>VLOOKUP($B169,Hitters!$A1:$R401,17,FALSE)</f>
        <v>0.77082356894220205</v>
      </c>
      <c r="AA169" s="30">
        <f>VLOOKUP($B169,Hitters!$A1:$R401,18,FALSE)</f>
        <v>0</v>
      </c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</row>
    <row r="170" spans="1:44" ht="18.600000000000001" customHeight="1">
      <c r="A170" s="24">
        <f ca="1">RANK(I170,I$2:I$651)</f>
        <v>123</v>
      </c>
      <c r="B170" s="25" t="s">
        <v>217</v>
      </c>
      <c r="C170" s="26" t="s">
        <v>122</v>
      </c>
      <c r="D170" s="26" t="s">
        <v>75</v>
      </c>
      <c r="E170" s="27" t="s">
        <v>23</v>
      </c>
      <c r="F170" s="28">
        <f ca="1">VLOOKUP(B170,OF!A1:I139,IF(Settings!$J$13="points",4,7),FALSE)</f>
        <v>41</v>
      </c>
      <c r="G170" s="29">
        <f>(M170*Settings!$B$2)+(N170*Settings!$B$3)+(O170*Settings!$B$4)+(P170*Settings!$B$5)+(Q170*Settings!$B$6)+(T170*Settings!$B$9)+(U170*Settings!$B$10)+(V170*Settings!$B$11)+(W170*Settings!$B$12)+(X170*Settings!$B$13)+(AA170*Settings!$B$16)</f>
        <v>378.31666666666712</v>
      </c>
      <c r="H170" s="30">
        <f>VLOOKUP(B170,'Standard Deviations'!$A1:$D651,4,FALSE)</f>
        <v>2.3364442855658885</v>
      </c>
      <c r="I170" s="31">
        <f ca="1">VLOOKUP(B170,OF!A1:I139,IF(Settings!$J$13="points",6,9),FALSE)</f>
        <v>2.21773056482487</v>
      </c>
      <c r="J170" s="30"/>
      <c r="K170" s="30">
        <f ca="1">J170-A170</f>
        <v>-123</v>
      </c>
      <c r="L170" s="30"/>
      <c r="M170" s="30">
        <f>VLOOKUP($B170,Hitters!$A1:$R401,4,FALSE)</f>
        <v>492.66666666666703</v>
      </c>
      <c r="N170" s="30">
        <f>VLOOKUP($B170,Hitters!$A1:$R401,5,FALSE)</f>
        <v>60.4</v>
      </c>
      <c r="O170" s="30">
        <f>VLOOKUP($B170,Hitters!$A1:$R401,6,FALSE)</f>
        <v>13.766666666666699</v>
      </c>
      <c r="P170" s="30">
        <f>VLOOKUP($B170,Hitters!$A1:$R401,7,FALSE)</f>
        <v>65.533333333333303</v>
      </c>
      <c r="Q170" s="30">
        <f>VLOOKUP($B170,Hitters!$A1:$R401,8,FALSE)</f>
        <v>3.8</v>
      </c>
      <c r="R170" s="32">
        <f>VLOOKUP($B170,Hitters!$A1:$R401,9,FALSE)</f>
        <v>0.28450608930987797</v>
      </c>
      <c r="S170" s="32">
        <f>VLOOKUP($B170,Hitters!$A1:$R401,10,FALSE)</f>
        <v>0.32653343214963099</v>
      </c>
      <c r="T170" s="30">
        <f>VLOOKUP($B170,Hitters!$A1:$R401,11,FALSE)</f>
        <v>140.166666666667</v>
      </c>
      <c r="U170" s="30">
        <f>VLOOKUP($B170,Hitters!$A1:$R401,12,FALSE)</f>
        <v>30</v>
      </c>
      <c r="V170" s="30">
        <f>VLOOKUP($B170,Hitters!$A1:$R401,13,FALSE)</f>
        <v>1.86666666666667</v>
      </c>
      <c r="W170" s="30">
        <f>VLOOKUP($B170,Hitters!$A1:$R401,14,FALSE)</f>
        <v>33.133333333333297</v>
      </c>
      <c r="X170" s="30">
        <f>VLOOKUP($B170,Hitters!$A1:$R401,15,FALSE)</f>
        <v>98.366666666666703</v>
      </c>
      <c r="Y170" s="32">
        <f>VLOOKUP($B170,Hitters!$A1:$R401,16,FALSE)</f>
        <v>0.43680649526387</v>
      </c>
      <c r="Z170" s="32">
        <f>VLOOKUP($B170,Hitters!$A1:$R401,17,FALSE)</f>
        <v>0.76333992741350098</v>
      </c>
      <c r="AA170" s="30">
        <f>VLOOKUP($B170,Hitters!$A1:$R401,18,FALSE)</f>
        <v>0</v>
      </c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</row>
    <row r="171" spans="1:44" ht="18.600000000000001" customHeight="1">
      <c r="A171" s="24">
        <f ca="1">RANK(I171,I$2:I$651)</f>
        <v>126</v>
      </c>
      <c r="B171" s="25" t="s">
        <v>220</v>
      </c>
      <c r="C171" s="26" t="s">
        <v>116</v>
      </c>
      <c r="D171" s="26" t="s">
        <v>70</v>
      </c>
      <c r="E171" s="27" t="s">
        <v>23</v>
      </c>
      <c r="F171" s="28">
        <f ca="1">VLOOKUP(B171,OF!A1:I139,IF(Settings!$J$13="points",4,7),FALSE)</f>
        <v>43</v>
      </c>
      <c r="G171" s="29">
        <f>(M171*Settings!$B$2)+(N171*Settings!$B$3)+(O171*Settings!$B$4)+(P171*Settings!$B$5)+(Q171*Settings!$B$6)+(T171*Settings!$B$9)+(U171*Settings!$B$10)+(V171*Settings!$B$11)+(W171*Settings!$B$12)+(X171*Settings!$B$13)+(AA171*Settings!$B$16)</f>
        <v>378.28333333333347</v>
      </c>
      <c r="H171" s="30">
        <f>VLOOKUP(B171,'Standard Deviations'!$A1:$D651,4,FALSE)</f>
        <v>2.3150222744444511</v>
      </c>
      <c r="I171" s="31">
        <f ca="1">VLOOKUP(B171,OF!A1:I139,IF(Settings!$J$13="points",6,9),FALSE)</f>
        <v>2.1963048001555001</v>
      </c>
      <c r="J171" s="30"/>
      <c r="K171" s="30">
        <f ca="1">J171-A171</f>
        <v>-126</v>
      </c>
      <c r="L171" s="30"/>
      <c r="M171" s="30">
        <f>VLOOKUP($B171,Hitters!$A1:$R401,4,FALSE)</f>
        <v>477.33333333333297</v>
      </c>
      <c r="N171" s="30">
        <f>VLOOKUP($B171,Hitters!$A1:$R401,5,FALSE)</f>
        <v>64.433333333333294</v>
      </c>
      <c r="O171" s="30">
        <f>VLOOKUP($B171,Hitters!$A1:$R401,6,FALSE)</f>
        <v>11.9333333333333</v>
      </c>
      <c r="P171" s="30">
        <f>VLOOKUP($B171,Hitters!$A1:$R401,7,FALSE)</f>
        <v>57.933333333333302</v>
      </c>
      <c r="Q171" s="30">
        <f>VLOOKUP($B171,Hitters!$A1:$R401,8,FALSE)</f>
        <v>8.6999999999999993</v>
      </c>
      <c r="R171" s="32">
        <f>VLOOKUP($B171,Hitters!$A1:$R401,9,FALSE)</f>
        <v>0.27709497206703898</v>
      </c>
      <c r="S171" s="32">
        <f>VLOOKUP($B171,Hitters!$A1:$R401,10,FALSE)</f>
        <v>0.34076205072800603</v>
      </c>
      <c r="T171" s="30">
        <f>VLOOKUP($B171,Hitters!$A1:$R401,11,FALSE)</f>
        <v>132.26666666666699</v>
      </c>
      <c r="U171" s="30">
        <f>VLOOKUP($B171,Hitters!$A1:$R401,12,FALSE)</f>
        <v>24.6666666666667</v>
      </c>
      <c r="V171" s="30">
        <f>VLOOKUP($B171,Hitters!$A1:$R401,13,FALSE)</f>
        <v>2.0333333333333301</v>
      </c>
      <c r="W171" s="30">
        <f>VLOOKUP($B171,Hitters!$A1:$R401,14,FALSE)</f>
        <v>48.566666666666698</v>
      </c>
      <c r="X171" s="30">
        <f>VLOOKUP($B171,Hitters!$A1:$R401,15,FALSE)</f>
        <v>90.966666666666697</v>
      </c>
      <c r="Y171" s="32">
        <f>VLOOKUP($B171,Hitters!$A1:$R401,16,FALSE)</f>
        <v>0.41229050279329599</v>
      </c>
      <c r="Z171" s="32">
        <f>VLOOKUP($B171,Hitters!$A1:$R401,17,FALSE)</f>
        <v>0.75305255352130196</v>
      </c>
      <c r="AA171" s="30">
        <f>VLOOKUP($B171,Hitters!$A1:$R401,18,FALSE)</f>
        <v>0</v>
      </c>
      <c r="AB171" s="30"/>
      <c r="AC171" s="30"/>
      <c r="AD171" s="32"/>
      <c r="AE171" s="32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</row>
    <row r="172" spans="1:44" ht="18.600000000000001" customHeight="1">
      <c r="A172" s="24">
        <f ca="1">RANK(I172,I$2:I$651)</f>
        <v>187</v>
      </c>
      <c r="B172" s="25" t="s">
        <v>284</v>
      </c>
      <c r="C172" s="26" t="s">
        <v>85</v>
      </c>
      <c r="D172" s="26" t="s">
        <v>70</v>
      </c>
      <c r="E172" s="35" t="s">
        <v>31</v>
      </c>
      <c r="F172" s="36">
        <f ca="1">VLOOKUP(B172,SP!A1:I161,IF(Settings!$J$13="points",4,7),FALSE)</f>
        <v>57</v>
      </c>
      <c r="G172" s="29">
        <f>(AC172*Settings!$F$2)+(AF172*Settings!$F$5)+(AG172*Settings!$F$6)+(AH172*Settings!$F$7)+(AI172*Settings!$F$8)+(AJ172*Settings!$F$9)+(AK172*Settings!$F$10)+(AL172*Settings!$F$11)+(AM172*Settings!$F$12)+(AN172*Settings!$F$13)+(AO172*Settings!$F$14)+(AP172*Settings!$F$15)+(AQ172*Settings!$F$16)+(AR172*Settings!$F$17)</f>
        <v>377.55666666666667</v>
      </c>
      <c r="H172" s="30">
        <f>VLOOKUP(B172,'Standard Deviations'!$A1:$D651,4,FALSE)</f>
        <v>0.8736998571954272</v>
      </c>
      <c r="I172" s="31">
        <f ca="1">IF(Settings!$J$16="no",VLOOKUP(B172,SP!A1:I161,IF(Settings!$J$13="points",6,9),FALSE),VLOOKUP(B172,'SP+RP'!$A1:$I251,IF(Settings!$J$13="points",6,9),FALSE))</f>
        <v>0.73771323896347452</v>
      </c>
      <c r="J172" s="30"/>
      <c r="K172" s="30">
        <f ca="1">J172-A172</f>
        <v>-187</v>
      </c>
      <c r="L172" s="30"/>
      <c r="M172" s="30"/>
      <c r="N172" s="30"/>
      <c r="O172" s="30"/>
      <c r="P172" s="30"/>
      <c r="Q172" s="30"/>
      <c r="R172" s="32"/>
      <c r="S172" s="32"/>
      <c r="T172" s="30"/>
      <c r="U172" s="30"/>
      <c r="V172" s="30"/>
      <c r="W172" s="30"/>
      <c r="X172" s="30"/>
      <c r="Y172" s="32"/>
      <c r="Z172" s="32"/>
      <c r="AA172" s="30"/>
      <c r="AB172" s="30"/>
      <c r="AC172" s="30">
        <f>VLOOKUP($B172,Pitchers!$A1:$S251,4,FALSE)</f>
        <v>174</v>
      </c>
      <c r="AD172" s="32">
        <f>VLOOKUP($B172,Pitchers!$A1:$S251,5,FALSE)</f>
        <v>3.9350000000000005</v>
      </c>
      <c r="AE172" s="32">
        <f>VLOOKUP($B172,Pitchers!$A1:$S251,6,FALSE)</f>
        <v>1.2101532567049809</v>
      </c>
      <c r="AF172" s="30">
        <f>VLOOKUP($B172,Pitchers!$A1:$S251,7,FALSE)</f>
        <v>134</v>
      </c>
      <c r="AG172" s="30">
        <f>VLOOKUP($B172,Pitchers!$A1:$S251,8,FALSE)</f>
        <v>10.766666666666666</v>
      </c>
      <c r="AH172" s="30">
        <f>VLOOKUP($B172,Pitchers!$A1:$S251,9,FALSE)</f>
        <v>0</v>
      </c>
      <c r="AI172" s="30">
        <f>VLOOKUP($B172,Pitchers!$A1:$S251,10,FALSE)</f>
        <v>76.076666666666668</v>
      </c>
      <c r="AJ172" s="30">
        <f>VLOOKUP($B172,Pitchers!$A1:$S251,11,FALSE)</f>
        <v>167.16666666666666</v>
      </c>
      <c r="AK172" s="30">
        <f>VLOOKUP($B172,Pitchers!$A1:$S251,12,FALSE)</f>
        <v>43.4</v>
      </c>
      <c r="AL172" s="30">
        <f>VLOOKUP($B172,Pitchers!$A1:$S251,13,FALSE)</f>
        <v>30</v>
      </c>
      <c r="AM172" s="30">
        <f>VLOOKUP($B172,Pitchers!$A1:$S251,14,FALSE)</f>
        <v>30.266666666666666</v>
      </c>
      <c r="AN172" s="30">
        <f>VLOOKUP($B172,Pitchers!$A1:$S251,15,FALSE)</f>
        <v>29.599999999999998</v>
      </c>
      <c r="AO172" s="30">
        <f>VLOOKUP($B172,Pitchers!$A1:$S251,16,FALSE)</f>
        <v>9.0333333333333332</v>
      </c>
      <c r="AP172" s="30">
        <f>VLOOKUP($B172,Pitchers!$A1:$S251,17,FALSE)</f>
        <v>15</v>
      </c>
      <c r="AQ172" s="30">
        <f>VLOOKUP($B172,Pitchers!$A1:$S251,18,FALSE)</f>
        <v>0</v>
      </c>
      <c r="AR172" s="30">
        <f>VLOOKUP($B172,Pitchers!$A1:$S251,19,FALSE)</f>
        <v>0</v>
      </c>
    </row>
    <row r="173" spans="1:44" ht="18.600000000000001" customHeight="1">
      <c r="A173" s="24">
        <f ca="1">RANK(I173,I$2:I$651)</f>
        <v>277</v>
      </c>
      <c r="B173" s="25" t="s">
        <v>374</v>
      </c>
      <c r="C173" s="26" t="s">
        <v>82</v>
      </c>
      <c r="D173" s="26" t="s">
        <v>75</v>
      </c>
      <c r="E173" s="39" t="s">
        <v>7</v>
      </c>
      <c r="F173" s="40">
        <f ca="1">VLOOKUP(B173,'1B'!A1:I63,IF(Settings!$J$13="points",4,7),FALSE)</f>
        <v>24</v>
      </c>
      <c r="G173" s="29">
        <f>(M173*Settings!$B$2)+(N173*Settings!$B$3)+(O173*Settings!$B$4)+(P173*Settings!$B$5)+(Q173*Settings!$B$6)+(T173*Settings!$B$9)+(U173*Settings!$B$10)+(V173*Settings!$B$11)+(W173*Settings!$B$12)+(X173*Settings!$B$13)+(AA173*Settings!$B$16)</f>
        <v>374.13333333333361</v>
      </c>
      <c r="H173" s="30">
        <f>VLOOKUP(B173,'Standard Deviations'!$A1:$D651,4,FALSE)</f>
        <v>1.9523960442686847</v>
      </c>
      <c r="I173" s="31">
        <f ca="1">IF(Settings!$J$15="no",VLOOKUP(B173,'1B'!A1:I63,IF(Settings!$J$13="points",6,9),FALSE),VLOOKUP(B173,'1B+3B'!$A1:$I104,IF(Settings!$J$13="points",6,9),FALSE))</f>
        <v>-0.62713638764237034</v>
      </c>
      <c r="J173" s="30"/>
      <c r="K173" s="30">
        <f ca="1">J173-A173</f>
        <v>-277</v>
      </c>
      <c r="L173" s="30"/>
      <c r="M173" s="30">
        <f>VLOOKUP($B173,Hitters!$A1:$R401,4,FALSE)</f>
        <v>444.33333333333297</v>
      </c>
      <c r="N173" s="30">
        <f>VLOOKUP($B173,Hitters!$A1:$R401,5,FALSE)</f>
        <v>61.8</v>
      </c>
      <c r="O173" s="30">
        <f>VLOOKUP($B173,Hitters!$A1:$R401,6,FALSE)</f>
        <v>15.4</v>
      </c>
      <c r="P173" s="30">
        <f>VLOOKUP($B173,Hitters!$A1:$R401,7,FALSE)</f>
        <v>63.8</v>
      </c>
      <c r="Q173" s="30">
        <f>VLOOKUP($B173,Hitters!$A1:$R401,8,FALSE)</f>
        <v>8.1333333333333293</v>
      </c>
      <c r="R173" s="32">
        <f>VLOOKUP($B173,Hitters!$A1:$R401,9,FALSE)</f>
        <v>0.25941485371342798</v>
      </c>
      <c r="S173" s="32">
        <f>VLOOKUP($B173,Hitters!$A1:$R401,10,FALSE)</f>
        <v>0.32090570340656899</v>
      </c>
      <c r="T173" s="30">
        <f>VLOOKUP($B173,Hitters!$A1:$R401,11,FALSE)</f>
        <v>115.26666666666701</v>
      </c>
      <c r="U173" s="30">
        <f>VLOOKUP($B173,Hitters!$A1:$R401,12,FALSE)</f>
        <v>26</v>
      </c>
      <c r="V173" s="30">
        <f>VLOOKUP($B173,Hitters!$A1:$R401,13,FALSE)</f>
        <v>2.06666666666667</v>
      </c>
      <c r="W173" s="30">
        <f>VLOOKUP($B173,Hitters!$A1:$R401,14,FALSE)</f>
        <v>42.3333333333333</v>
      </c>
      <c r="X173" s="30">
        <f>VLOOKUP($B173,Hitters!$A1:$R401,15,FALSE)</f>
        <v>90.266666666666694</v>
      </c>
      <c r="Y173" s="32">
        <f>VLOOKUP($B173,Hitters!$A1:$R401,16,FALSE)</f>
        <v>0.43120780195048802</v>
      </c>
      <c r="Z173" s="32">
        <f>VLOOKUP($B173,Hitters!$A1:$R401,17,FALSE)</f>
        <v>0.75211350535705601</v>
      </c>
      <c r="AA173" s="30">
        <f>VLOOKUP($B173,Hitters!$A1:$R401,18,FALSE)</f>
        <v>0</v>
      </c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</row>
    <row r="174" spans="1:44" ht="18.600000000000001" customHeight="1">
      <c r="A174" s="24">
        <f ca="1">RANK(I174,I$2:I$651)</f>
        <v>223</v>
      </c>
      <c r="B174" s="25" t="s">
        <v>322</v>
      </c>
      <c r="C174" s="26" t="s">
        <v>125</v>
      </c>
      <c r="D174" s="26" t="s">
        <v>75</v>
      </c>
      <c r="E174" s="35" t="s">
        <v>31</v>
      </c>
      <c r="F174" s="36">
        <f ca="1">VLOOKUP(B174,SP!A1:I161,IF(Settings!$J$13="points",4,7),FALSE)</f>
        <v>66</v>
      </c>
      <c r="G174" s="29">
        <f>(AC174*Settings!$F$2)+(AF174*Settings!$F$5)+(AG174*Settings!$F$6)+(AH174*Settings!$F$7)+(AI174*Settings!$F$8)+(AJ174*Settings!$F$9)+(AK174*Settings!$F$10)+(AL174*Settings!$F$11)+(AM174*Settings!$F$12)+(AN174*Settings!$F$13)+(AO174*Settings!$F$14)+(AP174*Settings!$F$15)+(AQ174*Settings!$F$16)+(AR174*Settings!$F$17)</f>
        <v>374.04533333333336</v>
      </c>
      <c r="H174" s="30">
        <f>VLOOKUP(B174,'Standard Deviations'!$A1:$D651,4,FALSE)</f>
        <v>0.32656114625587551</v>
      </c>
      <c r="I174" s="31">
        <f ca="1">IF(Settings!$J$16="no",VLOOKUP(B174,SP!A1:I161,IF(Settings!$J$13="points",6,9),FALSE),VLOOKUP(B174,'SP+RP'!$A1:$I251,IF(Settings!$J$13="points",6,9),FALSE))</f>
        <v>0.19057917255534393</v>
      </c>
      <c r="J174" s="30"/>
      <c r="K174" s="30">
        <f ca="1">J174-A174</f>
        <v>-223</v>
      </c>
      <c r="L174" s="30"/>
      <c r="M174" s="30"/>
      <c r="N174" s="30"/>
      <c r="O174" s="30"/>
      <c r="P174" s="30"/>
      <c r="Q174" s="30"/>
      <c r="R174" s="32"/>
      <c r="S174" s="32"/>
      <c r="T174" s="30"/>
      <c r="U174" s="30"/>
      <c r="V174" s="30"/>
      <c r="W174" s="30"/>
      <c r="X174" s="30"/>
      <c r="Y174" s="32"/>
      <c r="Z174" s="32"/>
      <c r="AA174" s="30"/>
      <c r="AB174" s="30"/>
      <c r="AC174" s="30">
        <f>VLOOKUP($B174,Pitchers!$A1:$S251,4,FALSE)</f>
        <v>181.20000000000002</v>
      </c>
      <c r="AD174" s="32">
        <f>VLOOKUP($B174,Pitchers!$A1:$S251,5,FALSE)</f>
        <v>4.0043708609271524</v>
      </c>
      <c r="AE174" s="32">
        <f>VLOOKUP($B174,Pitchers!$A1:$S251,6,FALSE)</f>
        <v>1.2866077998528329</v>
      </c>
      <c r="AF174" s="30">
        <f>VLOOKUP($B174,Pitchers!$A1:$S251,7,FALSE)</f>
        <v>137.13333333333333</v>
      </c>
      <c r="AG174" s="30">
        <f>VLOOKUP($B174,Pitchers!$A1:$S251,8,FALSE)</f>
        <v>11.733333333333334</v>
      </c>
      <c r="AH174" s="30">
        <f>VLOOKUP($B174,Pitchers!$A1:$S251,9,FALSE)</f>
        <v>0</v>
      </c>
      <c r="AI174" s="30">
        <f>VLOOKUP($B174,Pitchers!$A1:$S251,10,FALSE)</f>
        <v>80.62133333333334</v>
      </c>
      <c r="AJ174" s="30">
        <f>VLOOKUP($B174,Pitchers!$A1:$S251,11,FALSE)</f>
        <v>181.63333333333333</v>
      </c>
      <c r="AK174" s="30">
        <f>VLOOKUP($B174,Pitchers!$A1:$S251,12,FALSE)</f>
        <v>51.5</v>
      </c>
      <c r="AL174" s="30">
        <f>VLOOKUP($B174,Pitchers!$A1:$S251,13,FALSE)</f>
        <v>22</v>
      </c>
      <c r="AM174" s="30">
        <f>VLOOKUP($B174,Pitchers!$A1:$S251,14,FALSE)</f>
        <v>29.933333333333334</v>
      </c>
      <c r="AN174" s="30">
        <f>VLOOKUP($B174,Pitchers!$A1:$S251,15,FALSE)</f>
        <v>29.933333333333334</v>
      </c>
      <c r="AO174" s="30">
        <f>VLOOKUP($B174,Pitchers!$A1:$S251,16,FALSE)</f>
        <v>9.7000000000000011</v>
      </c>
      <c r="AP174" s="30">
        <f>VLOOKUP($B174,Pitchers!$A1:$S251,17,FALSE)</f>
        <v>14</v>
      </c>
      <c r="AQ174" s="30">
        <f>VLOOKUP($B174,Pitchers!$A1:$S251,18,FALSE)</f>
        <v>0</v>
      </c>
      <c r="AR174" s="30">
        <f>VLOOKUP($B174,Pitchers!$A1:$S251,19,FALSE)</f>
        <v>0</v>
      </c>
    </row>
    <row r="175" spans="1:44" ht="18.600000000000001" customHeight="1">
      <c r="A175" s="24">
        <f ca="1">RANK(I175,I$2:I$651)</f>
        <v>151</v>
      </c>
      <c r="B175" s="25" t="s">
        <v>247</v>
      </c>
      <c r="C175" s="26" t="s">
        <v>125</v>
      </c>
      <c r="D175" s="26" t="s">
        <v>75</v>
      </c>
      <c r="E175" s="33" t="s">
        <v>15</v>
      </c>
      <c r="F175" s="34">
        <f ca="1">VLOOKUP(B175,'3B'!A1:I55,IF(Settings!$J$13="points",4,7),FALSE)</f>
        <v>11</v>
      </c>
      <c r="G175" s="29">
        <f>(M175*Settings!$B$2)+(N175*Settings!$B$3)+(O175*Settings!$B$4)+(P175*Settings!$B$5)+(Q175*Settings!$B$6)+(T175*Settings!$B$9)+(U175*Settings!$B$10)+(V175*Settings!$B$11)+(W175*Settings!$B$12)+(X175*Settings!$B$13)+(AA175*Settings!$B$16)</f>
        <v>373.66249999999997</v>
      </c>
      <c r="H175" s="30">
        <f>VLOOKUP(B175,'Standard Deviations'!$A1:$D651,4,FALSE)</f>
        <v>2.2571331774417969</v>
      </c>
      <c r="I175" s="31">
        <f ca="1">IF(Settings!$J$15="no",VLOOKUP(B175,'3B'!A1:I55,IF(Settings!$J$13="points",6,9),FALSE),VLOOKUP(B175,'1B+3B'!$A1:$I104,IF(Settings!$J$13="points",6,9),FALSE))</f>
        <v>1.529458657000474</v>
      </c>
      <c r="J175" s="30"/>
      <c r="K175" s="30">
        <f ca="1">J175-A175</f>
        <v>-151</v>
      </c>
      <c r="L175" s="30"/>
      <c r="M175" s="30">
        <f>VLOOKUP($B175,Hitters!$A1:$R401,4,FALSE)</f>
        <v>493.375</v>
      </c>
      <c r="N175" s="30">
        <f>VLOOKUP($B175,Hitters!$A1:$R401,5,FALSE)</f>
        <v>64.424999999999997</v>
      </c>
      <c r="O175" s="30">
        <f>VLOOKUP($B175,Hitters!$A1:$R401,6,FALSE)</f>
        <v>16.024999999999999</v>
      </c>
      <c r="P175" s="30">
        <f>VLOOKUP($B175,Hitters!$A1:$R401,7,FALSE)</f>
        <v>64.375</v>
      </c>
      <c r="Q175" s="30">
        <f>VLOOKUP($B175,Hitters!$A1:$R401,8,FALSE)</f>
        <v>10.137499999999999</v>
      </c>
      <c r="R175" s="32">
        <f>VLOOKUP($B175,Hitters!$A1:$R401,9,FALSE)</f>
        <v>0.25487712186470701</v>
      </c>
      <c r="S175" s="32">
        <f>VLOOKUP($B175,Hitters!$A1:$R401,10,FALSE)</f>
        <v>0.30718484787202099</v>
      </c>
      <c r="T175" s="30">
        <f>VLOOKUP($B175,Hitters!$A1:$R401,11,FALSE)</f>
        <v>125.75</v>
      </c>
      <c r="U175" s="30">
        <f>VLOOKUP($B175,Hitters!$A1:$R401,12,FALSE)</f>
        <v>26.212499999999999</v>
      </c>
      <c r="V175" s="30">
        <f>VLOOKUP($B175,Hitters!$A1:$R401,13,FALSE)</f>
        <v>2.6875</v>
      </c>
      <c r="W175" s="30">
        <f>VLOOKUP($B175,Hitters!$A1:$R401,14,FALSE)</f>
        <v>39.4375</v>
      </c>
      <c r="X175" s="30">
        <f>VLOOKUP($B175,Hitters!$A1:$R401,15,FALSE)</f>
        <v>130.375</v>
      </c>
      <c r="Y175" s="32">
        <f>VLOOKUP($B175,Hitters!$A1:$R401,16,FALSE)</f>
        <v>0.41634152520902001</v>
      </c>
      <c r="Z175" s="32">
        <f>VLOOKUP($B175,Hitters!$A1:$R401,17,FALSE)</f>
        <v>0.72352637308104095</v>
      </c>
      <c r="AA175" s="30">
        <f>VLOOKUP($B175,Hitters!$A1:$R401,18,FALSE)</f>
        <v>0</v>
      </c>
      <c r="AB175" s="30"/>
      <c r="AC175" s="30"/>
      <c r="AD175" s="32"/>
      <c r="AE175" s="32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</row>
    <row r="176" spans="1:44" ht="20.100000000000001" customHeight="1">
      <c r="A176" s="24">
        <f ca="1">RANK(I176,I$2:I$651)</f>
        <v>241</v>
      </c>
      <c r="B176" s="25" t="s">
        <v>339</v>
      </c>
      <c r="C176" s="26" t="s">
        <v>95</v>
      </c>
      <c r="D176" s="26" t="s">
        <v>70</v>
      </c>
      <c r="E176" s="35" t="s">
        <v>31</v>
      </c>
      <c r="F176" s="36">
        <f ca="1">VLOOKUP(B176,SP!A1:I161,IF(Settings!$J$13="points",4,7),FALSE)</f>
        <v>69</v>
      </c>
      <c r="G176" s="29">
        <f>(AC176*Settings!$F$2)+(AF176*Settings!$F$5)+(AG176*Settings!$F$6)+(AH176*Settings!$F$7)+(AI176*Settings!$F$8)+(AJ176*Settings!$F$9)+(AK176*Settings!$F$10)+(AL176*Settings!$F$11)+(AM176*Settings!$F$12)+(AN176*Settings!$F$13)+(AO176*Settings!$F$14)+(AP176*Settings!$F$15)+(AQ176*Settings!$F$16)+(AR176*Settings!$F$17)</f>
        <v>372.32666666666671</v>
      </c>
      <c r="H176" s="30">
        <f>VLOOKUP(B176,'Standard Deviations'!$A1:$D651,4,FALSE)</f>
        <v>0.12586747129607545</v>
      </c>
      <c r="I176" s="31">
        <f ca="1">IF(Settings!$J$16="no",VLOOKUP(B176,SP!A1:I161,IF(Settings!$J$13="points",6,9),FALSE),VLOOKUP(B176,'SP+RP'!$A1:$I251,IF(Settings!$J$13="points",6,9),FALSE))</f>
        <v>-1.0112504847679699E-2</v>
      </c>
      <c r="J176" s="30"/>
      <c r="K176" s="30">
        <f ca="1">J176-A176</f>
        <v>-241</v>
      </c>
      <c r="L176" s="30"/>
      <c r="M176" s="30"/>
      <c r="N176" s="30"/>
      <c r="O176" s="30"/>
      <c r="P176" s="30"/>
      <c r="Q176" s="30"/>
      <c r="R176" s="32"/>
      <c r="S176" s="32"/>
      <c r="T176" s="30"/>
      <c r="U176" s="30"/>
      <c r="V176" s="30"/>
      <c r="W176" s="30"/>
      <c r="X176" s="30"/>
      <c r="Y176" s="32"/>
      <c r="Z176" s="32"/>
      <c r="AA176" s="30"/>
      <c r="AB176" s="30"/>
      <c r="AC176" s="30">
        <f>VLOOKUP($B176,Pitchers!$A1:$S251,4,FALSE)</f>
        <v>172.53333333333333</v>
      </c>
      <c r="AD176" s="32">
        <f>VLOOKUP($B176,Pitchers!$A1:$S251,5,FALSE)</f>
        <v>4.3212519319938174</v>
      </c>
      <c r="AE176" s="32">
        <f>VLOOKUP($B176,Pitchers!$A1:$S251,6,FALSE)</f>
        <v>1.2795595054095827</v>
      </c>
      <c r="AF176" s="30">
        <f>VLOOKUP($B176,Pitchers!$A1:$S251,7,FALSE)</f>
        <v>158.93333333333334</v>
      </c>
      <c r="AG176" s="30">
        <f>VLOOKUP($B176,Pitchers!$A1:$S251,8,FALSE)</f>
        <v>11.266666666666666</v>
      </c>
      <c r="AH176" s="30">
        <f>VLOOKUP($B176,Pitchers!$A1:$S251,9,FALSE)</f>
        <v>0</v>
      </c>
      <c r="AI176" s="30">
        <f>VLOOKUP($B176,Pitchers!$A1:$S251,10,FALSE)</f>
        <v>82.839999999999989</v>
      </c>
      <c r="AJ176" s="30">
        <f>VLOOKUP($B176,Pitchers!$A1:$S251,11,FALSE)</f>
        <v>174.9</v>
      </c>
      <c r="AK176" s="30">
        <f>VLOOKUP($B176,Pitchers!$A1:$S251,12,FALSE)</f>
        <v>45.866666666666667</v>
      </c>
      <c r="AL176" s="30">
        <f>VLOOKUP($B176,Pitchers!$A1:$S251,13,FALSE)</f>
        <v>27</v>
      </c>
      <c r="AM176" s="30">
        <f>VLOOKUP($B176,Pitchers!$A1:$S251,14,FALSE)</f>
        <v>30.933333333333334</v>
      </c>
      <c r="AN176" s="30">
        <f>VLOOKUP($B176,Pitchers!$A1:$S251,15,FALSE)</f>
        <v>30.933333333333334</v>
      </c>
      <c r="AO176" s="30">
        <f>VLOOKUP($B176,Pitchers!$A1:$S251,16,FALSE)</f>
        <v>8.4</v>
      </c>
      <c r="AP176" s="30">
        <f>VLOOKUP($B176,Pitchers!$A1:$S251,17,FALSE)</f>
        <v>14</v>
      </c>
      <c r="AQ176" s="30">
        <f>VLOOKUP($B176,Pitchers!$A1:$S251,18,FALSE)</f>
        <v>0</v>
      </c>
      <c r="AR176" s="30">
        <f>VLOOKUP($B176,Pitchers!$A1:$S251,19,FALSE)</f>
        <v>0</v>
      </c>
    </row>
    <row r="177" spans="1:44" ht="18.600000000000001" customHeight="1">
      <c r="A177" s="24">
        <f ca="1">RANK(I177,I$2:I$651)</f>
        <v>160</v>
      </c>
      <c r="B177" s="25" t="s">
        <v>256</v>
      </c>
      <c r="C177" s="26" t="s">
        <v>219</v>
      </c>
      <c r="D177" s="26" t="s">
        <v>75</v>
      </c>
      <c r="E177" s="35" t="s">
        <v>31</v>
      </c>
      <c r="F177" s="36">
        <f ca="1">VLOOKUP(B177,SP!A1:I161,IF(Settings!$J$13="points",4,7),FALSE)</f>
        <v>50</v>
      </c>
      <c r="G177" s="29">
        <f>(AC177*Settings!$F$2)+(AF177*Settings!$F$5)+(AG177*Settings!$F$6)+(AH177*Settings!$F$7)+(AI177*Settings!$F$8)+(AJ177*Settings!$F$9)+(AK177*Settings!$F$10)+(AL177*Settings!$F$11)+(AM177*Settings!$F$12)+(AN177*Settings!$F$13)+(AO177*Settings!$F$14)+(AP177*Settings!$F$15)+(AQ177*Settings!$F$16)+(AR177*Settings!$F$17)</f>
        <v>372.31399999999996</v>
      </c>
      <c r="H177" s="30">
        <f>VLOOKUP(B177,'Standard Deviations'!$A1:$D651,4,FALSE)</f>
        <v>1.390885208006998</v>
      </c>
      <c r="I177" s="31">
        <f ca="1">IF(Settings!$J$16="no",VLOOKUP(B177,SP!A1:I161,IF(Settings!$J$13="points",6,9),FALSE),VLOOKUP(B177,'SP+RP'!$A1:$I251,IF(Settings!$J$13="points",6,9),FALSE))</f>
        <v>1.2549024984769577</v>
      </c>
      <c r="J177" s="30"/>
      <c r="K177" s="30">
        <f ca="1">J177-A177</f>
        <v>-160</v>
      </c>
      <c r="L177" s="30"/>
      <c r="M177" s="30"/>
      <c r="N177" s="30"/>
      <c r="O177" s="30"/>
      <c r="P177" s="30"/>
      <c r="Q177" s="30"/>
      <c r="R177" s="32"/>
      <c r="S177" s="32"/>
      <c r="T177" s="30"/>
      <c r="U177" s="30"/>
      <c r="V177" s="30"/>
      <c r="W177" s="30"/>
      <c r="X177" s="30"/>
      <c r="Y177" s="32"/>
      <c r="Z177" s="32"/>
      <c r="AA177" s="30"/>
      <c r="AB177" s="30"/>
      <c r="AC177" s="30">
        <f>VLOOKUP($B177,Pitchers!$A1:$S251,4,FALSE)</f>
        <v>161.46666666666667</v>
      </c>
      <c r="AD177" s="32">
        <f>VLOOKUP($B177,Pitchers!$A1:$S251,5,FALSE)</f>
        <v>3.5600165152766312</v>
      </c>
      <c r="AE177" s="32">
        <f>VLOOKUP($B177,Pitchers!$A1:$S251,6,FALSE)</f>
        <v>1.2291494632535096</v>
      </c>
      <c r="AF177" s="30">
        <f>VLOOKUP($B177,Pitchers!$A1:$S251,7,FALSE)</f>
        <v>156.29999999999998</v>
      </c>
      <c r="AG177" s="30">
        <f>VLOOKUP($B177,Pitchers!$A1:$S251,8,FALSE)</f>
        <v>9.1333333333333329</v>
      </c>
      <c r="AH177" s="30">
        <f>VLOOKUP($B177,Pitchers!$A1:$S251,9,FALSE)</f>
        <v>0</v>
      </c>
      <c r="AI177" s="30">
        <f>VLOOKUP($B177,Pitchers!$A1:$S251,10,FALSE)</f>
        <v>63.869333333333337</v>
      </c>
      <c r="AJ177" s="30">
        <f>VLOOKUP($B177,Pitchers!$A1:$S251,11,FALSE)</f>
        <v>151.13333333333333</v>
      </c>
      <c r="AK177" s="30">
        <f>VLOOKUP($B177,Pitchers!$A1:$S251,12,FALSE)</f>
        <v>47.333333333333336</v>
      </c>
      <c r="AL177" s="30">
        <f>VLOOKUP($B177,Pitchers!$A1:$S251,13,FALSE)</f>
        <v>14</v>
      </c>
      <c r="AM177" s="30">
        <f>VLOOKUP($B177,Pitchers!$A1:$S251,14,FALSE)</f>
        <v>28.733333333333334</v>
      </c>
      <c r="AN177" s="30">
        <f>VLOOKUP($B177,Pitchers!$A1:$S251,15,FALSE)</f>
        <v>28.733333333333334</v>
      </c>
      <c r="AO177" s="30">
        <f>VLOOKUP($B177,Pitchers!$A1:$S251,16,FALSE)</f>
        <v>7.9666666666666659</v>
      </c>
      <c r="AP177" s="30">
        <f>VLOOKUP($B177,Pitchers!$A1:$S251,17,FALSE)</f>
        <v>16</v>
      </c>
      <c r="AQ177" s="30">
        <f>VLOOKUP($B177,Pitchers!$A1:$S251,18,FALSE)</f>
        <v>0</v>
      </c>
      <c r="AR177" s="30">
        <f>VLOOKUP($B177,Pitchers!$A1:$S251,19,FALSE)</f>
        <v>0</v>
      </c>
    </row>
    <row r="178" spans="1:44" ht="18.600000000000001" customHeight="1">
      <c r="A178" s="24">
        <f ca="1">RANK(I178,I$2:I$651)</f>
        <v>320</v>
      </c>
      <c r="B178" s="25" t="s">
        <v>417</v>
      </c>
      <c r="C178" s="26" t="s">
        <v>99</v>
      </c>
      <c r="D178" s="26" t="s">
        <v>75</v>
      </c>
      <c r="E178" s="47" t="s">
        <v>11</v>
      </c>
      <c r="F178" s="48">
        <f ca="1">VLOOKUP(B178,'2B'!A1:I50,IF(Settings!$J$13="points",4,7),FALSE)</f>
        <v>23</v>
      </c>
      <c r="G178" s="29">
        <f>(M178*Settings!$B$2)+(N178*Settings!$B$3)+(O178*Settings!$B$4)+(P178*Settings!$B$5)+(Q178*Settings!$B$6)+(T178*Settings!$B$9)+(U178*Settings!$B$10)+(V178*Settings!$B$11)+(W178*Settings!$B$12)+(X178*Settings!$B$13)+(AA178*Settings!$B$16)</f>
        <v>371.43333333333328</v>
      </c>
      <c r="H178" s="30">
        <f>VLOOKUP(B178,'Standard Deviations'!$A1:$D651,4,FALSE)</f>
        <v>0.95841277097537891</v>
      </c>
      <c r="I178" s="31">
        <f ca="1">IF(Settings!$J$16="no",VLOOKUP(B178,'2B'!A1:I50,IF(Settings!$J$13="points",6,9),FALSE),VLOOKUP(B178,'2B+SS'!$A1:$I94,IF(Settings!$J$13="points",6,9),FALSE))</f>
        <v>-1.3493176441205255</v>
      </c>
      <c r="J178" s="30"/>
      <c r="K178" s="30">
        <f ca="1">J178-A178</f>
        <v>-320</v>
      </c>
      <c r="L178" s="30"/>
      <c r="M178" s="30">
        <f>VLOOKUP($B178,Hitters!$A1:$R401,4,FALSE)</f>
        <v>476</v>
      </c>
      <c r="N178" s="30">
        <f>VLOOKUP($B178,Hitters!$A1:$R401,5,FALSE)</f>
        <v>65.033333333333303</v>
      </c>
      <c r="O178" s="30">
        <f>VLOOKUP($B178,Hitters!$A1:$R401,6,FALSE)</f>
        <v>17.966666666666701</v>
      </c>
      <c r="P178" s="30">
        <f>VLOOKUP($B178,Hitters!$A1:$R401,7,FALSE)</f>
        <v>61.9</v>
      </c>
      <c r="Q178" s="30">
        <f>VLOOKUP($B178,Hitters!$A1:$R401,8,FALSE)</f>
        <v>3.6666666666666701</v>
      </c>
      <c r="R178" s="32">
        <f>VLOOKUP($B178,Hitters!$A1:$R401,9,FALSE)</f>
        <v>0.245028011204482</v>
      </c>
      <c r="S178" s="32">
        <f>VLOOKUP($B178,Hitters!$A1:$R401,10,FALSE)</f>
        <v>0.32178955472222898</v>
      </c>
      <c r="T178" s="30">
        <f>VLOOKUP($B178,Hitters!$A1:$R401,11,FALSE)</f>
        <v>116.633333333333</v>
      </c>
      <c r="U178" s="30">
        <f>VLOOKUP($B178,Hitters!$A1:$R401,12,FALSE)</f>
        <v>22.5</v>
      </c>
      <c r="V178" s="30">
        <f>VLOOKUP($B178,Hitters!$A1:$R401,13,FALSE)</f>
        <v>1.5</v>
      </c>
      <c r="W178" s="30">
        <f>VLOOKUP($B178,Hitters!$A1:$R401,14,FALSE)</f>
        <v>56.133333333333297</v>
      </c>
      <c r="X178" s="30">
        <f>VLOOKUP($B178,Hitters!$A1:$R401,15,FALSE)</f>
        <v>113.933333333333</v>
      </c>
      <c r="Y178" s="32">
        <f>VLOOKUP($B178,Hitters!$A1:$R401,16,FALSE)</f>
        <v>0.41183473389355701</v>
      </c>
      <c r="Z178" s="32">
        <f>VLOOKUP($B178,Hitters!$A1:$R401,17,FALSE)</f>
        <v>0.73362428861578599</v>
      </c>
      <c r="AA178" s="30">
        <f>VLOOKUP($B178,Hitters!$A1:$R401,18,FALSE)</f>
        <v>0</v>
      </c>
      <c r="AB178" s="30"/>
      <c r="AC178" s="30"/>
      <c r="AD178" s="32"/>
      <c r="AE178" s="32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</row>
    <row r="179" spans="1:44" ht="18.600000000000001" customHeight="1">
      <c r="A179" s="24">
        <f ca="1">RANK(I179,I$2:I$651)</f>
        <v>74</v>
      </c>
      <c r="B179" s="25" t="s">
        <v>169</v>
      </c>
      <c r="C179" s="26" t="s">
        <v>103</v>
      </c>
      <c r="D179" s="26" t="s">
        <v>70</v>
      </c>
      <c r="E179" s="35" t="s">
        <v>31</v>
      </c>
      <c r="F179" s="36">
        <f ca="1">VLOOKUP(B179,SP!A1:I161,IF(Settings!$J$13="points",4,7),FALSE)</f>
        <v>25</v>
      </c>
      <c r="G179" s="29">
        <f>(AC179*Settings!$F$2)+(AF179*Settings!$F$5)+(AG179*Settings!$F$6)+(AH179*Settings!$F$7)+(AI179*Settings!$F$8)+(AJ179*Settings!$F$9)+(AK179*Settings!$F$10)+(AL179*Settings!$F$11)+(AM179*Settings!$F$12)+(AN179*Settings!$F$13)+(AO179*Settings!$F$14)+(AP179*Settings!$F$15)+(AQ179*Settings!$F$16)+(AR179*Settings!$F$17)</f>
        <v>369.63333333333327</v>
      </c>
      <c r="H179" s="30">
        <f>VLOOKUP(B179,'Standard Deviations'!$A1:$D651,4,FALSE)</f>
        <v>3.8307820320338899</v>
      </c>
      <c r="I179" s="31">
        <f ca="1">IF(Settings!$J$16="no",VLOOKUP(B179,SP!A1:I161,IF(Settings!$J$13="points",6,9),FALSE),VLOOKUP(B179,'SP+RP'!$A1:$I251,IF(Settings!$J$13="points",6,9),FALSE))</f>
        <v>3.6947979992000541</v>
      </c>
      <c r="J179" s="30"/>
      <c r="K179" s="30">
        <f ca="1">J179-A179</f>
        <v>-74</v>
      </c>
      <c r="L179" s="30"/>
      <c r="M179" s="30"/>
      <c r="N179" s="30"/>
      <c r="O179" s="30"/>
      <c r="P179" s="30"/>
      <c r="Q179" s="30"/>
      <c r="R179" s="32"/>
      <c r="S179" s="32"/>
      <c r="T179" s="30"/>
      <c r="U179" s="30"/>
      <c r="V179" s="30"/>
      <c r="W179" s="30"/>
      <c r="X179" s="30"/>
      <c r="Y179" s="32"/>
      <c r="Z179" s="32"/>
      <c r="AA179" s="30"/>
      <c r="AB179" s="30"/>
      <c r="AC179" s="30">
        <f>VLOOKUP($B179,Pitchers!$A1:$S251,4,FALSE)</f>
        <v>127.83333333333333</v>
      </c>
      <c r="AD179" s="32">
        <f>VLOOKUP($B179,Pitchers!$A1:$S251,5,FALSE)</f>
        <v>3.1329856584093871</v>
      </c>
      <c r="AE179" s="32">
        <f>VLOOKUP($B179,Pitchers!$A1:$S251,6,FALSE)</f>
        <v>1.0745762711864408</v>
      </c>
      <c r="AF179" s="30">
        <f>VLOOKUP($B179,Pitchers!$A1:$S251,7,FALSE)</f>
        <v>170.93333333333331</v>
      </c>
      <c r="AG179" s="30">
        <f>VLOOKUP($B179,Pitchers!$A1:$S251,8,FALSE)</f>
        <v>8.2666666666666675</v>
      </c>
      <c r="AH179" s="30">
        <f>VLOOKUP($B179,Pitchers!$A1:$S251,9,FALSE)</f>
        <v>0</v>
      </c>
      <c r="AI179" s="30">
        <f>VLOOKUP($B179,Pitchers!$A1:$S251,10,FALSE)</f>
        <v>44.5</v>
      </c>
      <c r="AJ179" s="30">
        <f>VLOOKUP($B179,Pitchers!$A1:$S251,11,FALSE)</f>
        <v>95.833333333333329</v>
      </c>
      <c r="AK179" s="30">
        <f>VLOOKUP($B179,Pitchers!$A1:$S251,12,FALSE)</f>
        <v>41.533333333333331</v>
      </c>
      <c r="AL179" s="30">
        <f>VLOOKUP($B179,Pitchers!$A1:$S251,13,FALSE)</f>
        <v>17</v>
      </c>
      <c r="AM179" s="30">
        <f>VLOOKUP($B179,Pitchers!$A1:$S251,14,FALSE)</f>
        <v>24.966666666666669</v>
      </c>
      <c r="AN179" s="30">
        <f>VLOOKUP($B179,Pitchers!$A1:$S251,15,FALSE)</f>
        <v>24.966666666666669</v>
      </c>
      <c r="AO179" s="30">
        <f>VLOOKUP($B179,Pitchers!$A1:$S251,16,FALSE)</f>
        <v>4.666666666666667</v>
      </c>
      <c r="AP179" s="30">
        <f>VLOOKUP($B179,Pitchers!$A1:$S251,17,FALSE)</f>
        <v>16</v>
      </c>
      <c r="AQ179" s="30">
        <f>VLOOKUP($B179,Pitchers!$A1:$S251,18,FALSE)</f>
        <v>0</v>
      </c>
      <c r="AR179" s="30">
        <f>VLOOKUP($B179,Pitchers!$A1:$S251,19,FALSE)</f>
        <v>0</v>
      </c>
    </row>
    <row r="180" spans="1:44" ht="18.600000000000001" customHeight="1">
      <c r="A180" s="24">
        <f ca="1">RANK(I180,I$2:I$651)</f>
        <v>155</v>
      </c>
      <c r="B180" s="25" t="s">
        <v>251</v>
      </c>
      <c r="C180" s="26" t="s">
        <v>92</v>
      </c>
      <c r="D180" s="26" t="s">
        <v>75</v>
      </c>
      <c r="E180" s="33" t="s">
        <v>15</v>
      </c>
      <c r="F180" s="34">
        <f ca="1">VLOOKUP(B180,'3B'!A1:I55,IF(Settings!$J$13="points",4,7),FALSE)</f>
        <v>13</v>
      </c>
      <c r="G180" s="29">
        <f>(M180*Settings!$B$2)+(N180*Settings!$B$3)+(O180*Settings!$B$4)+(P180*Settings!$B$5)+(Q180*Settings!$B$6)+(T180*Settings!$B$9)+(U180*Settings!$B$10)+(V180*Settings!$B$11)+(W180*Settings!$B$12)+(X180*Settings!$B$13)+(AA180*Settings!$B$16)</f>
        <v>369.29999999999973</v>
      </c>
      <c r="H180" s="30">
        <f>VLOOKUP(B180,'Standard Deviations'!$A1:$D651,4,FALSE)</f>
        <v>2.1359947388100418</v>
      </c>
      <c r="I180" s="31">
        <f ca="1">IF(Settings!$J$15="no",VLOOKUP(B180,'3B'!A1:I55,IF(Settings!$J$13="points",6,9),FALSE),VLOOKUP(B180,'1B+3B'!$A1:$I104,IF(Settings!$J$13="points",6,9),FALSE))</f>
        <v>1.4083163644070105</v>
      </c>
      <c r="J180" s="30"/>
      <c r="K180" s="30">
        <f ca="1">J180-A180</f>
        <v>-155</v>
      </c>
      <c r="L180" s="30"/>
      <c r="M180" s="30">
        <f>VLOOKUP($B180,Hitters!$A1:$R401,4,FALSE)</f>
        <v>514.66666666666697</v>
      </c>
      <c r="N180" s="30">
        <f>VLOOKUP($B180,Hitters!$A1:$R401,5,FALSE)</f>
        <v>66.033333333333303</v>
      </c>
      <c r="O180" s="30">
        <f>VLOOKUP($B180,Hitters!$A1:$R401,6,FALSE)</f>
        <v>13.6</v>
      </c>
      <c r="P180" s="30">
        <f>VLOOKUP($B180,Hitters!$A1:$R401,7,FALSE)</f>
        <v>65.233333333333306</v>
      </c>
      <c r="Q180" s="30">
        <f>VLOOKUP($B180,Hitters!$A1:$R401,8,FALSE)</f>
        <v>3.7</v>
      </c>
      <c r="R180" s="32">
        <f>VLOOKUP($B180,Hitters!$A1:$R401,9,FALSE)</f>
        <v>0.27616580310880801</v>
      </c>
      <c r="S180" s="32">
        <f>VLOOKUP($B180,Hitters!$A1:$R401,10,FALSE)</f>
        <v>0.32036901519968303</v>
      </c>
      <c r="T180" s="30">
        <f>VLOOKUP($B180,Hitters!$A1:$R401,11,FALSE)</f>
        <v>142.13333333333301</v>
      </c>
      <c r="U180" s="30">
        <f>VLOOKUP($B180,Hitters!$A1:$R401,12,FALSE)</f>
        <v>23.933333333333302</v>
      </c>
      <c r="V180" s="30">
        <f>VLOOKUP($B180,Hitters!$A1:$R401,13,FALSE)</f>
        <v>2.0333333333333301</v>
      </c>
      <c r="W180" s="30">
        <f>VLOOKUP($B180,Hitters!$A1:$R401,14,FALSE)</f>
        <v>35.9</v>
      </c>
      <c r="X180" s="30">
        <f>VLOOKUP($B180,Hitters!$A1:$R401,15,FALSE)</f>
        <v>111.533333333333</v>
      </c>
      <c r="Y180" s="32">
        <f>VLOOKUP($B180,Hitters!$A1:$R401,16,FALSE)</f>
        <v>0.40984455958549199</v>
      </c>
      <c r="Z180" s="32">
        <f>VLOOKUP($B180,Hitters!$A1:$R401,17,FALSE)</f>
        <v>0.73021357478517601</v>
      </c>
      <c r="AA180" s="30">
        <f>VLOOKUP($B180,Hitters!$A1:$R401,18,FALSE)</f>
        <v>0</v>
      </c>
      <c r="AB180" s="30"/>
      <c r="AC180" s="30"/>
      <c r="AD180" s="32"/>
      <c r="AE180" s="32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</row>
    <row r="181" spans="1:44" ht="18.600000000000001" customHeight="1">
      <c r="A181" s="24">
        <f ca="1">RANK(I181,I$2:I$651)</f>
        <v>233</v>
      </c>
      <c r="B181" s="25" t="s">
        <v>332</v>
      </c>
      <c r="C181" s="26" t="s">
        <v>85</v>
      </c>
      <c r="D181" s="26" t="s">
        <v>70</v>
      </c>
      <c r="E181" s="33" t="s">
        <v>15</v>
      </c>
      <c r="F181" s="34">
        <f ca="1">VLOOKUP(B181,'3B'!A1:I55,IF(Settings!$J$13="points",4,7),FALSE)</f>
        <v>18</v>
      </c>
      <c r="G181" s="29">
        <f>(M181*Settings!$B$2)+(N181*Settings!$B$3)+(O181*Settings!$B$4)+(P181*Settings!$B$5)+(Q181*Settings!$B$6)+(T181*Settings!$B$9)+(U181*Settings!$B$10)+(V181*Settings!$B$11)+(W181*Settings!$B$12)+(X181*Settings!$B$13)+(AA181*Settings!$B$16)</f>
        <v>369.01666666666659</v>
      </c>
      <c r="H181" s="30">
        <f>VLOOKUP(B181,'Standard Deviations'!$A1:$D651,4,FALSE)</f>
        <v>0.72768299650060519</v>
      </c>
      <c r="I181" s="31">
        <f ca="1">IF(Settings!$J$15="no",VLOOKUP(B181,'3B'!A1:I55,IF(Settings!$J$13="points",6,9),FALSE),VLOOKUP(B181,'1B+3B'!$A1:$I104,IF(Settings!$J$13="points",6,9),FALSE))</f>
        <v>0</v>
      </c>
      <c r="J181" s="30"/>
      <c r="K181" s="30">
        <f ca="1">J181-A181</f>
        <v>-233</v>
      </c>
      <c r="L181" s="30"/>
      <c r="M181" s="30">
        <f>VLOOKUP($B181,Hitters!$A1:$R401,4,FALSE)</f>
        <v>430.33333333333297</v>
      </c>
      <c r="N181" s="30">
        <f>VLOOKUP($B181,Hitters!$A1:$R401,5,FALSE)</f>
        <v>57</v>
      </c>
      <c r="O181" s="30">
        <f>VLOOKUP($B181,Hitters!$A1:$R401,6,FALSE)</f>
        <v>15</v>
      </c>
      <c r="P181" s="30">
        <f>VLOOKUP($B181,Hitters!$A1:$R401,7,FALSE)</f>
        <v>65.099999999999994</v>
      </c>
      <c r="Q181" s="30">
        <f>VLOOKUP($B181,Hitters!$A1:$R401,8,FALSE)</f>
        <v>2.4666666666666699</v>
      </c>
      <c r="R181" s="32">
        <f>VLOOKUP($B181,Hitters!$A1:$R401,9,FALSE)</f>
        <v>0.256080557707204</v>
      </c>
      <c r="S181" s="32">
        <f>VLOOKUP($B181,Hitters!$A1:$R401,10,FALSE)</f>
        <v>0.34280659819987702</v>
      </c>
      <c r="T181" s="30">
        <f>VLOOKUP($B181,Hitters!$A1:$R401,11,FALSE)</f>
        <v>110.2</v>
      </c>
      <c r="U181" s="30">
        <f>VLOOKUP($B181,Hitters!$A1:$R401,12,FALSE)</f>
        <v>26.1</v>
      </c>
      <c r="V181" s="30">
        <f>VLOOKUP($B181,Hitters!$A1:$R401,13,FALSE)</f>
        <v>1.0333333333333301</v>
      </c>
      <c r="W181" s="30">
        <f>VLOOKUP($B181,Hitters!$A1:$R401,14,FALSE)</f>
        <v>59.033333333333303</v>
      </c>
      <c r="X181" s="30">
        <f>VLOOKUP($B181,Hitters!$A1:$R401,15,FALSE)</f>
        <v>85.1</v>
      </c>
      <c r="Y181" s="32">
        <f>VLOOKUP($B181,Hitters!$A1:$R401,16,FALSE)</f>
        <v>0.426103795507359</v>
      </c>
      <c r="Z181" s="32">
        <f>VLOOKUP($B181,Hitters!$A1:$R401,17,FALSE)</f>
        <v>0.76891039370723602</v>
      </c>
      <c r="AA181" s="30">
        <f>VLOOKUP($B181,Hitters!$A1:$R401,18,FALSE)</f>
        <v>0</v>
      </c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</row>
    <row r="182" spans="1:44" ht="18.600000000000001" customHeight="1">
      <c r="A182" s="24">
        <f ca="1">RANK(I182,I$2:I$651)</f>
        <v>101</v>
      </c>
      <c r="B182" s="25" t="s">
        <v>195</v>
      </c>
      <c r="C182" s="26" t="s">
        <v>103</v>
      </c>
      <c r="D182" s="26" t="s">
        <v>70</v>
      </c>
      <c r="E182" s="35" t="s">
        <v>31</v>
      </c>
      <c r="F182" s="36">
        <f ca="1">VLOOKUP(B182,SP!A1:I161,IF(Settings!$J$13="points",4,7),FALSE)</f>
        <v>32</v>
      </c>
      <c r="G182" s="29">
        <f>(AC182*Settings!$F$2)+(AF182*Settings!$F$5)+(AG182*Settings!$F$6)+(AH182*Settings!$F$7)+(AI182*Settings!$F$8)+(AJ182*Settings!$F$9)+(AK182*Settings!$F$10)+(AL182*Settings!$F$11)+(AM182*Settings!$F$12)+(AN182*Settings!$F$13)+(AO182*Settings!$F$14)+(AP182*Settings!$F$15)+(AQ182*Settings!$F$16)+(AR182*Settings!$F$17)</f>
        <v>368.61666666666667</v>
      </c>
      <c r="H182" s="30">
        <f>VLOOKUP(B182,'Standard Deviations'!$A1:$D651,4,FALSE)</f>
        <v>3.059603201514645</v>
      </c>
      <c r="I182" s="31">
        <f ca="1">IF(Settings!$J$16="no",VLOOKUP(B182,SP!A1:I161,IF(Settings!$J$13="points",6,9),FALSE),VLOOKUP(B182,'SP+RP'!$A1:$I251,IF(Settings!$J$13="points",6,9),FALSE))</f>
        <v>2.923622907491382</v>
      </c>
      <c r="J182" s="30"/>
      <c r="K182" s="30">
        <f ca="1">J182-A182</f>
        <v>-101</v>
      </c>
      <c r="L182" s="30"/>
      <c r="M182" s="30"/>
      <c r="N182" s="30"/>
      <c r="O182" s="30"/>
      <c r="P182" s="30"/>
      <c r="Q182" s="30"/>
      <c r="R182" s="32"/>
      <c r="S182" s="32"/>
      <c r="T182" s="30"/>
      <c r="U182" s="30"/>
      <c r="V182" s="30"/>
      <c r="W182" s="30"/>
      <c r="X182" s="30"/>
      <c r="Y182" s="32"/>
      <c r="Z182" s="32"/>
      <c r="AA182" s="30"/>
      <c r="AB182" s="30"/>
      <c r="AC182" s="30">
        <f>VLOOKUP($B182,Pitchers!$A1:$S251,4,FALSE)</f>
        <v>149.76666666666668</v>
      </c>
      <c r="AD182" s="32">
        <f>VLOOKUP($B182,Pitchers!$A1:$S251,5,FALSE)</f>
        <v>3.2430447362563988</v>
      </c>
      <c r="AE182" s="32">
        <f>VLOOKUP($B182,Pitchers!$A1:$S251,6,FALSE)</f>
        <v>1.135321611395504</v>
      </c>
      <c r="AF182" s="30">
        <f>VLOOKUP($B182,Pitchers!$A1:$S251,7,FALSE)</f>
        <v>161.43333333333334</v>
      </c>
      <c r="AG182" s="30">
        <f>VLOOKUP($B182,Pitchers!$A1:$S251,8,FALSE)</f>
        <v>9.1333333333333329</v>
      </c>
      <c r="AH182" s="30">
        <f>VLOOKUP($B182,Pitchers!$A1:$S251,9,FALSE)</f>
        <v>0</v>
      </c>
      <c r="AI182" s="30">
        <f>VLOOKUP($B182,Pitchers!$A1:$S251,10,FALSE)</f>
        <v>53.966666666666669</v>
      </c>
      <c r="AJ182" s="30">
        <f>VLOOKUP($B182,Pitchers!$A1:$S251,11,FALSE)</f>
        <v>129.83333333333334</v>
      </c>
      <c r="AK182" s="30">
        <f>VLOOKUP($B182,Pitchers!$A1:$S251,12,FALSE)</f>
        <v>40.199999999999996</v>
      </c>
      <c r="AL182" s="30">
        <f>VLOOKUP($B182,Pitchers!$A1:$S251,13,FALSE)</f>
        <v>19</v>
      </c>
      <c r="AM182" s="30">
        <f>VLOOKUP($B182,Pitchers!$A1:$S251,14,FALSE)</f>
        <v>27.3</v>
      </c>
      <c r="AN182" s="30">
        <f>VLOOKUP($B182,Pitchers!$A1:$S251,15,FALSE)</f>
        <v>26.966666666666669</v>
      </c>
      <c r="AO182" s="30">
        <f>VLOOKUP($B182,Pitchers!$A1:$S251,16,FALSE)</f>
        <v>7.4666666666666659</v>
      </c>
      <c r="AP182" s="30">
        <f>VLOOKUP($B182,Pitchers!$A1:$S251,17,FALSE)</f>
        <v>12</v>
      </c>
      <c r="AQ182" s="30">
        <f>VLOOKUP($B182,Pitchers!$A1:$S251,18,FALSE)</f>
        <v>0</v>
      </c>
      <c r="AR182" s="30">
        <f>VLOOKUP($B182,Pitchers!$A1:$S251,19,FALSE)</f>
        <v>0</v>
      </c>
    </row>
    <row r="183" spans="1:44" ht="18.600000000000001" customHeight="1">
      <c r="A183" s="24">
        <f ca="1">RANK(I183,I$2:I$651)</f>
        <v>213</v>
      </c>
      <c r="B183" s="25" t="s">
        <v>310</v>
      </c>
      <c r="C183" s="26" t="s">
        <v>136</v>
      </c>
      <c r="D183" s="26" t="s">
        <v>75</v>
      </c>
      <c r="E183" s="47" t="s">
        <v>11</v>
      </c>
      <c r="F183" s="48">
        <f ca="1">VLOOKUP(B183,'2B'!A1:I50,IF(Settings!$J$13="points",4,7),FALSE)</f>
        <v>13</v>
      </c>
      <c r="G183" s="29">
        <f>(M183*Settings!$B$2)+(N183*Settings!$B$3)+(O183*Settings!$B$4)+(P183*Settings!$B$5)+(Q183*Settings!$B$6)+(T183*Settings!$B$9)+(U183*Settings!$B$10)+(V183*Settings!$B$11)+(W183*Settings!$B$12)+(X183*Settings!$B$13)+(AA183*Settings!$B$16)</f>
        <v>367.35000000000019</v>
      </c>
      <c r="H183" s="30">
        <f>VLOOKUP(B183,'Standard Deviations'!$A1:$D651,4,FALSE)</f>
        <v>2.6177206445061234</v>
      </c>
      <c r="I183" s="31">
        <f ca="1">IF(Settings!$J$16="no",VLOOKUP(B183,'2B'!A1:I50,IF(Settings!$J$13="points",6,9),FALSE),VLOOKUP(B183,'2B+SS'!$A1:$I94,IF(Settings!$J$13="points",6,9),FALSE))</f>
        <v>0.30998554990022464</v>
      </c>
      <c r="J183" s="30"/>
      <c r="K183" s="30">
        <f ca="1">J183-A183</f>
        <v>-213</v>
      </c>
      <c r="L183" s="30"/>
      <c r="M183" s="30">
        <f>VLOOKUP($B183,Hitters!$A1:$R401,4,FALSE)</f>
        <v>490.33333333333297</v>
      </c>
      <c r="N183" s="30">
        <f>VLOOKUP($B183,Hitters!$A1:$R401,5,FALSE)</f>
        <v>65.533333333333303</v>
      </c>
      <c r="O183" s="30">
        <f>VLOOKUP($B183,Hitters!$A1:$R401,6,FALSE)</f>
        <v>11.966666666666701</v>
      </c>
      <c r="P183" s="30">
        <f>VLOOKUP($B183,Hitters!$A1:$R401,7,FALSE)</f>
        <v>52.1666666666667</v>
      </c>
      <c r="Q183" s="30">
        <f>VLOOKUP($B183,Hitters!$A1:$R401,8,FALSE)</f>
        <v>12.1</v>
      </c>
      <c r="R183" s="32">
        <f>VLOOKUP($B183,Hitters!$A1:$R401,9,FALSE)</f>
        <v>0.27715839564921801</v>
      </c>
      <c r="S183" s="32">
        <f>VLOOKUP($B183,Hitters!$A1:$R401,10,FALSE)</f>
        <v>0.32553134248049498</v>
      </c>
      <c r="T183" s="30">
        <f>VLOOKUP($B183,Hitters!$A1:$R401,11,FALSE)</f>
        <v>135.9</v>
      </c>
      <c r="U183" s="30">
        <f>VLOOKUP($B183,Hitters!$A1:$R401,12,FALSE)</f>
        <v>20.066666666666698</v>
      </c>
      <c r="V183" s="30">
        <f>VLOOKUP($B183,Hitters!$A1:$R401,13,FALSE)</f>
        <v>1.9666666666666699</v>
      </c>
      <c r="W183" s="30">
        <f>VLOOKUP($B183,Hitters!$A1:$R401,14,FALSE)</f>
        <v>37.533333333333303</v>
      </c>
      <c r="X183" s="30">
        <f>VLOOKUP($B183,Hitters!$A1:$R401,15,FALSE)</f>
        <v>83.766666666666694</v>
      </c>
      <c r="Y183" s="32">
        <f>VLOOKUP($B183,Hitters!$A1:$R401,16,FALSE)</f>
        <v>0.39932019034670302</v>
      </c>
      <c r="Z183" s="32">
        <f>VLOOKUP($B183,Hitters!$A1:$R401,17,FALSE)</f>
        <v>0.72485153282719805</v>
      </c>
      <c r="AA183" s="30">
        <f>VLOOKUP($B183,Hitters!$A1:$R401,18,FALSE)</f>
        <v>0</v>
      </c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</row>
    <row r="184" spans="1:44" ht="18.600000000000001" customHeight="1">
      <c r="A184" s="24">
        <f ca="1">RANK(I184,I$2:I$651)</f>
        <v>174</v>
      </c>
      <c r="B184" s="25" t="s">
        <v>270</v>
      </c>
      <c r="C184" s="26" t="s">
        <v>74</v>
      </c>
      <c r="D184" s="26" t="s">
        <v>75</v>
      </c>
      <c r="E184" s="45" t="s">
        <v>19</v>
      </c>
      <c r="F184" s="46">
        <f ca="1">VLOOKUP(B184,'C'!A1:I54,IF(Settings!$J$13="points",4,7),FALSE)</f>
        <v>10</v>
      </c>
      <c r="G184" s="29">
        <f>(M184*Settings!$B$2)+(N184*Settings!$B$3)+(O184*Settings!$B$4)+(P184*Settings!$B$5)+(Q184*Settings!$B$6)+(T184*Settings!$B$9)+(U184*Settings!$B$10)+(V184*Settings!$B$11)+(W184*Settings!$B$12)+(X184*Settings!$B$13)+(AA184*Settings!$B$16)</f>
        <v>365.73333333333369</v>
      </c>
      <c r="H184" s="30">
        <f>VLOOKUP(B184,'Standard Deviations'!$A1:$D651,4,FALSE)</f>
        <v>0.69440252922455037</v>
      </c>
      <c r="I184" s="31">
        <f ca="1">VLOOKUP(B184,'C'!A1:I54,IF(Settings!$J$13="points",6,9),FALSE)</f>
        <v>1.0114973421417144</v>
      </c>
      <c r="J184" s="30"/>
      <c r="K184" s="30">
        <f ca="1">J184-A184</f>
        <v>-174</v>
      </c>
      <c r="L184" s="30"/>
      <c r="M184" s="30">
        <f>VLOOKUP($B184,Hitters!$A1:$R401,4,FALSE)</f>
        <v>450.66666666666703</v>
      </c>
      <c r="N184" s="30">
        <f>VLOOKUP($B184,Hitters!$A1:$R401,5,FALSE)</f>
        <v>62.1666666666667</v>
      </c>
      <c r="O184" s="30">
        <f>VLOOKUP($B184,Hitters!$A1:$R401,6,FALSE)</f>
        <v>18.899999999999999</v>
      </c>
      <c r="P184" s="30">
        <f>VLOOKUP($B184,Hitters!$A1:$R401,7,FALSE)</f>
        <v>64.1666666666667</v>
      </c>
      <c r="Q184" s="30">
        <f>VLOOKUP($B184,Hitters!$A1:$R401,8,FALSE)</f>
        <v>0.96666666666666701</v>
      </c>
      <c r="R184" s="32">
        <f>VLOOKUP($B184,Hitters!$A1:$R401,9,FALSE)</f>
        <v>0.246079881656805</v>
      </c>
      <c r="S184" s="32">
        <f>VLOOKUP($B184,Hitters!$A1:$R401,10,FALSE)</f>
        <v>0.31809958933593901</v>
      </c>
      <c r="T184" s="30">
        <f>VLOOKUP($B184,Hitters!$A1:$R401,11,FALSE)</f>
        <v>110.9</v>
      </c>
      <c r="U184" s="30">
        <f>VLOOKUP($B184,Hitters!$A1:$R401,12,FALSE)</f>
        <v>26.766666666666701</v>
      </c>
      <c r="V184" s="30">
        <f>VLOOKUP($B184,Hitters!$A1:$R401,13,FALSE)</f>
        <v>1.43333333333333</v>
      </c>
      <c r="W184" s="30">
        <f>VLOOKUP($B184,Hitters!$A1:$R401,14,FALSE)</f>
        <v>49.7</v>
      </c>
      <c r="X184" s="30">
        <f>VLOOKUP($B184,Hitters!$A1:$R401,15,FALSE)</f>
        <v>113.133333333333</v>
      </c>
      <c r="Y184" s="32">
        <f>VLOOKUP($B184,Hitters!$A1:$R401,16,FALSE)</f>
        <v>0.437647928994083</v>
      </c>
      <c r="Z184" s="32">
        <f>VLOOKUP($B184,Hitters!$A1:$R401,17,FALSE)</f>
        <v>0.75574751833002196</v>
      </c>
      <c r="AA184" s="30">
        <f>VLOOKUP($B184,Hitters!$A1:$R401,18,FALSE)</f>
        <v>0</v>
      </c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</row>
    <row r="185" spans="1:44" ht="18.600000000000001" customHeight="1">
      <c r="A185" s="24">
        <f ca="1">RANK(I185,I$2:I$651)</f>
        <v>199</v>
      </c>
      <c r="B185" s="25" t="s">
        <v>295</v>
      </c>
      <c r="C185" s="26" t="s">
        <v>125</v>
      </c>
      <c r="D185" s="26" t="s">
        <v>75</v>
      </c>
      <c r="E185" s="27" t="s">
        <v>23</v>
      </c>
      <c r="F185" s="28">
        <f ca="1">VLOOKUP(B185,OF!A1:I139,IF(Settings!$J$13="points",4,7),FALSE)</f>
        <v>56</v>
      </c>
      <c r="G185" s="29">
        <f>(M185*Settings!$B$2)+(N185*Settings!$B$3)+(O185*Settings!$B$4)+(P185*Settings!$B$5)+(Q185*Settings!$B$6)+(T185*Settings!$B$9)+(U185*Settings!$B$10)+(V185*Settings!$B$11)+(W185*Settings!$B$12)+(X185*Settings!$B$13)+(AA185*Settings!$B$16)</f>
        <v>365.66666666666646</v>
      </c>
      <c r="H185" s="30">
        <f>VLOOKUP(B185,'Standard Deviations'!$A1:$D651,4,FALSE)</f>
        <v>0.64708848619301829</v>
      </c>
      <c r="I185" s="31">
        <f ca="1">VLOOKUP(B185,OF!A1:I139,IF(Settings!$J$13="points",6,9),FALSE)</f>
        <v>0.5283690482622847</v>
      </c>
      <c r="J185" s="30"/>
      <c r="K185" s="30">
        <f ca="1">J185-A185</f>
        <v>-199</v>
      </c>
      <c r="L185" s="30"/>
      <c r="M185" s="30">
        <f>VLOOKUP($B185,Hitters!$A1:$R401,4,FALSE)</f>
        <v>473.33333333333297</v>
      </c>
      <c r="N185" s="30">
        <f>VLOOKUP($B185,Hitters!$A1:$R401,5,FALSE)</f>
        <v>65.8333333333333</v>
      </c>
      <c r="O185" s="30">
        <f>VLOOKUP($B185,Hitters!$A1:$R401,6,FALSE)</f>
        <v>13.133333333333301</v>
      </c>
      <c r="P185" s="30">
        <f>VLOOKUP($B185,Hitters!$A1:$R401,7,FALSE)</f>
        <v>55.2</v>
      </c>
      <c r="Q185" s="30">
        <f>VLOOKUP($B185,Hitters!$A1:$R401,8,FALSE)</f>
        <v>5.3</v>
      </c>
      <c r="R185" s="32">
        <f>VLOOKUP($B185,Hitters!$A1:$R401,9,FALSE)</f>
        <v>0.25161971830985902</v>
      </c>
      <c r="S185" s="32">
        <f>VLOOKUP($B185,Hitters!$A1:$R401,10,FALSE)</f>
        <v>0.31970941250789597</v>
      </c>
      <c r="T185" s="30">
        <f>VLOOKUP($B185,Hitters!$A1:$R401,11,FALSE)</f>
        <v>119.1</v>
      </c>
      <c r="U185" s="30">
        <f>VLOOKUP($B185,Hitters!$A1:$R401,12,FALSE)</f>
        <v>29.5</v>
      </c>
      <c r="V185" s="30">
        <f>VLOOKUP($B185,Hitters!$A1:$R401,13,FALSE)</f>
        <v>3.3</v>
      </c>
      <c r="W185" s="30">
        <f>VLOOKUP($B185,Hitters!$A1:$R401,14,FALSE)</f>
        <v>49.6</v>
      </c>
      <c r="X185" s="30">
        <f>VLOOKUP($B185,Hitters!$A1:$R401,15,FALSE)</f>
        <v>112.2</v>
      </c>
      <c r="Y185" s="32">
        <f>VLOOKUP($B185,Hitters!$A1:$R401,16,FALSE)</f>
        <v>0.41112676056337999</v>
      </c>
      <c r="Z185" s="32">
        <f>VLOOKUP($B185,Hitters!$A1:$R401,17,FALSE)</f>
        <v>0.73083617307127702</v>
      </c>
      <c r="AA185" s="30">
        <f>VLOOKUP($B185,Hitters!$A1:$R401,18,FALSE)</f>
        <v>0</v>
      </c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</row>
    <row r="186" spans="1:44" ht="18.600000000000001" customHeight="1">
      <c r="A186" s="24">
        <f ca="1">RANK(I186,I$2:I$651)</f>
        <v>113</v>
      </c>
      <c r="B186" s="25" t="s">
        <v>207</v>
      </c>
      <c r="C186" s="26" t="s">
        <v>69</v>
      </c>
      <c r="D186" s="26" t="s">
        <v>70</v>
      </c>
      <c r="E186" s="27" t="s">
        <v>23</v>
      </c>
      <c r="F186" s="28">
        <f ca="1">VLOOKUP(B186,OF!A1:I139,IF(Settings!$J$13="points",4,7),FALSE)</f>
        <v>39</v>
      </c>
      <c r="G186" s="29">
        <f>(M186*Settings!$B$2)+(N186*Settings!$B$3)+(O186*Settings!$B$4)+(P186*Settings!$B$5)+(Q186*Settings!$B$6)+(T186*Settings!$B$9)+(U186*Settings!$B$10)+(V186*Settings!$B$11)+(W186*Settings!$B$12)+(X186*Settings!$B$13)+(AA186*Settings!$B$16)</f>
        <v>364.125</v>
      </c>
      <c r="H186" s="30">
        <f>VLOOKUP(B186,'Standard Deviations'!$A1:$D651,4,FALSE)</f>
        <v>2.5368259181853752</v>
      </c>
      <c r="I186" s="31">
        <f ca="1">VLOOKUP(B186,OF!A1:I139,IF(Settings!$J$13="points",6,9),FALSE)</f>
        <v>2.4181074352000427</v>
      </c>
      <c r="J186" s="30"/>
      <c r="K186" s="30">
        <f ca="1">J186-A186</f>
        <v>-113</v>
      </c>
      <c r="L186" s="30"/>
      <c r="M186" s="30">
        <f>VLOOKUP($B186,Hitters!$A1:$R401,4,FALSE)</f>
        <v>466.5</v>
      </c>
      <c r="N186" s="30">
        <f>VLOOKUP($B186,Hitters!$A1:$R401,5,FALSE)</f>
        <v>61.25</v>
      </c>
      <c r="O186" s="30">
        <f>VLOOKUP($B186,Hitters!$A1:$R401,6,FALSE)</f>
        <v>15.35</v>
      </c>
      <c r="P186" s="30">
        <f>VLOOKUP($B186,Hitters!$A1:$R401,7,FALSE)</f>
        <v>57.4</v>
      </c>
      <c r="Q186" s="30">
        <f>VLOOKUP($B186,Hitters!$A1:$R401,8,FALSE)</f>
        <v>17.5</v>
      </c>
      <c r="R186" s="32">
        <f>VLOOKUP($B186,Hitters!$A1:$R401,9,FALSE)</f>
        <v>0.24919614147909999</v>
      </c>
      <c r="S186" s="32">
        <f>VLOOKUP($B186,Hitters!$A1:$R401,10,FALSE)</f>
        <v>0.30026714509626101</v>
      </c>
      <c r="T186" s="30">
        <f>VLOOKUP($B186,Hitters!$A1:$R401,11,FALSE)</f>
        <v>116.25</v>
      </c>
      <c r="U186" s="30">
        <f>VLOOKUP($B186,Hitters!$A1:$R401,12,FALSE)</f>
        <v>21.65</v>
      </c>
      <c r="V186" s="30">
        <f>VLOOKUP($B186,Hitters!$A1:$R401,13,FALSE)</f>
        <v>3.05</v>
      </c>
      <c r="W186" s="30">
        <f>VLOOKUP($B186,Hitters!$A1:$R401,14,FALSE)</f>
        <v>36.049999999999997</v>
      </c>
      <c r="X186" s="30">
        <f>VLOOKUP($B186,Hitters!$A1:$R401,15,FALSE)</f>
        <v>111.35</v>
      </c>
      <c r="Y186" s="32">
        <f>VLOOKUP($B186,Hitters!$A1:$R401,16,FALSE)</f>
        <v>0.40739549839228301</v>
      </c>
      <c r="Z186" s="32">
        <f>VLOOKUP($B186,Hitters!$A1:$R401,17,FALSE)</f>
        <v>0.70766264348854402</v>
      </c>
      <c r="AA186" s="30">
        <f>VLOOKUP($B186,Hitters!$A1:$R401,18,FALSE)</f>
        <v>0</v>
      </c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</row>
    <row r="187" spans="1:44" ht="18.600000000000001" customHeight="1">
      <c r="A187" s="24">
        <f ca="1">RANK(I187,I$2:I$651)</f>
        <v>163</v>
      </c>
      <c r="B187" s="25" t="s">
        <v>259</v>
      </c>
      <c r="C187" s="26" t="s">
        <v>260</v>
      </c>
      <c r="D187" s="26" t="s">
        <v>70</v>
      </c>
      <c r="E187" s="27" t="s">
        <v>23</v>
      </c>
      <c r="F187" s="28">
        <f ca="1">VLOOKUP(B187,OF!A1:I139,IF(Settings!$J$13="points",4,7),FALSE)</f>
        <v>47</v>
      </c>
      <c r="G187" s="29">
        <f>(M187*Settings!$B$2)+(N187*Settings!$B$3)+(O187*Settings!$B$4)+(P187*Settings!$B$5)+(Q187*Settings!$B$6)+(T187*Settings!$B$9)+(U187*Settings!$B$10)+(V187*Settings!$B$11)+(W187*Settings!$B$12)+(X187*Settings!$B$13)+(AA187*Settings!$B$16)</f>
        <v>363.98333333333312</v>
      </c>
      <c r="H187" s="30">
        <f>VLOOKUP(B187,'Standard Deviations'!$A1:$D651,4,FALSE)</f>
        <v>1.3432206698606119</v>
      </c>
      <c r="I187" s="31">
        <f ca="1">VLOOKUP(B187,OF!A1:I139,IF(Settings!$J$13="points",6,9),FALSE)</f>
        <v>1.2245038805642461</v>
      </c>
      <c r="J187" s="30"/>
      <c r="K187" s="30">
        <f ca="1">J187-A187</f>
        <v>-163</v>
      </c>
      <c r="L187" s="30"/>
      <c r="M187" s="30">
        <f>VLOOKUP($B187,Hitters!$A1:$R401,4,FALSE)</f>
        <v>538</v>
      </c>
      <c r="N187" s="30">
        <f>VLOOKUP($B187,Hitters!$A1:$R401,5,FALSE)</f>
        <v>69.6666666666667</v>
      </c>
      <c r="O187" s="30">
        <f>VLOOKUP($B187,Hitters!$A1:$R401,6,FALSE)</f>
        <v>11.366666666666699</v>
      </c>
      <c r="P187" s="30">
        <f>VLOOKUP($B187,Hitters!$A1:$R401,7,FALSE)</f>
        <v>59.2</v>
      </c>
      <c r="Q187" s="30">
        <f>VLOOKUP($B187,Hitters!$A1:$R401,8,FALSE)</f>
        <v>7.1</v>
      </c>
      <c r="R187" s="32">
        <f>VLOOKUP($B187,Hitters!$A1:$R401,9,FALSE)</f>
        <v>0.257496902106568</v>
      </c>
      <c r="S187" s="32">
        <f>VLOOKUP($B187,Hitters!$A1:$R401,10,FALSE)</f>
        <v>0.321387464100931</v>
      </c>
      <c r="T187" s="30">
        <f>VLOOKUP($B187,Hitters!$A1:$R401,11,FALSE)</f>
        <v>138.53333333333299</v>
      </c>
      <c r="U187" s="30">
        <f>VLOOKUP($B187,Hitters!$A1:$R401,12,FALSE)</f>
        <v>24.233333333333299</v>
      </c>
      <c r="V187" s="30">
        <f>VLOOKUP($B187,Hitters!$A1:$R401,13,FALSE)</f>
        <v>5.4666666666666703</v>
      </c>
      <c r="W187" s="30">
        <f>VLOOKUP($B187,Hitters!$A1:$R401,14,FALSE)</f>
        <v>53.2</v>
      </c>
      <c r="X187" s="30">
        <f>VLOOKUP($B187,Hitters!$A1:$R401,15,FALSE)</f>
        <v>162.30000000000001</v>
      </c>
      <c r="Y187" s="32">
        <f>VLOOKUP($B187,Hitters!$A1:$R401,16,FALSE)</f>
        <v>0.38624535315985098</v>
      </c>
      <c r="Z187" s="32">
        <f>VLOOKUP($B187,Hitters!$A1:$R401,17,FALSE)</f>
        <v>0.70763281726078198</v>
      </c>
      <c r="AA187" s="30">
        <f>VLOOKUP($B187,Hitters!$A1:$R401,18,FALSE)</f>
        <v>0</v>
      </c>
      <c r="AB187" s="30"/>
      <c r="AC187" s="30"/>
      <c r="AD187" s="32"/>
      <c r="AE187" s="32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</row>
    <row r="188" spans="1:44" ht="18.600000000000001" customHeight="1">
      <c r="A188" s="24">
        <f ca="1">RANK(I188,I$2:I$651)</f>
        <v>256</v>
      </c>
      <c r="B188" s="25" t="s">
        <v>352</v>
      </c>
      <c r="C188" s="26" t="s">
        <v>116</v>
      </c>
      <c r="D188" s="26" t="s">
        <v>70</v>
      </c>
      <c r="E188" s="33" t="s">
        <v>15</v>
      </c>
      <c r="F188" s="34">
        <f ca="1">VLOOKUP(B188,'3B'!A1:I55,IF(Settings!$J$13="points",4,7),FALSE)</f>
        <v>20</v>
      </c>
      <c r="G188" s="29">
        <f>(M188*Settings!$B$2)+(N188*Settings!$B$3)+(O188*Settings!$B$4)+(P188*Settings!$B$5)+(Q188*Settings!$B$6)+(T188*Settings!$B$9)+(U188*Settings!$B$10)+(V188*Settings!$B$11)+(W188*Settings!$B$12)+(X188*Settings!$B$13)+(AA188*Settings!$B$16)</f>
        <v>363.68333333333334</v>
      </c>
      <c r="H188" s="30">
        <f>VLOOKUP(B188,'Standard Deviations'!$A1:$D651,4,FALSE)</f>
        <v>0.53570088848332653</v>
      </c>
      <c r="I188" s="31">
        <f ca="1">IF(Settings!$J$15="no",VLOOKUP(B188,'3B'!A1:I55,IF(Settings!$J$13="points",6,9),FALSE),VLOOKUP(B188,'1B+3B'!$A1:$I104,IF(Settings!$J$13="points",6,9),FALSE))</f>
        <v>-0.1919754643098448</v>
      </c>
      <c r="J188" s="30"/>
      <c r="K188" s="30">
        <f ca="1">J188-A188</f>
        <v>-256</v>
      </c>
      <c r="L188" s="30"/>
      <c r="M188" s="30">
        <f>VLOOKUP($B188,Hitters!$A1:$R401,4,FALSE)</f>
        <v>502.66666666666703</v>
      </c>
      <c r="N188" s="30">
        <f>VLOOKUP($B188,Hitters!$A1:$R401,5,FALSE)</f>
        <v>65.133333333333297</v>
      </c>
      <c r="O188" s="30">
        <f>VLOOKUP($B188,Hitters!$A1:$R401,6,FALSE)</f>
        <v>16.133333333333301</v>
      </c>
      <c r="P188" s="30">
        <f>VLOOKUP($B188,Hitters!$A1:$R401,7,FALSE)</f>
        <v>64.6666666666667</v>
      </c>
      <c r="Q188" s="30">
        <f>VLOOKUP($B188,Hitters!$A1:$R401,8,FALSE)</f>
        <v>2.6666666666666701</v>
      </c>
      <c r="R188" s="32">
        <f>VLOOKUP($B188,Hitters!$A1:$R401,9,FALSE)</f>
        <v>0.24144562334217501</v>
      </c>
      <c r="S188" s="32">
        <f>VLOOKUP($B188,Hitters!$A1:$R401,10,FALSE)</f>
        <v>0.31626825872525199</v>
      </c>
      <c r="T188" s="30">
        <f>VLOOKUP($B188,Hitters!$A1:$R401,11,FALSE)</f>
        <v>121.366666666667</v>
      </c>
      <c r="U188" s="30">
        <f>VLOOKUP($B188,Hitters!$A1:$R401,12,FALSE)</f>
        <v>27.1</v>
      </c>
      <c r="V188" s="30">
        <f>VLOOKUP($B188,Hitters!$A1:$R401,13,FALSE)</f>
        <v>1.8333333333333299</v>
      </c>
      <c r="W188" s="30">
        <f>VLOOKUP($B188,Hitters!$A1:$R401,14,FALSE)</f>
        <v>57.3333333333333</v>
      </c>
      <c r="X188" s="30">
        <f>VLOOKUP($B188,Hitters!$A1:$R401,15,FALSE)</f>
        <v>148.76666666666699</v>
      </c>
      <c r="Y188" s="32">
        <f>VLOOKUP($B188,Hitters!$A1:$R401,16,FALSE)</f>
        <v>0.39893899204243999</v>
      </c>
      <c r="Z188" s="32">
        <f>VLOOKUP($B188,Hitters!$A1:$R401,17,FALSE)</f>
        <v>0.71520725076769198</v>
      </c>
      <c r="AA188" s="30">
        <f>VLOOKUP($B188,Hitters!$A1:$R401,18,FALSE)</f>
        <v>0</v>
      </c>
      <c r="AB188" s="30"/>
      <c r="AC188" s="30"/>
      <c r="AD188" s="32"/>
      <c r="AE188" s="32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</row>
    <row r="189" spans="1:44" ht="18.600000000000001" customHeight="1">
      <c r="A189" s="24">
        <f ca="1">RANK(I189,I$2:I$651)</f>
        <v>130</v>
      </c>
      <c r="B189" s="25" t="s">
        <v>226</v>
      </c>
      <c r="C189" s="26" t="s">
        <v>64</v>
      </c>
      <c r="D189" s="26" t="s">
        <v>75</v>
      </c>
      <c r="E189" s="35" t="s">
        <v>31</v>
      </c>
      <c r="F189" s="36">
        <f ca="1">VLOOKUP(B189,SP!A1:I161,IF(Settings!$J$13="points",4,7),FALSE)</f>
        <v>39</v>
      </c>
      <c r="G189" s="29">
        <f>(AC189*Settings!$F$2)+(AF189*Settings!$F$5)+(AG189*Settings!$F$6)+(AH189*Settings!$F$7)+(AI189*Settings!$F$8)+(AJ189*Settings!$F$9)+(AK189*Settings!$F$10)+(AL189*Settings!$F$11)+(AM189*Settings!$F$12)+(AN189*Settings!$F$13)+(AO189*Settings!$F$14)+(AP189*Settings!$F$15)+(AQ189*Settings!$F$16)+(AR189*Settings!$F$17)</f>
        <v>363.66666666666669</v>
      </c>
      <c r="H189" s="30">
        <f>VLOOKUP(B189,'Standard Deviations'!$A1:$D651,4,FALSE)</f>
        <v>2.1873406780819118</v>
      </c>
      <c r="I189" s="31">
        <f ca="1">IF(Settings!$J$16="no",VLOOKUP(B189,SP!A1:I161,IF(Settings!$J$13="points",6,9),FALSE),VLOOKUP(B189,'SP+RP'!$A1:$I251,IF(Settings!$J$13="points",6,9),FALSE))</f>
        <v>2.0513558636816929</v>
      </c>
      <c r="J189" s="30"/>
      <c r="K189" s="30">
        <f ca="1">J189-A189</f>
        <v>-130</v>
      </c>
      <c r="L189" s="30"/>
      <c r="M189" s="30"/>
      <c r="N189" s="30"/>
      <c r="O189" s="30"/>
      <c r="P189" s="30"/>
      <c r="Q189" s="30"/>
      <c r="R189" s="32"/>
      <c r="S189" s="32"/>
      <c r="T189" s="30"/>
      <c r="U189" s="30"/>
      <c r="V189" s="30"/>
      <c r="W189" s="30"/>
      <c r="X189" s="30"/>
      <c r="Y189" s="32"/>
      <c r="Z189" s="32"/>
      <c r="AA189" s="30"/>
      <c r="AB189" s="30"/>
      <c r="AC189" s="30">
        <f>VLOOKUP($B189,Pitchers!$A1:$S251,4,FALSE)</f>
        <v>141.76666666666668</v>
      </c>
      <c r="AD189" s="32">
        <f>VLOOKUP($B189,Pitchers!$A1:$S251,5,FALSE)</f>
        <v>3.5255114037150239</v>
      </c>
      <c r="AE189" s="32">
        <f>VLOOKUP($B189,Pitchers!$A1:$S251,6,FALSE)</f>
        <v>1.2229014813073125</v>
      </c>
      <c r="AF189" s="30">
        <f>VLOOKUP($B189,Pitchers!$A1:$S251,7,FALSE)</f>
        <v>179.53333333333333</v>
      </c>
      <c r="AG189" s="30">
        <f>VLOOKUP($B189,Pitchers!$A1:$S251,8,FALSE)</f>
        <v>9.6666666666666661</v>
      </c>
      <c r="AH189" s="30">
        <f>VLOOKUP($B189,Pitchers!$A1:$S251,9,FALSE)</f>
        <v>0</v>
      </c>
      <c r="AI189" s="30">
        <f>VLOOKUP($B189,Pitchers!$A1:$S251,10,FALSE)</f>
        <v>55.533333333333331</v>
      </c>
      <c r="AJ189" s="30">
        <f>VLOOKUP($B189,Pitchers!$A1:$S251,11,FALSE)</f>
        <v>115.39999999999999</v>
      </c>
      <c r="AK189" s="30">
        <f>VLOOKUP($B189,Pitchers!$A1:$S251,12,FALSE)</f>
        <v>57.966666666666669</v>
      </c>
      <c r="AL189" s="30">
        <f>VLOOKUP($B189,Pitchers!$A1:$S251,13,FALSE)</f>
        <v>19</v>
      </c>
      <c r="AM189" s="30">
        <f>VLOOKUP($B189,Pitchers!$A1:$S251,14,FALSE)</f>
        <v>27.5</v>
      </c>
      <c r="AN189" s="30">
        <f>VLOOKUP($B189,Pitchers!$A1:$S251,15,FALSE)</f>
        <v>27.166666666666668</v>
      </c>
      <c r="AO189" s="30">
        <f>VLOOKUP($B189,Pitchers!$A1:$S251,16,FALSE)</f>
        <v>7.0333333333333341</v>
      </c>
      <c r="AP189" s="30">
        <f>VLOOKUP($B189,Pitchers!$A1:$S251,17,FALSE)</f>
        <v>15</v>
      </c>
      <c r="AQ189" s="30">
        <f>VLOOKUP($B189,Pitchers!$A1:$S251,18,FALSE)</f>
        <v>0</v>
      </c>
      <c r="AR189" s="30">
        <f>VLOOKUP($B189,Pitchers!$A1:$S251,19,FALSE)</f>
        <v>0</v>
      </c>
    </row>
    <row r="190" spans="1:44" ht="18.600000000000001" customHeight="1">
      <c r="A190" s="24">
        <f ca="1">RANK(I190,I$2:I$651)</f>
        <v>283</v>
      </c>
      <c r="B190" s="25" t="s">
        <v>379</v>
      </c>
      <c r="C190" s="26" t="s">
        <v>225</v>
      </c>
      <c r="D190" s="26" t="s">
        <v>75</v>
      </c>
      <c r="E190" s="39" t="s">
        <v>7</v>
      </c>
      <c r="F190" s="40">
        <f ca="1">VLOOKUP(B190,'1B'!A1:I63,IF(Settings!$J$13="points",4,7),FALSE)</f>
        <v>25</v>
      </c>
      <c r="G190" s="29">
        <f>(M190*Settings!$B$2)+(N190*Settings!$B$3)+(O190*Settings!$B$4)+(P190*Settings!$B$5)+(Q190*Settings!$B$6)+(T190*Settings!$B$9)+(U190*Settings!$B$10)+(V190*Settings!$B$11)+(W190*Settings!$B$12)+(X190*Settings!$B$13)+(AA190*Settings!$B$16)</f>
        <v>361.66666666666697</v>
      </c>
      <c r="H190" s="30">
        <f>VLOOKUP(B190,'Standard Deviations'!$A1:$D651,4,FALSE)</f>
        <v>1.8806590081696921</v>
      </c>
      <c r="I190" s="31">
        <f ca="1">IF(Settings!$J$15="no",VLOOKUP(B190,'1B'!A1:I63,IF(Settings!$J$13="points",6,9),FALSE),VLOOKUP(B190,'1B+3B'!$A1:$I104,IF(Settings!$J$13="points",6,9),FALSE))</f>
        <v>-0.69886650438169773</v>
      </c>
      <c r="J190" s="30"/>
      <c r="K190" s="30">
        <f ca="1">J190-A190</f>
        <v>-283</v>
      </c>
      <c r="L190" s="30"/>
      <c r="M190" s="30">
        <f>VLOOKUP($B190,Hitters!$A1:$R401,4,FALSE)</f>
        <v>455.33333333333297</v>
      </c>
      <c r="N190" s="30">
        <f>VLOOKUP($B190,Hitters!$A1:$R401,5,FALSE)</f>
        <v>59.6</v>
      </c>
      <c r="O190" s="30">
        <f>VLOOKUP($B190,Hitters!$A1:$R401,6,FALSE)</f>
        <v>18.366666666666699</v>
      </c>
      <c r="P190" s="30">
        <f>VLOOKUP($B190,Hitters!$A1:$R401,7,FALSE)</f>
        <v>68.766666666666694</v>
      </c>
      <c r="Q190" s="30">
        <f>VLOOKUP($B190,Hitters!$A1:$R401,8,FALSE)</f>
        <v>5.7666666666666702</v>
      </c>
      <c r="R190" s="32">
        <f>VLOOKUP($B190,Hitters!$A1:$R401,9,FALSE)</f>
        <v>0.25497803806734998</v>
      </c>
      <c r="S190" s="32">
        <f>VLOOKUP($B190,Hitters!$A1:$R401,10,FALSE)</f>
        <v>0.31854161986441698</v>
      </c>
      <c r="T190" s="30">
        <f>VLOOKUP($B190,Hitters!$A1:$R401,11,FALSE)</f>
        <v>116.1</v>
      </c>
      <c r="U190" s="30">
        <f>VLOOKUP($B190,Hitters!$A1:$R401,12,FALSE)</f>
        <v>27.633333333333301</v>
      </c>
      <c r="V190" s="30">
        <f>VLOOKUP($B190,Hitters!$A1:$R401,13,FALSE)</f>
        <v>1.36666666666667</v>
      </c>
      <c r="W190" s="30">
        <f>VLOOKUP($B190,Hitters!$A1:$R401,14,FALSE)</f>
        <v>44.6</v>
      </c>
      <c r="X190" s="30">
        <f>VLOOKUP($B190,Hitters!$A1:$R401,15,FALSE)</f>
        <v>143.53333333333299</v>
      </c>
      <c r="Y190" s="32">
        <f>VLOOKUP($B190,Hitters!$A1:$R401,16,FALSE)</f>
        <v>0.44267935578330903</v>
      </c>
      <c r="Z190" s="32">
        <f>VLOOKUP($B190,Hitters!$A1:$R401,17,FALSE)</f>
        <v>0.76122097564772595</v>
      </c>
      <c r="AA190" s="30">
        <f>VLOOKUP($B190,Hitters!$A1:$R401,18,FALSE)</f>
        <v>0</v>
      </c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</row>
    <row r="191" spans="1:44" ht="18.600000000000001" customHeight="1">
      <c r="A191" s="24">
        <f ca="1">RANK(I191,I$2:I$651)</f>
        <v>89</v>
      </c>
      <c r="B191" s="25" t="s">
        <v>183</v>
      </c>
      <c r="C191" s="26" t="s">
        <v>79</v>
      </c>
      <c r="D191" s="26" t="s">
        <v>70</v>
      </c>
      <c r="E191" s="41" t="s">
        <v>34</v>
      </c>
      <c r="F191" s="42">
        <f ca="1">VLOOKUP(B191,RP!A1:I91,IF(Settings!$J$13="points",4,7),FALSE)</f>
        <v>6</v>
      </c>
      <c r="G191" s="29">
        <f>(AC191*Settings!$F$2)+(AF191*Settings!$F$5)+(AG191*Settings!$F$6)+(AH191*Settings!$F$7)+(AI191*Settings!$F$8)+(AJ191*Settings!$F$9)+(AK191*Settings!$F$10)+(AL191*Settings!$F$11)+(AM191*Settings!$F$12)+(AN191*Settings!$F$13)+(AO191*Settings!$F$14)+(AP191*Settings!$F$15)+(AQ191*Settings!$F$16)+(AR191*Settings!$F$17)</f>
        <v>361.28333333333336</v>
      </c>
      <c r="H191" s="30">
        <f>VLOOKUP(B191,'Standard Deviations'!$A1:$D651,4,FALSE)</f>
        <v>4.8897599038306492</v>
      </c>
      <c r="I191" s="31">
        <f ca="1">IF(Settings!$J$16="no",VLOOKUP(B191,RP!A1:I91,IF(Settings!$J$13="points",6,9),FALSE),VLOOKUP(B191,'SP+RP'!$A1:$I251,IF(Settings!$J$13="points",6,9),FALSE))</f>
        <v>3.3186937445003535</v>
      </c>
      <c r="J191" s="30"/>
      <c r="K191" s="30">
        <f ca="1">J191-A191</f>
        <v>-89</v>
      </c>
      <c r="L191" s="30"/>
      <c r="M191" s="30"/>
      <c r="N191" s="30"/>
      <c r="O191" s="30"/>
      <c r="P191" s="30"/>
      <c r="Q191" s="30"/>
      <c r="R191" s="32"/>
      <c r="S191" s="32"/>
      <c r="T191" s="30"/>
      <c r="U191" s="30"/>
      <c r="V191" s="30"/>
      <c r="W191" s="30"/>
      <c r="X191" s="30"/>
      <c r="Y191" s="32"/>
      <c r="Z191" s="32"/>
      <c r="AA191" s="30"/>
      <c r="AB191" s="30"/>
      <c r="AC191" s="30">
        <f>VLOOKUP($B191,Pitchers!$A1:$S251,4,FALSE)</f>
        <v>59</v>
      </c>
      <c r="AD191" s="32">
        <f>VLOOKUP($B191,Pitchers!$A1:$S251,5,FALSE)</f>
        <v>2.9847457627118641</v>
      </c>
      <c r="AE191" s="32">
        <f>VLOOKUP($B191,Pitchers!$A1:$S251,6,FALSE)</f>
        <v>1.0672316384180791</v>
      </c>
      <c r="AF191" s="30">
        <f>VLOOKUP($B191,Pitchers!$A1:$S251,7,FALSE)</f>
        <v>72.7</v>
      </c>
      <c r="AG191" s="30">
        <f>VLOOKUP($B191,Pitchers!$A1:$S251,8,FALSE)</f>
        <v>3.5666666666666664</v>
      </c>
      <c r="AH191" s="30">
        <f>VLOOKUP($B191,Pitchers!$A1:$S251,9,FALSE)</f>
        <v>31.666666666666668</v>
      </c>
      <c r="AI191" s="30">
        <f>VLOOKUP($B191,Pitchers!$A1:$S251,10,FALSE)</f>
        <v>19.566666666666666</v>
      </c>
      <c r="AJ191" s="30">
        <f>VLOOKUP($B191,Pitchers!$A1:$S251,11,FALSE)</f>
        <v>46.9</v>
      </c>
      <c r="AK191" s="30">
        <f>VLOOKUP($B191,Pitchers!$A1:$S251,12,FALSE)</f>
        <v>16.066666666666666</v>
      </c>
      <c r="AL191" s="30">
        <f>VLOOKUP($B191,Pitchers!$A1:$S251,13,FALSE)</f>
        <v>6</v>
      </c>
      <c r="AM191" s="30">
        <f>VLOOKUP($B191,Pitchers!$A1:$S251,14,FALSE)</f>
        <v>60.6</v>
      </c>
      <c r="AN191" s="30">
        <f>VLOOKUP($B191,Pitchers!$A1:$S251,15,FALSE)</f>
        <v>0</v>
      </c>
      <c r="AO191" s="30">
        <f>VLOOKUP($B191,Pitchers!$A1:$S251,16,FALSE)</f>
        <v>3.2333333333333329</v>
      </c>
      <c r="AP191" s="30">
        <f>VLOOKUP($B191,Pitchers!$A1:$S251,17,FALSE)</f>
        <v>0</v>
      </c>
      <c r="AQ191" s="30">
        <f>VLOOKUP($B191,Pitchers!$A1:$S251,18,FALSE)</f>
        <v>1.5</v>
      </c>
      <c r="AR191" s="30">
        <f>VLOOKUP($B191,Pitchers!$A1:$S251,19,FALSE)</f>
        <v>4</v>
      </c>
    </row>
    <row r="192" spans="1:44" ht="18.600000000000001" customHeight="1">
      <c r="A192" s="24">
        <f ca="1">RANK(I192,I$2:I$651)</f>
        <v>136</v>
      </c>
      <c r="B192" s="25" t="s">
        <v>231</v>
      </c>
      <c r="C192" s="26" t="s">
        <v>178</v>
      </c>
      <c r="D192" s="26" t="s">
        <v>75</v>
      </c>
      <c r="E192" s="27" t="s">
        <v>23</v>
      </c>
      <c r="F192" s="28">
        <f ca="1">VLOOKUP(B192,OF!A1:I139,IF(Settings!$J$13="points",4,7),FALSE)</f>
        <v>44</v>
      </c>
      <c r="G192" s="29">
        <f>(M192*Settings!$B$2)+(N192*Settings!$B$3)+(O192*Settings!$B$4)+(P192*Settings!$B$5)+(Q192*Settings!$B$6)+(T192*Settings!$B$9)+(U192*Settings!$B$10)+(V192*Settings!$B$11)+(W192*Settings!$B$12)+(X192*Settings!$B$13)+(AA192*Settings!$B$16)</f>
        <v>360.34999999999957</v>
      </c>
      <c r="H192" s="30">
        <f>VLOOKUP(B192,'Standard Deviations'!$A1:$D651,4,FALSE)</f>
        <v>2.0060688980107759</v>
      </c>
      <c r="I192" s="31">
        <f ca="1">VLOOKUP(B192,OF!A1:I139,IF(Settings!$J$13="points",6,9),FALSE)</f>
        <v>1.8873579624628707</v>
      </c>
      <c r="J192" s="30"/>
      <c r="K192" s="30">
        <f ca="1">J192-A192</f>
        <v>-136</v>
      </c>
      <c r="L192" s="30"/>
      <c r="M192" s="30">
        <f>VLOOKUP($B192,Hitters!$A1:$R401,4,FALSE)</f>
        <v>474</v>
      </c>
      <c r="N192" s="30">
        <f>VLOOKUP($B192,Hitters!$A1:$R401,5,FALSE)</f>
        <v>62.1666666666667</v>
      </c>
      <c r="O192" s="30">
        <f>VLOOKUP($B192,Hitters!$A1:$R401,6,FALSE)</f>
        <v>20.266666666666701</v>
      </c>
      <c r="P192" s="30">
        <f>VLOOKUP($B192,Hitters!$A1:$R401,7,FALSE)</f>
        <v>69.8333333333333</v>
      </c>
      <c r="Q192" s="30">
        <f>VLOOKUP($B192,Hitters!$A1:$R401,8,FALSE)</f>
        <v>2.6333333333333302</v>
      </c>
      <c r="R192" s="32">
        <f>VLOOKUP($B192,Hitters!$A1:$R401,9,FALSE)</f>
        <v>0.25893108298171602</v>
      </c>
      <c r="S192" s="32">
        <f>VLOOKUP($B192,Hitters!$A1:$R401,10,FALSE)</f>
        <v>0.293973769104659</v>
      </c>
      <c r="T192" s="30">
        <f>VLOOKUP($B192,Hitters!$A1:$R401,11,FALSE)</f>
        <v>122.73333333333299</v>
      </c>
      <c r="U192" s="30">
        <f>VLOOKUP($B192,Hitters!$A1:$R401,12,FALSE)</f>
        <v>22.133333333333301</v>
      </c>
      <c r="V192" s="30">
        <f>VLOOKUP($B192,Hitters!$A1:$R401,13,FALSE)</f>
        <v>2.1333333333333302</v>
      </c>
      <c r="W192" s="30">
        <f>VLOOKUP($B192,Hitters!$A1:$R401,14,FALSE)</f>
        <v>25.5</v>
      </c>
      <c r="X192" s="30">
        <f>VLOOKUP($B192,Hitters!$A1:$R401,15,FALSE)</f>
        <v>113.76666666666701</v>
      </c>
      <c r="Y192" s="32">
        <f>VLOOKUP($B192,Hitters!$A1:$R401,16,FALSE)</f>
        <v>0.44289732770745399</v>
      </c>
      <c r="Z192" s="32">
        <f>VLOOKUP($B192,Hitters!$A1:$R401,17,FALSE)</f>
        <v>0.73687109681211305</v>
      </c>
      <c r="AA192" s="30">
        <f>VLOOKUP($B192,Hitters!$A1:$R401,18,FALSE)</f>
        <v>0</v>
      </c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</row>
    <row r="193" spans="1:44" ht="20.100000000000001" customHeight="1">
      <c r="A193" s="24">
        <f ca="1">RANK(I193,I$2:I$651)</f>
        <v>186</v>
      </c>
      <c r="B193" s="25" t="s">
        <v>283</v>
      </c>
      <c r="C193" s="26" t="s">
        <v>97</v>
      </c>
      <c r="D193" s="26" t="s">
        <v>75</v>
      </c>
      <c r="E193" s="27" t="s">
        <v>23</v>
      </c>
      <c r="F193" s="28">
        <f ca="1">VLOOKUP(B193,OF!A1:I139,IF(Settings!$J$13="points",4,7),FALSE)</f>
        <v>53</v>
      </c>
      <c r="G193" s="29">
        <f>(M193*Settings!$B$2)+(N193*Settings!$B$3)+(O193*Settings!$B$4)+(P193*Settings!$B$5)+(Q193*Settings!$B$6)+(T193*Settings!$B$9)+(U193*Settings!$B$10)+(V193*Settings!$B$11)+(W193*Settings!$B$12)+(X193*Settings!$B$13)+(AA193*Settings!$B$16)</f>
        <v>360.19999999999976</v>
      </c>
      <c r="H193" s="30">
        <f>VLOOKUP(B193,'Standard Deviations'!$A1:$D651,4,FALSE)</f>
        <v>0.88276831856529758</v>
      </c>
      <c r="I193" s="31">
        <f ca="1">VLOOKUP(B193,OF!A1:I139,IF(Settings!$J$13="points",6,9),FALSE)</f>
        <v>0.76405326733143641</v>
      </c>
      <c r="J193" s="30"/>
      <c r="K193" s="30">
        <f ca="1">J193-A193</f>
        <v>-186</v>
      </c>
      <c r="L193" s="30"/>
      <c r="M193" s="30">
        <f>VLOOKUP($B193,Hitters!$A1:$R401,4,FALSE)</f>
        <v>462.33333333333297</v>
      </c>
      <c r="N193" s="30">
        <f>VLOOKUP($B193,Hitters!$A1:$R401,5,FALSE)</f>
        <v>68.599999999999994</v>
      </c>
      <c r="O193" s="30">
        <f>VLOOKUP($B193,Hitters!$A1:$R401,6,FALSE)</f>
        <v>13.533333333333299</v>
      </c>
      <c r="P193" s="30">
        <f>VLOOKUP($B193,Hitters!$A1:$R401,7,FALSE)</f>
        <v>58.566666666666698</v>
      </c>
      <c r="Q193" s="30">
        <f>VLOOKUP($B193,Hitters!$A1:$R401,8,FALSE)</f>
        <v>6.1333333333333302</v>
      </c>
      <c r="R193" s="32">
        <f>VLOOKUP($B193,Hitters!$A1:$R401,9,FALSE)</f>
        <v>0.24708002883922101</v>
      </c>
      <c r="S193" s="32">
        <f>VLOOKUP($B193,Hitters!$A1:$R401,10,FALSE)</f>
        <v>0.32766365710001499</v>
      </c>
      <c r="T193" s="30">
        <f>VLOOKUP($B193,Hitters!$A1:$R401,11,FALSE)</f>
        <v>114.23333333333299</v>
      </c>
      <c r="U193" s="30">
        <f>VLOOKUP($B193,Hitters!$A1:$R401,12,FALSE)</f>
        <v>21.9</v>
      </c>
      <c r="V193" s="30">
        <f>VLOOKUP($B193,Hitters!$A1:$R401,13,FALSE)</f>
        <v>1.7666666666666699</v>
      </c>
      <c r="W193" s="30">
        <f>VLOOKUP($B193,Hitters!$A1:$R401,14,FALSE)</f>
        <v>57.6666666666667</v>
      </c>
      <c r="X193" s="30">
        <f>VLOOKUP($B193,Hitters!$A1:$R401,15,FALSE)</f>
        <v>108.73333333333299</v>
      </c>
      <c r="Y193" s="32">
        <f>VLOOKUP($B193,Hitters!$A1:$R401,16,FALSE)</f>
        <v>0.38990627253064197</v>
      </c>
      <c r="Z193" s="32">
        <f>VLOOKUP($B193,Hitters!$A1:$R401,17,FALSE)</f>
        <v>0.71756992963065602</v>
      </c>
      <c r="AA193" s="30">
        <f>VLOOKUP($B193,Hitters!$A1:$R401,18,FALSE)</f>
        <v>0</v>
      </c>
      <c r="AB193" s="30"/>
      <c r="AC193" s="30"/>
      <c r="AD193" s="32"/>
      <c r="AE193" s="32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</row>
    <row r="194" spans="1:44" ht="18.600000000000001" customHeight="1">
      <c r="A194" s="24">
        <f ca="1">RANK(I194,I$2:I$651)</f>
        <v>191</v>
      </c>
      <c r="B194" s="25" t="s">
        <v>288</v>
      </c>
      <c r="C194" s="26" t="s">
        <v>92</v>
      </c>
      <c r="D194" s="26" t="s">
        <v>75</v>
      </c>
      <c r="E194" s="33" t="s">
        <v>15</v>
      </c>
      <c r="F194" s="34">
        <f ca="1">VLOOKUP(B194,'3B'!A1:I55,IF(Settings!$J$13="points",4,7),FALSE)</f>
        <v>16</v>
      </c>
      <c r="G194" s="29">
        <f>(M194*Settings!$B$2)+(N194*Settings!$B$3)+(O194*Settings!$B$4)+(P194*Settings!$B$5)+(Q194*Settings!$B$6)+(T194*Settings!$B$9)+(U194*Settings!$B$10)+(V194*Settings!$B$11)+(W194*Settings!$B$12)+(X194*Settings!$B$13)+(AA194*Settings!$B$16)</f>
        <v>358.58333333333314</v>
      </c>
      <c r="H194" s="30">
        <f>VLOOKUP(B194,'Standard Deviations'!$A1:$D651,4,FALSE)</f>
        <v>1.3947243887237828</v>
      </c>
      <c r="I194" s="31">
        <f ca="1">IF(Settings!$J$15="no",VLOOKUP(B194,'3B'!A1:I55,IF(Settings!$J$13="points",6,9),FALSE),VLOOKUP(B194,'1B+3B'!$A1:$I104,IF(Settings!$J$13="points",6,9),FALSE))</f>
        <v>0.66704340688670294</v>
      </c>
      <c r="J194" s="30"/>
      <c r="K194" s="30">
        <f ca="1">J194-A194</f>
        <v>-191</v>
      </c>
      <c r="L194" s="30"/>
      <c r="M194" s="30">
        <f>VLOOKUP($B194,Hitters!$A1:$R401,4,FALSE)</f>
        <v>475.33333333333297</v>
      </c>
      <c r="N194" s="30">
        <f>VLOOKUP($B194,Hitters!$A1:$R401,5,FALSE)</f>
        <v>62.85</v>
      </c>
      <c r="O194" s="30">
        <f>VLOOKUP($B194,Hitters!$A1:$R401,6,FALSE)</f>
        <v>13.133333333333301</v>
      </c>
      <c r="P194" s="30">
        <f>VLOOKUP($B194,Hitters!$A1:$R401,7,FALSE)</f>
        <v>56</v>
      </c>
      <c r="Q194" s="30">
        <f>VLOOKUP($B194,Hitters!$A1:$R401,8,FALSE)</f>
        <v>12.116666666666699</v>
      </c>
      <c r="R194" s="32">
        <f>VLOOKUP($B194,Hitters!$A1:$R401,9,FALSE)</f>
        <v>0.247931276297335</v>
      </c>
      <c r="S194" s="32">
        <f>VLOOKUP($B194,Hitters!$A1:$R401,10,FALSE)</f>
        <v>0.30842709500050902</v>
      </c>
      <c r="T194" s="30">
        <f>VLOOKUP($B194,Hitters!$A1:$R401,11,FALSE)</f>
        <v>117.85</v>
      </c>
      <c r="U194" s="30">
        <f>VLOOKUP($B194,Hitters!$A1:$R401,12,FALSE)</f>
        <v>23.283333333333299</v>
      </c>
      <c r="V194" s="30">
        <f>VLOOKUP($B194,Hitters!$A1:$R401,13,FALSE)</f>
        <v>2.3833333333333302</v>
      </c>
      <c r="W194" s="30">
        <f>VLOOKUP($B194,Hitters!$A1:$R401,14,FALSE)</f>
        <v>43.7</v>
      </c>
      <c r="X194" s="30">
        <f>VLOOKUP($B194,Hitters!$A1:$R401,15,FALSE)</f>
        <v>104.6</v>
      </c>
      <c r="Y194" s="32">
        <f>VLOOKUP($B194,Hitters!$A1:$R401,16,FALSE)</f>
        <v>0.389831697054699</v>
      </c>
      <c r="Z194" s="32">
        <f>VLOOKUP($B194,Hitters!$A1:$R401,17,FALSE)</f>
        <v>0.69825879205520802</v>
      </c>
      <c r="AA194" s="30">
        <f>VLOOKUP($B194,Hitters!$A1:$R401,18,FALSE)</f>
        <v>0</v>
      </c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</row>
    <row r="195" spans="1:44" ht="20.100000000000001" customHeight="1">
      <c r="A195" s="24">
        <f ca="1">RANK(I195,I$2:I$651)</f>
        <v>496</v>
      </c>
      <c r="B195" s="25" t="s">
        <v>593</v>
      </c>
      <c r="C195" s="26" t="s">
        <v>139</v>
      </c>
      <c r="D195" s="26" t="s">
        <v>75</v>
      </c>
      <c r="E195" s="39" t="s">
        <v>7</v>
      </c>
      <c r="F195" s="40">
        <f ca="1">VLOOKUP(B195,'1B'!A1:I63,IF(Settings!$J$13="points",4,7),FALSE)</f>
        <v>37</v>
      </c>
      <c r="G195" s="29">
        <f>(M195*Settings!$B$2)+(N195*Settings!$B$3)+(O195*Settings!$B$4)+(P195*Settings!$B$5)+(Q195*Settings!$B$6)+(T195*Settings!$B$9)+(U195*Settings!$B$10)+(V195*Settings!$B$11)+(W195*Settings!$B$12)+(X195*Settings!$B$13)+(AA195*Settings!$B$16)</f>
        <v>358.03333333333319</v>
      </c>
      <c r="H195" s="30">
        <f>VLOOKUP(B195,'Standard Deviations'!$A1:$D651,4,FALSE)</f>
        <v>-0.9504069738943538</v>
      </c>
      <c r="I195" s="31">
        <f ca="1">IF(Settings!$J$15="no",VLOOKUP(B195,'1B'!A1:I63,IF(Settings!$J$13="points",6,9),FALSE),VLOOKUP(B195,'1B+3B'!$A1:$I104,IF(Settings!$J$13="points",6,9),FALSE))</f>
        <v>-3.5299413111614975</v>
      </c>
      <c r="J195" s="30"/>
      <c r="K195" s="30">
        <f ca="1">J195-A195</f>
        <v>-496</v>
      </c>
      <c r="L195" s="30"/>
      <c r="M195" s="30">
        <f>VLOOKUP($B195,Hitters!$A1:$R401,4,FALSE)</f>
        <v>451</v>
      </c>
      <c r="N195" s="30">
        <f>VLOOKUP($B195,Hitters!$A1:$R401,5,FALSE)</f>
        <v>59.133333333333297</v>
      </c>
      <c r="O195" s="30">
        <f>VLOOKUP($B195,Hitters!$A1:$R401,6,FALSE)</f>
        <v>17.633333333333301</v>
      </c>
      <c r="P195" s="30">
        <f>VLOOKUP($B195,Hitters!$A1:$R401,7,FALSE)</f>
        <v>62.066666666666698</v>
      </c>
      <c r="Q195" s="30">
        <f>VLOOKUP($B195,Hitters!$A1:$R401,8,FALSE)</f>
        <v>1.0333333333333301</v>
      </c>
      <c r="R195" s="32">
        <f>VLOOKUP($B195,Hitters!$A1:$R401,9,FALSE)</f>
        <v>0.22025129342202501</v>
      </c>
      <c r="S195" s="32">
        <f>VLOOKUP($B195,Hitters!$A1:$R401,10,FALSE)</f>
        <v>0.32594639263703101</v>
      </c>
      <c r="T195" s="30">
        <f>VLOOKUP($B195,Hitters!$A1:$R401,11,FALSE)</f>
        <v>99.3333333333333</v>
      </c>
      <c r="U195" s="30">
        <f>VLOOKUP($B195,Hitters!$A1:$R401,12,FALSE)</f>
        <v>17.8</v>
      </c>
      <c r="V195" s="30">
        <f>VLOOKUP($B195,Hitters!$A1:$R401,13,FALSE)</f>
        <v>0.5</v>
      </c>
      <c r="W195" s="30">
        <f>VLOOKUP($B195,Hitters!$A1:$R401,14,FALSE)</f>
        <v>72.900000000000006</v>
      </c>
      <c r="X195" s="30">
        <f>VLOOKUP($B195,Hitters!$A1:$R401,15,FALSE)</f>
        <v>90.2</v>
      </c>
      <c r="Y195" s="32">
        <f>VLOOKUP($B195,Hitters!$A1:$R401,16,FALSE)</f>
        <v>0.379231337767923</v>
      </c>
      <c r="Z195" s="32">
        <f>VLOOKUP($B195,Hitters!$A1:$R401,17,FALSE)</f>
        <v>0.70517773040495402</v>
      </c>
      <c r="AA195" s="30">
        <f>VLOOKUP($B195,Hitters!$A1:$R401,18,FALSE)</f>
        <v>0</v>
      </c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</row>
    <row r="196" spans="1:44" ht="20.100000000000001" customHeight="1">
      <c r="A196" s="24">
        <f ca="1">RANK(I196,I$2:I$651)</f>
        <v>185</v>
      </c>
      <c r="B196" s="25" t="s">
        <v>282</v>
      </c>
      <c r="C196" s="26" t="s">
        <v>219</v>
      </c>
      <c r="D196" s="26" t="s">
        <v>75</v>
      </c>
      <c r="E196" s="27" t="s">
        <v>23</v>
      </c>
      <c r="F196" s="28">
        <f ca="1">VLOOKUP(B196,OF!A1:I139,IF(Settings!$J$13="points",4,7),FALSE)</f>
        <v>52</v>
      </c>
      <c r="G196" s="29">
        <f>(M196*Settings!$B$2)+(N196*Settings!$B$3)+(O196*Settings!$B$4)+(P196*Settings!$B$5)+(Q196*Settings!$B$6)+(T196*Settings!$B$9)+(U196*Settings!$B$10)+(V196*Settings!$B$11)+(W196*Settings!$B$12)+(X196*Settings!$B$13)+(AA196*Settings!$B$16)</f>
        <v>357.66666666666674</v>
      </c>
      <c r="H196" s="30">
        <f>VLOOKUP(B196,'Standard Deviations'!$A1:$D651,4,FALSE)</f>
        <v>0.94078073392239037</v>
      </c>
      <c r="I196" s="31">
        <f ca="1">VLOOKUP(B196,OF!A1:I139,IF(Settings!$J$13="points",6,9),FALSE)</f>
        <v>0.82206442008195535</v>
      </c>
      <c r="J196" s="30"/>
      <c r="K196" s="30">
        <f ca="1">J196-A196</f>
        <v>-185</v>
      </c>
      <c r="L196" s="30"/>
      <c r="M196" s="30">
        <f>VLOOKUP($B196,Hitters!$A1:$R401,4,FALSE)</f>
        <v>447.33333333333297</v>
      </c>
      <c r="N196" s="30">
        <f>VLOOKUP($B196,Hitters!$A1:$R401,5,FALSE)</f>
        <v>63.1666666666667</v>
      </c>
      <c r="O196" s="30">
        <f>VLOOKUP($B196,Hitters!$A1:$R401,6,FALSE)</f>
        <v>17.466666666666701</v>
      </c>
      <c r="P196" s="30">
        <f>VLOOKUP($B196,Hitters!$A1:$R401,7,FALSE)</f>
        <v>63.3</v>
      </c>
      <c r="Q196" s="30">
        <f>VLOOKUP($B196,Hitters!$A1:$R401,8,FALSE)</f>
        <v>2.6333333333333302</v>
      </c>
      <c r="R196" s="32">
        <f>VLOOKUP($B196,Hitters!$A1:$R401,9,FALSE)</f>
        <v>0.249552906110283</v>
      </c>
      <c r="S196" s="32">
        <f>VLOOKUP($B196,Hitters!$A1:$R401,10,FALSE)</f>
        <v>0.33308935969991199</v>
      </c>
      <c r="T196" s="30">
        <f>VLOOKUP($B196,Hitters!$A1:$R401,11,FALSE)</f>
        <v>111.633333333333</v>
      </c>
      <c r="U196" s="30">
        <f>VLOOKUP($B196,Hitters!$A1:$R401,12,FALSE)</f>
        <v>21.266666666666701</v>
      </c>
      <c r="V196" s="30">
        <f>VLOOKUP($B196,Hitters!$A1:$R401,13,FALSE)</f>
        <v>1.06666666666667</v>
      </c>
      <c r="W196" s="30">
        <f>VLOOKUP($B196,Hitters!$A1:$R401,14,FALSE)</f>
        <v>58.266666666666701</v>
      </c>
      <c r="X196" s="30">
        <f>VLOOKUP($B196,Hitters!$A1:$R401,15,FALSE)</f>
        <v>119.133333333333</v>
      </c>
      <c r="Y196" s="32">
        <f>VLOOKUP($B196,Hitters!$A1:$R401,16,FALSE)</f>
        <v>0.41900149031296602</v>
      </c>
      <c r="Z196" s="32">
        <f>VLOOKUP($B196,Hitters!$A1:$R401,17,FALSE)</f>
        <v>0.75209085001287801</v>
      </c>
      <c r="AA196" s="30">
        <f>VLOOKUP($B196,Hitters!$A1:$R401,18,FALSE)</f>
        <v>0</v>
      </c>
      <c r="AB196" s="30"/>
      <c r="AC196" s="30"/>
      <c r="AD196" s="32"/>
      <c r="AE196" s="32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</row>
    <row r="197" spans="1:44" ht="18.600000000000001" customHeight="1">
      <c r="A197" s="24">
        <f ca="1">RANK(I197,I$2:I$651)</f>
        <v>83</v>
      </c>
      <c r="B197" s="25" t="s">
        <v>176</v>
      </c>
      <c r="C197" s="26" t="s">
        <v>99</v>
      </c>
      <c r="D197" s="26" t="s">
        <v>75</v>
      </c>
      <c r="E197" s="41" t="s">
        <v>34</v>
      </c>
      <c r="F197" s="42">
        <f ca="1">VLOOKUP(B197,RP!A1:I91,IF(Settings!$J$13="points",4,7),FALSE)</f>
        <v>5</v>
      </c>
      <c r="G197" s="29">
        <f>(AC197*Settings!$F$2)+(AF197*Settings!$F$5)+(AG197*Settings!$F$6)+(AH197*Settings!$F$7)+(AI197*Settings!$F$8)+(AJ197*Settings!$F$9)+(AK197*Settings!$F$10)+(AL197*Settings!$F$11)+(AM197*Settings!$F$12)+(AN197*Settings!$F$13)+(AO197*Settings!$F$14)+(AP197*Settings!$F$15)+(AQ197*Settings!$F$16)+(AR197*Settings!$F$17)</f>
        <v>357.33333333333337</v>
      </c>
      <c r="H197" s="30">
        <f>VLOOKUP(B197,'Standard Deviations'!$A1:$D651,4,FALSE)</f>
        <v>5.0596988032413064</v>
      </c>
      <c r="I197" s="31">
        <f ca="1">IF(Settings!$J$16="no",VLOOKUP(B197,RP!A1:I91,IF(Settings!$J$13="points",6,9),FALSE),VLOOKUP(B197,'SP+RP'!$A1:$I251,IF(Settings!$J$13="points",6,9),FALSE))</f>
        <v>3.488633070593866</v>
      </c>
      <c r="J197" s="30"/>
      <c r="K197" s="30">
        <f ca="1">J197-A197</f>
        <v>-83</v>
      </c>
      <c r="L197" s="30"/>
      <c r="M197" s="30"/>
      <c r="N197" s="30"/>
      <c r="O197" s="30"/>
      <c r="P197" s="30"/>
      <c r="Q197" s="30"/>
      <c r="R197" s="32"/>
      <c r="S197" s="32"/>
      <c r="T197" s="30"/>
      <c r="U197" s="30"/>
      <c r="V197" s="30"/>
      <c r="W197" s="30"/>
      <c r="X197" s="30"/>
      <c r="Y197" s="32"/>
      <c r="Z197" s="32"/>
      <c r="AA197" s="30"/>
      <c r="AB197" s="30"/>
      <c r="AC197" s="30">
        <f>VLOOKUP($B197,Pitchers!$A1:$S251,4,FALSE)</f>
        <v>62.433333333333337</v>
      </c>
      <c r="AD197" s="32">
        <f>VLOOKUP($B197,Pitchers!$A1:$S251,5,FALSE)</f>
        <v>2.5899626268019218</v>
      </c>
      <c r="AE197" s="32">
        <f>VLOOKUP($B197,Pitchers!$A1:$S251,6,FALSE)</f>
        <v>1.1270688734650294</v>
      </c>
      <c r="AF197" s="30">
        <f>VLOOKUP($B197,Pitchers!$A1:$S251,7,FALSE)</f>
        <v>91.066666666666663</v>
      </c>
      <c r="AG197" s="30">
        <f>VLOOKUP($B197,Pitchers!$A1:$S251,8,FALSE)</f>
        <v>3.5</v>
      </c>
      <c r="AH197" s="30">
        <f>VLOOKUP($B197,Pitchers!$A1:$S251,9,FALSE)</f>
        <v>29</v>
      </c>
      <c r="AI197" s="30">
        <f>VLOOKUP($B197,Pitchers!$A1:$S251,10,FALSE)</f>
        <v>17.966666666666665</v>
      </c>
      <c r="AJ197" s="30">
        <f>VLOOKUP($B197,Pitchers!$A1:$S251,11,FALSE)</f>
        <v>41.800000000000004</v>
      </c>
      <c r="AK197" s="30">
        <f>VLOOKUP($B197,Pitchers!$A1:$S251,12,FALSE)</f>
        <v>28.566666666666666</v>
      </c>
      <c r="AL197" s="30">
        <f>VLOOKUP($B197,Pitchers!$A1:$S251,13,FALSE)</f>
        <v>6</v>
      </c>
      <c r="AM197" s="30">
        <f>VLOOKUP($B197,Pitchers!$A1:$S251,14,FALSE)</f>
        <v>63.6</v>
      </c>
      <c r="AN197" s="30">
        <f>VLOOKUP($B197,Pitchers!$A1:$S251,15,FALSE)</f>
        <v>0</v>
      </c>
      <c r="AO197" s="30">
        <f>VLOOKUP($B197,Pitchers!$A1:$S251,16,FALSE)</f>
        <v>2.9333333333333336</v>
      </c>
      <c r="AP197" s="30">
        <f>VLOOKUP($B197,Pitchers!$A1:$S251,17,FALSE)</f>
        <v>0</v>
      </c>
      <c r="AQ197" s="30">
        <f>VLOOKUP($B197,Pitchers!$A1:$S251,18,FALSE)</f>
        <v>1.5</v>
      </c>
      <c r="AR197" s="30">
        <f>VLOOKUP($B197,Pitchers!$A1:$S251,19,FALSE)</f>
        <v>8</v>
      </c>
    </row>
    <row r="198" spans="1:44" ht="18.600000000000001" customHeight="1">
      <c r="A198" s="24">
        <f ca="1">RANK(I198,I$2:I$651)</f>
        <v>499</v>
      </c>
      <c r="B198" s="25" t="s">
        <v>595</v>
      </c>
      <c r="C198" s="26" t="s">
        <v>72</v>
      </c>
      <c r="D198" s="26" t="s">
        <v>70</v>
      </c>
      <c r="E198" s="37" t="s">
        <v>27</v>
      </c>
      <c r="F198" s="38">
        <f ca="1">VLOOKUP(B198,SS!A1:I45,IF(Settings!$J$13="points",4,7),FALSE)</f>
        <v>26</v>
      </c>
      <c r="G198" s="29">
        <f>(M198*Settings!$B$2)+(N198*Settings!$B$3)+(O198*Settings!$B$4)+(P198*Settings!$B$5)+(Q198*Settings!$B$6)+(T198*Settings!$B$9)+(U198*Settings!$B$10)+(V198*Settings!$B$11)+(W198*Settings!$B$12)+(X198*Settings!$B$13)+(AA198*Settings!$B$16)</f>
        <v>355.98333333333318</v>
      </c>
      <c r="H198" s="30">
        <f>VLOOKUP(B198,'Standard Deviations'!$A1:$D651,4,FALSE)</f>
        <v>-0.54668892807615999</v>
      </c>
      <c r="I198" s="31">
        <f ca="1">IF(Settings!$J$16="no",VLOOKUP(B198,SS!A1:I45,IF(Settings!$J$13="points",6,9),FALSE),VLOOKUP(B198,'2B+SS'!$A1:$I94,IF(Settings!$J$13="points",6,9),FALSE))</f>
        <v>-3.5511160603012968</v>
      </c>
      <c r="J198" s="30"/>
      <c r="K198" s="30">
        <f ca="1">J198-A198</f>
        <v>-499</v>
      </c>
      <c r="L198" s="30"/>
      <c r="M198" s="30">
        <f>VLOOKUP($B198,Hitters!$A1:$R401,4,FALSE)</f>
        <v>509</v>
      </c>
      <c r="N198" s="30">
        <f>VLOOKUP($B198,Hitters!$A1:$R401,5,FALSE)</f>
        <v>62</v>
      </c>
      <c r="O198" s="30">
        <f>VLOOKUP($B198,Hitters!$A1:$R401,6,FALSE)</f>
        <v>7.1333333333333302</v>
      </c>
      <c r="P198" s="30">
        <f>VLOOKUP($B198,Hitters!$A1:$R401,7,FALSE)</f>
        <v>47.933333333333302</v>
      </c>
      <c r="Q198" s="30">
        <f>VLOOKUP($B198,Hitters!$A1:$R401,8,FALSE)</f>
        <v>5.1666666666666696</v>
      </c>
      <c r="R198" s="32">
        <f>VLOOKUP($B198,Hitters!$A1:$R401,9,FALSE)</f>
        <v>0.25343811394891902</v>
      </c>
      <c r="S198" s="32">
        <f>VLOOKUP($B198,Hitters!$A1:$R401,10,FALSE)</f>
        <v>0.32890494751578597</v>
      </c>
      <c r="T198" s="30">
        <f>VLOOKUP($B198,Hitters!$A1:$R401,11,FALSE)</f>
        <v>129</v>
      </c>
      <c r="U198" s="30">
        <f>VLOOKUP($B198,Hitters!$A1:$R401,12,FALSE)</f>
        <v>27.033333333333299</v>
      </c>
      <c r="V198" s="30">
        <f>VLOOKUP($B198,Hitters!$A1:$R401,13,FALSE)</f>
        <v>2.2999999999999998</v>
      </c>
      <c r="W198" s="30">
        <f>VLOOKUP($B198,Hitters!$A1:$R401,14,FALSE)</f>
        <v>59.733333333333299</v>
      </c>
      <c r="X198" s="30">
        <f>VLOOKUP($B198,Hitters!$A1:$R401,15,FALSE)</f>
        <v>85.033333333333303</v>
      </c>
      <c r="Y198" s="32">
        <f>VLOOKUP($B198,Hitters!$A1:$R401,16,FALSE)</f>
        <v>0.35762933857236401</v>
      </c>
      <c r="Z198" s="32">
        <f>VLOOKUP($B198,Hitters!$A1:$R401,17,FALSE)</f>
        <v>0.68653428608815004</v>
      </c>
      <c r="AA198" s="30">
        <f>VLOOKUP($B198,Hitters!$A1:$R401,18,FALSE)</f>
        <v>0</v>
      </c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</row>
    <row r="199" spans="1:44" ht="18.600000000000001" customHeight="1">
      <c r="A199" s="24">
        <f ca="1">RANK(I199,I$2:I$651)</f>
        <v>162</v>
      </c>
      <c r="B199" s="25" t="s">
        <v>258</v>
      </c>
      <c r="C199" s="26" t="s">
        <v>105</v>
      </c>
      <c r="D199" s="26" t="s">
        <v>70</v>
      </c>
      <c r="E199" s="41" t="s">
        <v>34</v>
      </c>
      <c r="F199" s="42">
        <f ca="1">VLOOKUP(B199,RP!A1:I91,IF(Settings!$J$13="points",4,7),FALSE)</f>
        <v>14</v>
      </c>
      <c r="G199" s="29">
        <f>(AC199*Settings!$F$2)+(AF199*Settings!$F$5)+(AG199*Settings!$F$6)+(AH199*Settings!$F$7)+(AI199*Settings!$F$8)+(AJ199*Settings!$F$9)+(AK199*Settings!$F$10)+(AL199*Settings!$F$11)+(AM199*Settings!$F$12)+(AN199*Settings!$F$13)+(AO199*Settings!$F$14)+(AP199*Settings!$F$15)+(AQ199*Settings!$F$16)+(AR199*Settings!$F$17)</f>
        <v>355.93333333333334</v>
      </c>
      <c r="H199" s="30">
        <f>VLOOKUP(B199,'Standard Deviations'!$A1:$D651,4,FALSE)</f>
        <v>2.8002175668023739</v>
      </c>
      <c r="I199" s="31">
        <f ca="1">IF(Settings!$J$16="no",VLOOKUP(B199,RP!A1:I91,IF(Settings!$J$13="points",6,9),FALSE),VLOOKUP(B199,'SP+RP'!$A1:$I251,IF(Settings!$J$13="points",6,9),FALSE))</f>
        <v>1.2291501484612672</v>
      </c>
      <c r="J199" s="30"/>
      <c r="K199" s="30">
        <f ca="1">J199-A199</f>
        <v>-162</v>
      </c>
      <c r="L199" s="30"/>
      <c r="M199" s="30"/>
      <c r="N199" s="30"/>
      <c r="O199" s="30"/>
      <c r="P199" s="30"/>
      <c r="Q199" s="30"/>
      <c r="R199" s="32"/>
      <c r="S199" s="32"/>
      <c r="T199" s="30"/>
      <c r="U199" s="30"/>
      <c r="V199" s="30"/>
      <c r="W199" s="30"/>
      <c r="X199" s="30"/>
      <c r="Y199" s="32"/>
      <c r="Z199" s="32"/>
      <c r="AA199" s="30"/>
      <c r="AB199" s="30"/>
      <c r="AC199" s="30">
        <f>VLOOKUP($B199,Pitchers!$A1:$S251,4,FALSE)</f>
        <v>63.566666666666663</v>
      </c>
      <c r="AD199" s="32">
        <f>VLOOKUP($B199,Pitchers!$A1:$S251,5,FALSE)</f>
        <v>3.5867855270057682</v>
      </c>
      <c r="AE199" s="32">
        <f>VLOOKUP($B199,Pitchers!$A1:$S251,6,FALSE)</f>
        <v>1.1620346093340328</v>
      </c>
      <c r="AF199" s="30">
        <f>VLOOKUP($B199,Pitchers!$A1:$S251,7,FALSE)</f>
        <v>77.13333333333334</v>
      </c>
      <c r="AG199" s="30">
        <f>VLOOKUP($B199,Pitchers!$A1:$S251,8,FALSE)</f>
        <v>3.7666666666666671</v>
      </c>
      <c r="AH199" s="30">
        <f>VLOOKUP($B199,Pitchers!$A1:$S251,9,FALSE)</f>
        <v>30.666666666666668</v>
      </c>
      <c r="AI199" s="30">
        <f>VLOOKUP($B199,Pitchers!$A1:$S251,10,FALSE)</f>
        <v>25.333333333333332</v>
      </c>
      <c r="AJ199" s="30">
        <f>VLOOKUP($B199,Pitchers!$A1:$S251,11,FALSE)</f>
        <v>48.766666666666673</v>
      </c>
      <c r="AK199" s="30">
        <f>VLOOKUP($B199,Pitchers!$A1:$S251,12,FALSE)</f>
        <v>25.099999999999998</v>
      </c>
      <c r="AL199" s="30">
        <f>VLOOKUP($B199,Pitchers!$A1:$S251,13,FALSE)</f>
        <v>8</v>
      </c>
      <c r="AM199" s="30">
        <f>VLOOKUP($B199,Pitchers!$A1:$S251,14,FALSE)</f>
        <v>64.933333333333337</v>
      </c>
      <c r="AN199" s="30">
        <f>VLOOKUP($B199,Pitchers!$A1:$S251,15,FALSE)</f>
        <v>0</v>
      </c>
      <c r="AO199" s="30">
        <f>VLOOKUP($B199,Pitchers!$A1:$S251,16,FALSE)</f>
        <v>3.0333333333333332</v>
      </c>
      <c r="AP199" s="30">
        <f>VLOOKUP($B199,Pitchers!$A1:$S251,17,FALSE)</f>
        <v>0</v>
      </c>
      <c r="AQ199" s="30">
        <f>VLOOKUP($B199,Pitchers!$A1:$S251,18,FALSE)</f>
        <v>1.5</v>
      </c>
      <c r="AR199" s="30">
        <f>VLOOKUP($B199,Pitchers!$A1:$S251,19,FALSE)</f>
        <v>4</v>
      </c>
    </row>
    <row r="200" spans="1:44" ht="18.600000000000001" customHeight="1">
      <c r="A200" s="24">
        <f ca="1">RANK(I200,I$2:I$651)</f>
        <v>193</v>
      </c>
      <c r="B200" s="25" t="s">
        <v>290</v>
      </c>
      <c r="C200" s="26" t="s">
        <v>64</v>
      </c>
      <c r="D200" s="26" t="s">
        <v>75</v>
      </c>
      <c r="E200" s="27" t="s">
        <v>23</v>
      </c>
      <c r="F200" s="28">
        <f ca="1">VLOOKUP(B200,OF!A1:I139,IF(Settings!$J$13="points",4,7),FALSE)</f>
        <v>54</v>
      </c>
      <c r="G200" s="29">
        <f>(M200*Settings!$B$2)+(N200*Settings!$B$3)+(O200*Settings!$B$4)+(P200*Settings!$B$5)+(Q200*Settings!$B$6)+(T200*Settings!$B$9)+(U200*Settings!$B$10)+(V200*Settings!$B$11)+(W200*Settings!$B$12)+(X200*Settings!$B$13)+(AA200*Settings!$B$16)</f>
        <v>355.74999999999966</v>
      </c>
      <c r="H200" s="30">
        <f>VLOOKUP(B200,'Standard Deviations'!$A1:$D651,4,FALSE)</f>
        <v>0.75129350695301134</v>
      </c>
      <c r="I200" s="31">
        <f ca="1">VLOOKUP(B200,OF!A1:I139,IF(Settings!$J$13="points",6,9),FALSE)</f>
        <v>0.63257496361918164</v>
      </c>
      <c r="J200" s="30"/>
      <c r="K200" s="30">
        <f ca="1">J200-A200</f>
        <v>-193</v>
      </c>
      <c r="L200" s="30"/>
      <c r="M200" s="30">
        <f>VLOOKUP($B200,Hitters!$A1:$R401,4,FALSE)</f>
        <v>455.66666666666703</v>
      </c>
      <c r="N200" s="30">
        <f>VLOOKUP($B200,Hitters!$A1:$R401,5,FALSE)</f>
        <v>64.933333333333294</v>
      </c>
      <c r="O200" s="30">
        <f>VLOOKUP($B200,Hitters!$A1:$R401,6,FALSE)</f>
        <v>17.733333333333299</v>
      </c>
      <c r="P200" s="30">
        <f>VLOOKUP($B200,Hitters!$A1:$R401,7,FALSE)</f>
        <v>57.566666666666698</v>
      </c>
      <c r="Q200" s="30">
        <f>VLOOKUP($B200,Hitters!$A1:$R401,8,FALSE)</f>
        <v>11.4</v>
      </c>
      <c r="R200" s="32">
        <f>VLOOKUP($B200,Hitters!$A1:$R401,9,FALSE)</f>
        <v>0.221726408193124</v>
      </c>
      <c r="S200" s="32">
        <f>VLOOKUP($B200,Hitters!$A1:$R401,10,FALSE)</f>
        <v>0.30607842253376</v>
      </c>
      <c r="T200" s="30">
        <f>VLOOKUP($B200,Hitters!$A1:$R401,11,FALSE)</f>
        <v>101.033333333333</v>
      </c>
      <c r="U200" s="30">
        <f>VLOOKUP($B200,Hitters!$A1:$R401,12,FALSE)</f>
        <v>21.1</v>
      </c>
      <c r="V200" s="30">
        <f>VLOOKUP($B200,Hitters!$A1:$R401,13,FALSE)</f>
        <v>2.3333333333333299</v>
      </c>
      <c r="W200" s="30">
        <f>VLOOKUP($B200,Hitters!$A1:$R401,14,FALSE)</f>
        <v>57.4</v>
      </c>
      <c r="X200" s="30">
        <f>VLOOKUP($B200,Hitters!$A1:$R401,15,FALSE)</f>
        <v>136.23333333333301</v>
      </c>
      <c r="Y200" s="32">
        <f>VLOOKUP($B200,Hitters!$A1:$R401,16,FALSE)</f>
        <v>0.39502560351133897</v>
      </c>
      <c r="Z200" s="32">
        <f>VLOOKUP($B200,Hitters!$A1:$R401,17,FALSE)</f>
        <v>0.70110402604509903</v>
      </c>
      <c r="AA200" s="30">
        <f>VLOOKUP($B200,Hitters!$A1:$R401,18,FALSE)</f>
        <v>0</v>
      </c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</row>
    <row r="201" spans="1:44" ht="18.600000000000001" customHeight="1">
      <c r="A201" s="24">
        <f ca="1">RANK(I201,I$2:I$651)</f>
        <v>259</v>
      </c>
      <c r="B201" s="25" t="s">
        <v>357</v>
      </c>
      <c r="C201" s="26" t="s">
        <v>178</v>
      </c>
      <c r="D201" s="26" t="s">
        <v>75</v>
      </c>
      <c r="E201" s="37" t="s">
        <v>27</v>
      </c>
      <c r="F201" s="38">
        <f ca="1">VLOOKUP(B201,SS!A1:I45,IF(Settings!$J$13="points",4,7),FALSE)</f>
        <v>19</v>
      </c>
      <c r="G201" s="29">
        <f>(M201*Settings!$B$2)+(N201*Settings!$B$3)+(O201*Settings!$B$4)+(P201*Settings!$B$5)+(Q201*Settings!$B$6)+(T201*Settings!$B$9)+(U201*Settings!$B$10)+(V201*Settings!$B$11)+(W201*Settings!$B$12)+(X201*Settings!$B$13)+(AA201*Settings!$B$16)</f>
        <v>355.05000000000024</v>
      </c>
      <c r="H201" s="30">
        <f>VLOOKUP(B201,'Standard Deviations'!$A1:$D651,4,FALSE)</f>
        <v>2.7637246279237559</v>
      </c>
      <c r="I201" s="31">
        <f ca="1">IF(Settings!$J$16="no",VLOOKUP(B201,SS!A1:I45,IF(Settings!$J$13="points",6,9),FALSE),VLOOKUP(B201,'2B+SS'!$A1:$I94,IF(Settings!$J$13="points",6,9),FALSE))</f>
        <v>-0.24069977914214435</v>
      </c>
      <c r="J201" s="30"/>
      <c r="K201" s="30">
        <f ca="1">J201-A201</f>
        <v>-259</v>
      </c>
      <c r="L201" s="30"/>
      <c r="M201" s="30">
        <f>VLOOKUP($B201,Hitters!$A1:$R401,4,FALSE)</f>
        <v>452.33333333333297</v>
      </c>
      <c r="N201" s="30">
        <f>VLOOKUP($B201,Hitters!$A1:$R401,5,FALSE)</f>
        <v>60.566666666666698</v>
      </c>
      <c r="O201" s="30">
        <f>VLOOKUP($B201,Hitters!$A1:$R401,6,FALSE)</f>
        <v>14.4</v>
      </c>
      <c r="P201" s="30">
        <f>VLOOKUP($B201,Hitters!$A1:$R401,7,FALSE)</f>
        <v>55.1</v>
      </c>
      <c r="Q201" s="30">
        <f>VLOOKUP($B201,Hitters!$A1:$R401,8,FALSE)</f>
        <v>11.9333333333333</v>
      </c>
      <c r="R201" s="32">
        <f>VLOOKUP($B201,Hitters!$A1:$R401,9,FALSE)</f>
        <v>0.276271186440678</v>
      </c>
      <c r="S201" s="32">
        <f>VLOOKUP($B201,Hitters!$A1:$R401,10,FALSE)</f>
        <v>0.31412097790820198</v>
      </c>
      <c r="T201" s="30">
        <f>VLOOKUP($B201,Hitters!$A1:$R401,11,FALSE)</f>
        <v>124.966666666667</v>
      </c>
      <c r="U201" s="30">
        <f>VLOOKUP($B201,Hitters!$A1:$R401,12,FALSE)</f>
        <v>21.4</v>
      </c>
      <c r="V201" s="30">
        <f>VLOOKUP($B201,Hitters!$A1:$R401,13,FALSE)</f>
        <v>2.56666666666667</v>
      </c>
      <c r="W201" s="30">
        <f>VLOOKUP($B201,Hitters!$A1:$R401,14,FALSE)</f>
        <v>27.033333333333299</v>
      </c>
      <c r="X201" s="30">
        <f>VLOOKUP($B201,Hitters!$A1:$R401,15,FALSE)</f>
        <v>89.1666666666667</v>
      </c>
      <c r="Y201" s="32">
        <f>VLOOKUP($B201,Hitters!$A1:$R401,16,FALSE)</f>
        <v>0.430434782608696</v>
      </c>
      <c r="Z201" s="32">
        <f>VLOOKUP($B201,Hitters!$A1:$R401,17,FALSE)</f>
        <v>0.74455576051689798</v>
      </c>
      <c r="AA201" s="30">
        <f>VLOOKUP($B201,Hitters!$A1:$R401,18,FALSE)</f>
        <v>0</v>
      </c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</row>
    <row r="202" spans="1:44" ht="18.600000000000001" customHeight="1">
      <c r="A202" s="24">
        <f ca="1">RANK(I202,I$2:I$651)</f>
        <v>216</v>
      </c>
      <c r="B202" s="25" t="s">
        <v>314</v>
      </c>
      <c r="C202" s="26" t="s">
        <v>260</v>
      </c>
      <c r="D202" s="26" t="s">
        <v>70</v>
      </c>
      <c r="E202" s="27" t="s">
        <v>23</v>
      </c>
      <c r="F202" s="28">
        <f ca="1">VLOOKUP(B202,OF!A1:I139,IF(Settings!$J$13="points",4,7),FALSE)</f>
        <v>63</v>
      </c>
      <c r="G202" s="29">
        <f>(M202*Settings!$B$2)+(N202*Settings!$B$3)+(O202*Settings!$B$4)+(P202*Settings!$B$5)+(Q202*Settings!$B$6)+(T202*Settings!$B$9)+(U202*Settings!$B$10)+(V202*Settings!$B$11)+(W202*Settings!$B$12)+(X202*Settings!$B$13)+(AA202*Settings!$B$16)</f>
        <v>354.81666666666678</v>
      </c>
      <c r="H202" s="30">
        <f>VLOOKUP(B202,'Standard Deviations'!$A1:$D651,4,FALSE)</f>
        <v>0.37470618331922323</v>
      </c>
      <c r="I202" s="31">
        <f ca="1">VLOOKUP(B202,OF!A1:I139,IF(Settings!$J$13="points",6,9),FALSE)</f>
        <v>0.25598864714400099</v>
      </c>
      <c r="J202" s="30"/>
      <c r="K202" s="30">
        <f ca="1">J202-A202</f>
        <v>-216</v>
      </c>
      <c r="L202" s="30"/>
      <c r="M202" s="30">
        <f>VLOOKUP($B202,Hitters!$A1:$R401,4,FALSE)</f>
        <v>444.66666666666703</v>
      </c>
      <c r="N202" s="30">
        <f>VLOOKUP($B202,Hitters!$A1:$R401,5,FALSE)</f>
        <v>60.5</v>
      </c>
      <c r="O202" s="30">
        <f>VLOOKUP($B202,Hitters!$A1:$R401,6,FALSE)</f>
        <v>16.266666666666701</v>
      </c>
      <c r="P202" s="30">
        <f>VLOOKUP($B202,Hitters!$A1:$R401,7,FALSE)</f>
        <v>59.633333333333297</v>
      </c>
      <c r="Q202" s="30">
        <f>VLOOKUP($B202,Hitters!$A1:$R401,8,FALSE)</f>
        <v>4.3333333333333304</v>
      </c>
      <c r="R202" s="32">
        <f>VLOOKUP($B202,Hitters!$A1:$R401,9,FALSE)</f>
        <v>0.24175412293853099</v>
      </c>
      <c r="S202" s="32">
        <f>VLOOKUP($B202,Hitters!$A1:$R401,10,FALSE)</f>
        <v>0.31404781665818898</v>
      </c>
      <c r="T202" s="30">
        <f>VLOOKUP($B202,Hitters!$A1:$R401,11,FALSE)</f>
        <v>107.5</v>
      </c>
      <c r="U202" s="30">
        <f>VLOOKUP($B202,Hitters!$A1:$R401,12,FALSE)</f>
        <v>22.066666666666698</v>
      </c>
      <c r="V202" s="30">
        <f>VLOOKUP($B202,Hitters!$A1:$R401,13,FALSE)</f>
        <v>3.3</v>
      </c>
      <c r="W202" s="30">
        <f>VLOOKUP($B202,Hitters!$A1:$R401,14,FALSE)</f>
        <v>48.9</v>
      </c>
      <c r="X202" s="30">
        <f>VLOOKUP($B202,Hitters!$A1:$R401,15,FALSE)</f>
        <v>98.966666666666697</v>
      </c>
      <c r="Y202" s="32">
        <f>VLOOKUP($B202,Hitters!$A1:$R401,16,FALSE)</f>
        <v>0.41596701649175399</v>
      </c>
      <c r="Z202" s="32">
        <f>VLOOKUP($B202,Hitters!$A1:$R401,17,FALSE)</f>
        <v>0.73001483314994298</v>
      </c>
      <c r="AA202" s="30">
        <f>VLOOKUP($B202,Hitters!$A1:$R401,18,FALSE)</f>
        <v>0</v>
      </c>
      <c r="AB202" s="30"/>
      <c r="AC202" s="30"/>
      <c r="AD202" s="32"/>
      <c r="AE202" s="32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</row>
    <row r="203" spans="1:44" ht="18.600000000000001" customHeight="1">
      <c r="A203" s="24">
        <f ca="1">RANK(I203,I$2:I$651)</f>
        <v>214</v>
      </c>
      <c r="B203" s="25" t="s">
        <v>311</v>
      </c>
      <c r="C203" s="26" t="s">
        <v>99</v>
      </c>
      <c r="D203" s="26" t="s">
        <v>75</v>
      </c>
      <c r="E203" s="27" t="s">
        <v>23</v>
      </c>
      <c r="F203" s="28">
        <f ca="1">VLOOKUP(B203,OF!A1:I139,IF(Settings!$J$13="points",4,7),FALSE)</f>
        <v>62</v>
      </c>
      <c r="G203" s="29">
        <f>(M203*Settings!$B$2)+(N203*Settings!$B$3)+(O203*Settings!$B$4)+(P203*Settings!$B$5)+(Q203*Settings!$B$6)+(T203*Settings!$B$9)+(U203*Settings!$B$10)+(V203*Settings!$B$11)+(W203*Settings!$B$12)+(X203*Settings!$B$13)+(AA203*Settings!$B$16)</f>
        <v>354.13333333333333</v>
      </c>
      <c r="H203" s="30">
        <f>VLOOKUP(B203,'Standard Deviations'!$A1:$D651,4,FALSE)</f>
        <v>0.42171321141214124</v>
      </c>
      <c r="I203" s="31">
        <f ca="1">VLOOKUP(B203,OF!A1:I139,IF(Settings!$J$13="points",6,9),FALSE)</f>
        <v>0.30299554920146515</v>
      </c>
      <c r="J203" s="30"/>
      <c r="K203" s="30">
        <f ca="1">J203-A203</f>
        <v>-214</v>
      </c>
      <c r="L203" s="30"/>
      <c r="M203" s="30">
        <f>VLOOKUP($B203,Hitters!$A1:$R401,4,FALSE)</f>
        <v>410.66666666666703</v>
      </c>
      <c r="N203" s="30">
        <f>VLOOKUP($B203,Hitters!$A1:$R401,5,FALSE)</f>
        <v>60.533333333333303</v>
      </c>
      <c r="O203" s="30">
        <f>VLOOKUP($B203,Hitters!$A1:$R401,6,FALSE)</f>
        <v>17.100000000000001</v>
      </c>
      <c r="P203" s="30">
        <f>VLOOKUP($B203,Hitters!$A1:$R401,7,FALSE)</f>
        <v>56.933333333333302</v>
      </c>
      <c r="Q203" s="30">
        <f>VLOOKUP($B203,Hitters!$A1:$R401,8,FALSE)</f>
        <v>0.96666666666666701</v>
      </c>
      <c r="R203" s="32">
        <f>VLOOKUP($B203,Hitters!$A1:$R401,9,FALSE)</f>
        <v>0.25349025974026002</v>
      </c>
      <c r="S203" s="32">
        <f>VLOOKUP($B203,Hitters!$A1:$R401,10,FALSE)</f>
        <v>0.35137655541018298</v>
      </c>
      <c r="T203" s="30">
        <f>VLOOKUP($B203,Hitters!$A1:$R401,11,FALSE)</f>
        <v>104.1</v>
      </c>
      <c r="U203" s="30">
        <f>VLOOKUP($B203,Hitters!$A1:$R401,12,FALSE)</f>
        <v>20.966666666666701</v>
      </c>
      <c r="V203" s="30">
        <f>VLOOKUP($B203,Hitters!$A1:$R401,13,FALSE)</f>
        <v>0.56666666666666698</v>
      </c>
      <c r="W203" s="30">
        <f>VLOOKUP($B203,Hitters!$A1:$R401,14,FALSE)</f>
        <v>64.2</v>
      </c>
      <c r="X203" s="30">
        <f>VLOOKUP($B203,Hitters!$A1:$R401,15,FALSE)</f>
        <v>91.2</v>
      </c>
      <c r="Y203" s="32">
        <f>VLOOKUP($B203,Hitters!$A1:$R401,16,FALSE)</f>
        <v>0.43222402597402598</v>
      </c>
      <c r="Z203" s="32">
        <f>VLOOKUP($B203,Hitters!$A1:$R401,17,FALSE)</f>
        <v>0.78360058138420896</v>
      </c>
      <c r="AA203" s="30">
        <f>VLOOKUP($B203,Hitters!$A1:$R401,18,FALSE)</f>
        <v>0</v>
      </c>
      <c r="AB203" s="30"/>
      <c r="AC203" s="30"/>
      <c r="AD203" s="32"/>
      <c r="AE203" s="32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</row>
    <row r="204" spans="1:44" ht="18.600000000000001" customHeight="1">
      <c r="A204" s="24">
        <f ca="1">RANK(I204,I$2:I$651)</f>
        <v>156</v>
      </c>
      <c r="B204" s="25" t="s">
        <v>252</v>
      </c>
      <c r="C204" s="26" t="s">
        <v>142</v>
      </c>
      <c r="D204" s="26" t="s">
        <v>70</v>
      </c>
      <c r="E204" s="27" t="s">
        <v>23</v>
      </c>
      <c r="F204" s="28">
        <f ca="1">VLOOKUP(B204,OF!A1:I139,IF(Settings!$J$13="points",4,7),FALSE)</f>
        <v>46</v>
      </c>
      <c r="G204" s="29">
        <f>(M204*Settings!$B$2)+(N204*Settings!$B$3)+(O204*Settings!$B$4)+(P204*Settings!$B$5)+(Q204*Settings!$B$6)+(T204*Settings!$B$9)+(U204*Settings!$B$10)+(V204*Settings!$B$11)+(W204*Settings!$B$12)+(X204*Settings!$B$13)+(AA204*Settings!$B$16)</f>
        <v>353.89999999999941</v>
      </c>
      <c r="H204" s="30">
        <f>VLOOKUP(B204,'Standard Deviations'!$A1:$D651,4,FALSE)</f>
        <v>1.4879561525249265</v>
      </c>
      <c r="I204" s="31">
        <f ca="1">VLOOKUP(B204,OF!A1:I139,IF(Settings!$J$13="points",6,9),FALSE)</f>
        <v>1.3692365458981313</v>
      </c>
      <c r="J204" s="30"/>
      <c r="K204" s="30">
        <f ca="1">J204-A204</f>
        <v>-156</v>
      </c>
      <c r="L204" s="30"/>
      <c r="M204" s="30">
        <f>VLOOKUP($B204,Hitters!$A1:$R401,4,FALSE)</f>
        <v>474.33333333333297</v>
      </c>
      <c r="N204" s="30">
        <f>VLOOKUP($B204,Hitters!$A1:$R401,5,FALSE)</f>
        <v>63.2</v>
      </c>
      <c r="O204" s="30">
        <f>VLOOKUP($B204,Hitters!$A1:$R401,6,FALSE)</f>
        <v>17.8333333333333</v>
      </c>
      <c r="P204" s="30">
        <f>VLOOKUP($B204,Hitters!$A1:$R401,7,FALSE)</f>
        <v>56.233333333333299</v>
      </c>
      <c r="Q204" s="30">
        <f>VLOOKUP($B204,Hitters!$A1:$R401,8,FALSE)</f>
        <v>14.366666666666699</v>
      </c>
      <c r="R204" s="32">
        <f>VLOOKUP($B204,Hitters!$A1:$R401,9,FALSE)</f>
        <v>0.23028812368236101</v>
      </c>
      <c r="S204" s="32">
        <f>VLOOKUP($B204,Hitters!$A1:$R401,10,FALSE)</f>
        <v>0.28667313861761701</v>
      </c>
      <c r="T204" s="30">
        <f>VLOOKUP($B204,Hitters!$A1:$R401,11,FALSE)</f>
        <v>109.23333333333299</v>
      </c>
      <c r="U204" s="30">
        <f>VLOOKUP($B204,Hitters!$A1:$R401,12,FALSE)</f>
        <v>25.733333333333299</v>
      </c>
      <c r="V204" s="30">
        <f>VLOOKUP($B204,Hitters!$A1:$R401,13,FALSE)</f>
        <v>1.4</v>
      </c>
      <c r="W204" s="30">
        <f>VLOOKUP($B204,Hitters!$A1:$R401,14,FALSE)</f>
        <v>39.4</v>
      </c>
      <c r="X204" s="30">
        <f>VLOOKUP($B204,Hitters!$A1:$R401,15,FALSE)</f>
        <v>139.80000000000001</v>
      </c>
      <c r="Y204" s="32">
        <f>VLOOKUP($B204,Hitters!$A1:$R401,16,FALSE)</f>
        <v>0.403232607167955</v>
      </c>
      <c r="Z204" s="32">
        <f>VLOOKUP($B204,Hitters!$A1:$R401,17,FALSE)</f>
        <v>0.68990574578557196</v>
      </c>
      <c r="AA204" s="30">
        <f>VLOOKUP($B204,Hitters!$A1:$R401,18,FALSE)</f>
        <v>0</v>
      </c>
      <c r="AB204" s="30"/>
      <c r="AC204" s="30"/>
      <c r="AD204" s="32"/>
      <c r="AE204" s="32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</row>
    <row r="205" spans="1:44" ht="18.600000000000001" customHeight="1">
      <c r="A205" s="24">
        <f ca="1">RANK(I205,I$2:I$651)</f>
        <v>219</v>
      </c>
      <c r="B205" s="25" t="s">
        <v>317</v>
      </c>
      <c r="C205" s="26" t="s">
        <v>219</v>
      </c>
      <c r="D205" s="26" t="s">
        <v>75</v>
      </c>
      <c r="E205" s="47" t="s">
        <v>11</v>
      </c>
      <c r="F205" s="48">
        <f ca="1">VLOOKUP(B205,'2B'!A1:I50,IF(Settings!$J$13="points",4,7),FALSE)</f>
        <v>15</v>
      </c>
      <c r="G205" s="29">
        <f>(M205*Settings!$B$2)+(N205*Settings!$B$3)+(O205*Settings!$B$4)+(P205*Settings!$B$5)+(Q205*Settings!$B$6)+(T205*Settings!$B$9)+(U205*Settings!$B$10)+(V205*Settings!$B$11)+(W205*Settings!$B$12)+(X205*Settings!$B$13)+(AA205*Settings!$B$16)</f>
        <v>353.63333333333327</v>
      </c>
      <c r="H205" s="30">
        <f>VLOOKUP(B205,'Standard Deviations'!$A1:$D651,4,FALSE)</f>
        <v>2.5215785039797103</v>
      </c>
      <c r="I205" s="31">
        <f ca="1">IF(Settings!$J$16="no",VLOOKUP(B205,'2B'!A1:I50,IF(Settings!$J$13="points",6,9),FALSE),VLOOKUP(B205,'2B+SS'!$A1:$I94,IF(Settings!$J$13="points",6,9),FALSE))</f>
        <v>0.21384449329595379</v>
      </c>
      <c r="J205" s="30"/>
      <c r="K205" s="30">
        <f ca="1">J205-A205</f>
        <v>-219</v>
      </c>
      <c r="L205" s="30"/>
      <c r="M205" s="30">
        <f>VLOOKUP($B205,Hitters!$A1:$R401,4,FALSE)</f>
        <v>451.66666666666703</v>
      </c>
      <c r="N205" s="30">
        <f>VLOOKUP($B205,Hitters!$A1:$R401,5,FALSE)</f>
        <v>62.5</v>
      </c>
      <c r="O205" s="30">
        <f>VLOOKUP($B205,Hitters!$A1:$R401,6,FALSE)</f>
        <v>14.033333333333299</v>
      </c>
      <c r="P205" s="30">
        <f>VLOOKUP($B205,Hitters!$A1:$R401,7,FALSE)</f>
        <v>53.866666666666703</v>
      </c>
      <c r="Q205" s="30">
        <f>VLOOKUP($B205,Hitters!$A1:$R401,8,FALSE)</f>
        <v>15.866666666666699</v>
      </c>
      <c r="R205" s="32">
        <f>VLOOKUP($B205,Hitters!$A1:$R401,9,FALSE)</f>
        <v>0.259483394833948</v>
      </c>
      <c r="S205" s="32">
        <f>VLOOKUP($B205,Hitters!$A1:$R401,10,FALSE)</f>
        <v>0.30419759844001198</v>
      </c>
      <c r="T205" s="30">
        <f>VLOOKUP($B205,Hitters!$A1:$R401,11,FALSE)</f>
        <v>117.2</v>
      </c>
      <c r="U205" s="30">
        <f>VLOOKUP($B205,Hitters!$A1:$R401,12,FALSE)</f>
        <v>19.600000000000001</v>
      </c>
      <c r="V205" s="30">
        <f>VLOOKUP($B205,Hitters!$A1:$R401,13,FALSE)</f>
        <v>1.7333333333333301</v>
      </c>
      <c r="W205" s="30">
        <f>VLOOKUP($B205,Hitters!$A1:$R401,14,FALSE)</f>
        <v>31</v>
      </c>
      <c r="X205" s="30">
        <f>VLOOKUP($B205,Hitters!$A1:$R401,15,FALSE)</f>
        <v>86.4</v>
      </c>
      <c r="Y205" s="32">
        <f>VLOOKUP($B205,Hitters!$A1:$R401,16,FALSE)</f>
        <v>0.40376383763837598</v>
      </c>
      <c r="Z205" s="32">
        <f>VLOOKUP($B205,Hitters!$A1:$R401,17,FALSE)</f>
        <v>0.70796143607838902</v>
      </c>
      <c r="AA205" s="30">
        <f>VLOOKUP($B205,Hitters!$A1:$R401,18,FALSE)</f>
        <v>0</v>
      </c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</row>
    <row r="206" spans="1:44" ht="18.600000000000001" customHeight="1">
      <c r="A206" s="24">
        <f ca="1">RANK(I206,I$2:I$651)</f>
        <v>135</v>
      </c>
      <c r="B206" s="25" t="s">
        <v>232</v>
      </c>
      <c r="C206" s="26" t="s">
        <v>82</v>
      </c>
      <c r="D206" s="26" t="s">
        <v>75</v>
      </c>
      <c r="E206" s="35" t="s">
        <v>31</v>
      </c>
      <c r="F206" s="36">
        <f ca="1">VLOOKUP(B206,SP!A1:I161,IF(Settings!$J$13="points",4,7),FALSE)</f>
        <v>41</v>
      </c>
      <c r="G206" s="29">
        <f>(AC206*Settings!$F$2)+(AF206*Settings!$F$5)+(AG206*Settings!$F$6)+(AH206*Settings!$F$7)+(AI206*Settings!$F$8)+(AJ206*Settings!$F$9)+(AK206*Settings!$F$10)+(AL206*Settings!$F$11)+(AM206*Settings!$F$12)+(AN206*Settings!$F$13)+(AO206*Settings!$F$14)+(AP206*Settings!$F$15)+(AQ206*Settings!$F$16)+(AR206*Settings!$F$17)</f>
        <v>353.18799999999993</v>
      </c>
      <c r="H206" s="30">
        <f>VLOOKUP(B206,'Standard Deviations'!$A1:$D651,4,FALSE)</f>
        <v>2.0271659828211788</v>
      </c>
      <c r="I206" s="31">
        <f ca="1">IF(Settings!$J$16="no",VLOOKUP(B206,SP!A1:I161,IF(Settings!$J$13="points",6,9),FALSE),VLOOKUP(B206,'SP+RP'!$A1:$I251,IF(Settings!$J$13="points",6,9),FALSE))</f>
        <v>1.8911782698774768</v>
      </c>
      <c r="J206" s="30"/>
      <c r="K206" s="30">
        <f ca="1">J206-A206</f>
        <v>-135</v>
      </c>
      <c r="L206" s="30"/>
      <c r="M206" s="30"/>
      <c r="N206" s="30"/>
      <c r="O206" s="30"/>
      <c r="P206" s="30"/>
      <c r="Q206" s="30"/>
      <c r="R206" s="32"/>
      <c r="S206" s="32"/>
      <c r="T206" s="30"/>
      <c r="U206" s="30"/>
      <c r="V206" s="30"/>
      <c r="W206" s="30"/>
      <c r="X206" s="30"/>
      <c r="Y206" s="32"/>
      <c r="Z206" s="32"/>
      <c r="AA206" s="30"/>
      <c r="AB206" s="30"/>
      <c r="AC206" s="30">
        <f>VLOOKUP($B206,Pitchers!$A1:$S251,4,FALSE)</f>
        <v>141.23333333333332</v>
      </c>
      <c r="AD206" s="32">
        <f>VLOOKUP($B206,Pitchers!$A1:$S251,5,FALSE)</f>
        <v>3.6277413264101956</v>
      </c>
      <c r="AE206" s="32">
        <f>VLOOKUP($B206,Pitchers!$A1:$S251,6,FALSE)</f>
        <v>1.1569506726457401</v>
      </c>
      <c r="AF206" s="30">
        <f>VLOOKUP($B206,Pitchers!$A1:$S251,7,FALSE)</f>
        <v>134.76666666666668</v>
      </c>
      <c r="AG206" s="30">
        <f>VLOOKUP($B206,Pitchers!$A1:$S251,8,FALSE)</f>
        <v>10.799999999999999</v>
      </c>
      <c r="AH206" s="30">
        <f>VLOOKUP($B206,Pitchers!$A1:$S251,9,FALSE)</f>
        <v>0</v>
      </c>
      <c r="AI206" s="30">
        <f>VLOOKUP($B206,Pitchers!$A1:$S251,10,FALSE)</f>
        <v>56.928666666666665</v>
      </c>
      <c r="AJ206" s="30">
        <f>VLOOKUP($B206,Pitchers!$A1:$S251,11,FALSE)</f>
        <v>117.26666666666667</v>
      </c>
      <c r="AK206" s="30">
        <f>VLOOKUP($B206,Pitchers!$A1:$S251,12,FALSE)</f>
        <v>46.133333333333333</v>
      </c>
      <c r="AL206" s="30">
        <f>VLOOKUP($B206,Pitchers!$A1:$S251,13,FALSE)</f>
        <v>23</v>
      </c>
      <c r="AM206" s="30">
        <f>VLOOKUP($B206,Pitchers!$A1:$S251,14,FALSE)</f>
        <v>26.733333333333334</v>
      </c>
      <c r="AN206" s="30">
        <f>VLOOKUP($B206,Pitchers!$A1:$S251,15,FALSE)</f>
        <v>26.733333333333334</v>
      </c>
      <c r="AO206" s="30">
        <f>VLOOKUP($B206,Pitchers!$A1:$S251,16,FALSE)</f>
        <v>5.833333333333333</v>
      </c>
      <c r="AP206" s="30">
        <f>VLOOKUP($B206,Pitchers!$A1:$S251,17,FALSE)</f>
        <v>12</v>
      </c>
      <c r="AQ206" s="30">
        <f>VLOOKUP($B206,Pitchers!$A1:$S251,18,FALSE)</f>
        <v>0</v>
      </c>
      <c r="AR206" s="30">
        <f>VLOOKUP($B206,Pitchers!$A1:$S251,19,FALSE)</f>
        <v>0</v>
      </c>
    </row>
    <row r="207" spans="1:44" ht="18.600000000000001" customHeight="1">
      <c r="A207" s="24">
        <f ca="1">RANK(I207,I$2:I$651)</f>
        <v>296</v>
      </c>
      <c r="B207" s="25" t="s">
        <v>393</v>
      </c>
      <c r="C207" s="26" t="s">
        <v>72</v>
      </c>
      <c r="D207" s="26" t="s">
        <v>70</v>
      </c>
      <c r="E207" s="47" t="s">
        <v>11</v>
      </c>
      <c r="F207" s="48">
        <f ca="1">VLOOKUP(B207,'2B'!A1:I50,IF(Settings!$J$13="points",4,7),FALSE)</f>
        <v>21</v>
      </c>
      <c r="G207" s="29">
        <f>(M207*Settings!$B$2)+(N207*Settings!$B$3)+(O207*Settings!$B$4)+(P207*Settings!$B$5)+(Q207*Settings!$B$6)+(T207*Settings!$B$9)+(U207*Settings!$B$10)+(V207*Settings!$B$11)+(W207*Settings!$B$12)+(X207*Settings!$B$13)+(AA207*Settings!$B$16)</f>
        <v>352.11666666666611</v>
      </c>
      <c r="H207" s="30">
        <f>VLOOKUP(B207,'Standard Deviations'!$A1:$D651,4,FALSE)</f>
        <v>1.4912389362833973</v>
      </c>
      <c r="I207" s="31">
        <f ca="1">IF(Settings!$J$16="no",VLOOKUP(B207,'2B'!A1:I50,IF(Settings!$J$13="points",6,9),FALSE),VLOOKUP(B207,'2B+SS'!$A1:$I94,IF(Settings!$J$13="points",6,9),FALSE))</f>
        <v>-0.81649377761182818</v>
      </c>
      <c r="J207" s="30"/>
      <c r="K207" s="30">
        <f ca="1">J207-A207</f>
        <v>-296</v>
      </c>
      <c r="L207" s="30"/>
      <c r="M207" s="30">
        <f>VLOOKUP($B207,Hitters!$A1:$R401,4,FALSE)</f>
        <v>439.66666666666703</v>
      </c>
      <c r="N207" s="30">
        <f>VLOOKUP($B207,Hitters!$A1:$R401,5,FALSE)</f>
        <v>60.966666666666697</v>
      </c>
      <c r="O207" s="30">
        <f>VLOOKUP($B207,Hitters!$A1:$R401,6,FALSE)</f>
        <v>12.033333333333299</v>
      </c>
      <c r="P207" s="30">
        <f>VLOOKUP($B207,Hitters!$A1:$R401,7,FALSE)</f>
        <v>48.3</v>
      </c>
      <c r="Q207" s="30">
        <f>VLOOKUP($B207,Hitters!$A1:$R401,8,FALSE)</f>
        <v>13.9333333333333</v>
      </c>
      <c r="R207" s="32">
        <f>VLOOKUP($B207,Hitters!$A1:$R401,9,FALSE)</f>
        <v>0.25617892342683901</v>
      </c>
      <c r="S207" s="32">
        <f>VLOOKUP($B207,Hitters!$A1:$R401,10,FALSE)</f>
        <v>0.31456166111720102</v>
      </c>
      <c r="T207" s="30">
        <f>VLOOKUP($B207,Hitters!$A1:$R401,11,FALSE)</f>
        <v>112.633333333333</v>
      </c>
      <c r="U207" s="30">
        <f>VLOOKUP($B207,Hitters!$A1:$R401,12,FALSE)</f>
        <v>24.533333333333299</v>
      </c>
      <c r="V207" s="30">
        <f>VLOOKUP($B207,Hitters!$A1:$R401,13,FALSE)</f>
        <v>3</v>
      </c>
      <c r="W207" s="30">
        <f>VLOOKUP($B207,Hitters!$A1:$R401,14,FALSE)</f>
        <v>39.466666666666697</v>
      </c>
      <c r="X207" s="30">
        <f>VLOOKUP($B207,Hitters!$A1:$R401,15,FALSE)</f>
        <v>86.633333333333297</v>
      </c>
      <c r="Y207" s="32">
        <f>VLOOKUP($B207,Hitters!$A1:$R401,16,FALSE)</f>
        <v>0.40773313115997001</v>
      </c>
      <c r="Z207" s="32">
        <f>VLOOKUP($B207,Hitters!$A1:$R401,17,FALSE)</f>
        <v>0.72229479227716997</v>
      </c>
      <c r="AA207" s="30">
        <f>VLOOKUP($B207,Hitters!$A1:$R401,18,FALSE)</f>
        <v>0</v>
      </c>
      <c r="AB207" s="30"/>
      <c r="AC207" s="30"/>
      <c r="AD207" s="32"/>
      <c r="AE207" s="32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</row>
    <row r="208" spans="1:44" ht="20.100000000000001" customHeight="1">
      <c r="A208" s="24">
        <f ca="1">RANK(I208,I$2:I$651)</f>
        <v>164</v>
      </c>
      <c r="B208" s="25" t="s">
        <v>261</v>
      </c>
      <c r="C208" s="26" t="s">
        <v>219</v>
      </c>
      <c r="D208" s="26" t="s">
        <v>75</v>
      </c>
      <c r="E208" s="27" t="s">
        <v>23</v>
      </c>
      <c r="F208" s="28">
        <f ca="1">VLOOKUP(B208,OF!A1:I139,IF(Settings!$J$13="points",4,7),FALSE)</f>
        <v>48</v>
      </c>
      <c r="G208" s="29">
        <f>(M208*Settings!$B$2)+(N208*Settings!$B$3)+(O208*Settings!$B$4)+(P208*Settings!$B$5)+(Q208*Settings!$B$6)+(T208*Settings!$B$9)+(U208*Settings!$B$10)+(V208*Settings!$B$11)+(W208*Settings!$B$12)+(X208*Settings!$B$13)+(AA208*Settings!$B$16)</f>
        <v>351.5499999999995</v>
      </c>
      <c r="H208" s="30">
        <f>VLOOKUP(B208,'Standard Deviations'!$A1:$D651,4,FALSE)</f>
        <v>1.3186072209490365</v>
      </c>
      <c r="I208" s="31">
        <f ca="1">VLOOKUP(B208,OF!A1:I139,IF(Settings!$J$13="points",6,9),FALSE)</f>
        <v>1.1998913296277747</v>
      </c>
      <c r="J208" s="30"/>
      <c r="K208" s="30">
        <f ca="1">J208-A208</f>
        <v>-164</v>
      </c>
      <c r="L208" s="30"/>
      <c r="M208" s="30">
        <f>VLOOKUP($B208,Hitters!$A1:$R401,4,FALSE)</f>
        <v>419.33333333333297</v>
      </c>
      <c r="N208" s="30">
        <f>VLOOKUP($B208,Hitters!$A1:$R401,5,FALSE)</f>
        <v>58.933333333333302</v>
      </c>
      <c r="O208" s="30">
        <f>VLOOKUP($B208,Hitters!$A1:$R401,6,FALSE)</f>
        <v>21.133333333333301</v>
      </c>
      <c r="P208" s="30">
        <f>VLOOKUP($B208,Hitters!$A1:$R401,7,FALSE)</f>
        <v>65</v>
      </c>
      <c r="Q208" s="30">
        <f>VLOOKUP($B208,Hitters!$A1:$R401,8,FALSE)</f>
        <v>3.4</v>
      </c>
      <c r="R208" s="32">
        <f>VLOOKUP($B208,Hitters!$A1:$R401,9,FALSE)</f>
        <v>0.24785373608903</v>
      </c>
      <c r="S208" s="32">
        <f>VLOOKUP($B208,Hitters!$A1:$R401,10,FALSE)</f>
        <v>0.31465782212755</v>
      </c>
      <c r="T208" s="30">
        <f>VLOOKUP($B208,Hitters!$A1:$R401,11,FALSE)</f>
        <v>103.933333333333</v>
      </c>
      <c r="U208" s="30">
        <f>VLOOKUP($B208,Hitters!$A1:$R401,12,FALSE)</f>
        <v>19</v>
      </c>
      <c r="V208" s="30">
        <f>VLOOKUP($B208,Hitters!$A1:$R401,13,FALSE)</f>
        <v>2.4666666666666699</v>
      </c>
      <c r="W208" s="30">
        <f>VLOOKUP($B208,Hitters!$A1:$R401,14,FALSE)</f>
        <v>42.8</v>
      </c>
      <c r="X208" s="30">
        <f>VLOOKUP($B208,Hitters!$A1:$R401,15,FALSE)</f>
        <v>111.7</v>
      </c>
      <c r="Y208" s="32">
        <f>VLOOKUP($B208,Hitters!$A1:$R401,16,FALSE)</f>
        <v>0.45612082670906201</v>
      </c>
      <c r="Z208" s="32">
        <f>VLOOKUP($B208,Hitters!$A1:$R401,17,FALSE)</f>
        <v>0.77077864883661196</v>
      </c>
      <c r="AA208" s="30">
        <f>VLOOKUP($B208,Hitters!$A1:$R401,18,FALSE)</f>
        <v>0</v>
      </c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</row>
    <row r="209" spans="1:44" ht="18.600000000000001" customHeight="1">
      <c r="A209" s="24">
        <f ca="1">RANK(I209,I$2:I$651)</f>
        <v>252</v>
      </c>
      <c r="B209" s="25" t="s">
        <v>351</v>
      </c>
      <c r="C209" s="26" t="s">
        <v>79</v>
      </c>
      <c r="D209" s="26" t="s">
        <v>70</v>
      </c>
      <c r="E209" s="35" t="s">
        <v>31</v>
      </c>
      <c r="F209" s="36">
        <f ca="1">VLOOKUP(B209,SP!A1:I161,IF(Settings!$J$13="points",4,7),FALSE)</f>
        <v>74</v>
      </c>
      <c r="G209" s="29">
        <f>(AC209*Settings!$F$2)+(AF209*Settings!$F$5)+(AG209*Settings!$F$6)+(AH209*Settings!$F$7)+(AI209*Settings!$F$8)+(AJ209*Settings!$F$9)+(AK209*Settings!$F$10)+(AL209*Settings!$F$11)+(AM209*Settings!$F$12)+(AN209*Settings!$F$13)+(AO209*Settings!$F$14)+(AP209*Settings!$F$15)+(AQ209*Settings!$F$16)+(AR209*Settings!$F$17)</f>
        <v>351.44333333333327</v>
      </c>
      <c r="H209" s="30">
        <f>VLOOKUP(B209,'Standard Deviations'!$A1:$D651,4,FALSE)</f>
        <v>-3.9699202977914405E-2</v>
      </c>
      <c r="I209" s="31">
        <f ca="1">IF(Settings!$J$16="no",VLOOKUP(B209,SP!A1:I161,IF(Settings!$J$13="points",6,9),FALSE),VLOOKUP(B209,'SP+RP'!$A1:$I251,IF(Settings!$J$13="points",6,9),FALSE))</f>
        <v>-0.17567939221298529</v>
      </c>
      <c r="J209" s="30"/>
      <c r="K209" s="30">
        <f ca="1">J209-A209</f>
        <v>-252</v>
      </c>
      <c r="L209" s="30"/>
      <c r="M209" s="30"/>
      <c r="N209" s="30"/>
      <c r="O209" s="30"/>
      <c r="P209" s="30"/>
      <c r="Q209" s="30"/>
      <c r="R209" s="32"/>
      <c r="S209" s="32"/>
      <c r="T209" s="30"/>
      <c r="U209" s="30"/>
      <c r="V209" s="30"/>
      <c r="W209" s="30"/>
      <c r="X209" s="30"/>
      <c r="Y209" s="32"/>
      <c r="Z209" s="32"/>
      <c r="AA209" s="30"/>
      <c r="AB209" s="30"/>
      <c r="AC209" s="30">
        <f>VLOOKUP($B209,Pitchers!$A1:$S251,4,FALSE)</f>
        <v>149.25</v>
      </c>
      <c r="AD209" s="32">
        <f>VLOOKUP($B209,Pitchers!$A1:$S251,5,FALSE)</f>
        <v>3.9332663316582921</v>
      </c>
      <c r="AE209" s="32">
        <f>VLOOKUP($B209,Pitchers!$A1:$S251,6,FALSE)</f>
        <v>1.216929089893914</v>
      </c>
      <c r="AF209" s="30">
        <f>VLOOKUP($B209,Pitchers!$A1:$S251,7,FALSE)</f>
        <v>149.95333333333335</v>
      </c>
      <c r="AG209" s="30">
        <f>VLOOKUP($B209,Pitchers!$A1:$S251,8,FALSE)</f>
        <v>10.76</v>
      </c>
      <c r="AH209" s="30">
        <f>VLOOKUP($B209,Pitchers!$A1:$S251,9,FALSE)</f>
        <v>0</v>
      </c>
      <c r="AI209" s="30">
        <f>VLOOKUP($B209,Pitchers!$A1:$S251,10,FALSE)</f>
        <v>65.226666666666674</v>
      </c>
      <c r="AJ209" s="30">
        <f>VLOOKUP($B209,Pitchers!$A1:$S251,11,FALSE)</f>
        <v>135.14666666666668</v>
      </c>
      <c r="AK209" s="30">
        <f>VLOOKUP($B209,Pitchers!$A1:$S251,12,FALSE)</f>
        <v>46.48</v>
      </c>
      <c r="AL209" s="30">
        <f>VLOOKUP($B209,Pitchers!$A1:$S251,13,FALSE)</f>
        <v>23</v>
      </c>
      <c r="AM209" s="30">
        <f>VLOOKUP($B209,Pitchers!$A1:$S251,14,FALSE)</f>
        <v>27.826666666666668</v>
      </c>
      <c r="AN209" s="30">
        <f>VLOOKUP($B209,Pitchers!$A1:$S251,15,FALSE)</f>
        <v>27.826666666666668</v>
      </c>
      <c r="AO209" s="30">
        <f>VLOOKUP($B209,Pitchers!$A1:$S251,16,FALSE)</f>
        <v>7.75</v>
      </c>
      <c r="AP209" s="30">
        <f>VLOOKUP($B209,Pitchers!$A1:$S251,17,FALSE)</f>
        <v>13</v>
      </c>
      <c r="AQ209" s="30">
        <f>VLOOKUP($B209,Pitchers!$A1:$S251,18,FALSE)</f>
        <v>0</v>
      </c>
      <c r="AR209" s="30">
        <f>VLOOKUP($B209,Pitchers!$A1:$S251,19,FALSE)</f>
        <v>0</v>
      </c>
    </row>
    <row r="210" spans="1:44" ht="18.600000000000001" customHeight="1">
      <c r="A210" s="24">
        <f ca="1">RANK(I210,I$2:I$651)</f>
        <v>381</v>
      </c>
      <c r="B210" s="25" t="s">
        <v>478</v>
      </c>
      <c r="C210" s="26" t="s">
        <v>105</v>
      </c>
      <c r="D210" s="26" t="s">
        <v>70</v>
      </c>
      <c r="E210" s="39" t="s">
        <v>7</v>
      </c>
      <c r="F210" s="40">
        <f ca="1">VLOOKUP(B210,'1B'!A1:I63,IF(Settings!$J$13="points",4,7),FALSE)</f>
        <v>29</v>
      </c>
      <c r="G210" s="29">
        <f>(M210*Settings!$B$2)+(N210*Settings!$B$3)+(O210*Settings!$B$4)+(P210*Settings!$B$5)+(Q210*Settings!$B$6)+(T210*Settings!$B$9)+(U210*Settings!$B$10)+(V210*Settings!$B$11)+(W210*Settings!$B$12)+(X210*Settings!$B$13)+(AA210*Settings!$B$16)</f>
        <v>351.16666666666657</v>
      </c>
      <c r="H210" s="30">
        <f>VLOOKUP(B210,'Standard Deviations'!$A1:$D651,4,FALSE)</f>
        <v>0.38921578415693964</v>
      </c>
      <c r="I210" s="31">
        <f ca="1">IF(Settings!$J$15="no",VLOOKUP(B210,'1B'!A1:I63,IF(Settings!$J$13="points",6,9),FALSE),VLOOKUP(B210,'1B+3B'!$A1:$I104,IF(Settings!$J$13="points",6,9),FALSE))</f>
        <v>-2.1903115162008837</v>
      </c>
      <c r="J210" s="30"/>
      <c r="K210" s="30">
        <f ca="1">J210-A210</f>
        <v>-381</v>
      </c>
      <c r="L210" s="30"/>
      <c r="M210" s="30">
        <f>VLOOKUP($B210,Hitters!$A1:$R401,4,FALSE)</f>
        <v>407.66666666666703</v>
      </c>
      <c r="N210" s="30">
        <f>VLOOKUP($B210,Hitters!$A1:$R401,5,FALSE)</f>
        <v>58.4</v>
      </c>
      <c r="O210" s="30">
        <f>VLOOKUP($B210,Hitters!$A1:$R401,6,FALSE)</f>
        <v>18.3</v>
      </c>
      <c r="P210" s="30">
        <f>VLOOKUP($B210,Hitters!$A1:$R401,7,FALSE)</f>
        <v>60.6</v>
      </c>
      <c r="Q210" s="30">
        <f>VLOOKUP($B210,Hitters!$A1:$R401,8,FALSE)</f>
        <v>3.06666666666667</v>
      </c>
      <c r="R210" s="32">
        <f>VLOOKUP($B210,Hitters!$A1:$R401,9,FALSE)</f>
        <v>0.241782502044154</v>
      </c>
      <c r="S210" s="32">
        <f>VLOOKUP($B210,Hitters!$A1:$R401,10,FALSE)</f>
        <v>0.34184920807268498</v>
      </c>
      <c r="T210" s="30">
        <f>VLOOKUP($B210,Hitters!$A1:$R401,11,FALSE)</f>
        <v>98.566666666666706</v>
      </c>
      <c r="U210" s="30">
        <f>VLOOKUP($B210,Hitters!$A1:$R401,12,FALSE)</f>
        <v>20.9</v>
      </c>
      <c r="V210" s="30">
        <f>VLOOKUP($B210,Hitters!$A1:$R401,13,FALSE)</f>
        <v>1.6666666666666701</v>
      </c>
      <c r="W210" s="30">
        <f>VLOOKUP($B210,Hitters!$A1:$R401,14,FALSE)</f>
        <v>64.099999999999994</v>
      </c>
      <c r="X210" s="30">
        <f>VLOOKUP($B210,Hitters!$A1:$R401,15,FALSE)</f>
        <v>113.26666666666701</v>
      </c>
      <c r="Y210" s="32">
        <f>VLOOKUP($B210,Hitters!$A1:$R401,16,FALSE)</f>
        <v>0.43589533932951802</v>
      </c>
      <c r="Z210" s="32">
        <f>VLOOKUP($B210,Hitters!$A1:$R401,17,FALSE)</f>
        <v>0.777744547402202</v>
      </c>
      <c r="AA210" s="30">
        <f>VLOOKUP($B210,Hitters!$A1:$R401,18,FALSE)</f>
        <v>0</v>
      </c>
      <c r="AB210" s="30"/>
      <c r="AC210" s="30"/>
      <c r="AD210" s="32"/>
      <c r="AE210" s="32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</row>
    <row r="211" spans="1:44" ht="18.600000000000001" customHeight="1">
      <c r="A211" s="24">
        <f ca="1">RANK(I211,I$2:I$651)</f>
        <v>204</v>
      </c>
      <c r="B211" s="25" t="s">
        <v>301</v>
      </c>
      <c r="C211" s="26" t="s">
        <v>87</v>
      </c>
      <c r="D211" s="26" t="s">
        <v>70</v>
      </c>
      <c r="E211" s="35" t="s">
        <v>31</v>
      </c>
      <c r="F211" s="36">
        <f ca="1">VLOOKUP(B211,SP!A1:I161,IF(Settings!$J$13="points",4,7),FALSE)</f>
        <v>62</v>
      </c>
      <c r="G211" s="29">
        <f>(AC211*Settings!$F$2)+(AF211*Settings!$F$5)+(AG211*Settings!$F$6)+(AH211*Settings!$F$7)+(AI211*Settings!$F$8)+(AJ211*Settings!$F$9)+(AK211*Settings!$F$10)+(AL211*Settings!$F$11)+(AM211*Settings!$F$12)+(AN211*Settings!$F$13)+(AO211*Settings!$F$14)+(AP211*Settings!$F$15)+(AQ211*Settings!$F$16)+(AR211*Settings!$F$17)</f>
        <v>351.00000000000011</v>
      </c>
      <c r="H211" s="30">
        <f>VLOOKUP(B211,'Standard Deviations'!$A1:$D651,4,FALSE)</f>
        <v>0.57225309068081953</v>
      </c>
      <c r="I211" s="31">
        <f ca="1">IF(Settings!$J$16="no",VLOOKUP(B211,SP!A1:I161,IF(Settings!$J$13="points",6,9),FALSE),VLOOKUP(B211,'SP+RP'!$A1:$I251,IF(Settings!$J$13="points",6,9),FALSE))</f>
        <v>0.43627370915485442</v>
      </c>
      <c r="J211" s="30"/>
      <c r="K211" s="30">
        <f ca="1">J211-A211</f>
        <v>-204</v>
      </c>
      <c r="L211" s="30"/>
      <c r="M211" s="30"/>
      <c r="N211" s="30"/>
      <c r="O211" s="30"/>
      <c r="P211" s="30"/>
      <c r="Q211" s="30"/>
      <c r="R211" s="32"/>
      <c r="S211" s="32"/>
      <c r="T211" s="30"/>
      <c r="U211" s="30"/>
      <c r="V211" s="30"/>
      <c r="W211" s="30"/>
      <c r="X211" s="30"/>
      <c r="Y211" s="32"/>
      <c r="Z211" s="32"/>
      <c r="AA211" s="30"/>
      <c r="AB211" s="30"/>
      <c r="AC211" s="30">
        <f>VLOOKUP($B211,Pitchers!$A1:$S251,4,FALSE)</f>
        <v>160.43333333333334</v>
      </c>
      <c r="AD211" s="32">
        <f>VLOOKUP($B211,Pitchers!$A1:$S251,5,FALSE)</f>
        <v>4.0633700394764185</v>
      </c>
      <c r="AE211" s="32">
        <f>VLOOKUP($B211,Pitchers!$A1:$S251,6,FALSE)</f>
        <v>1.2148348223561189</v>
      </c>
      <c r="AF211" s="30">
        <f>VLOOKUP($B211,Pitchers!$A1:$S251,7,FALSE)</f>
        <v>161.79999999999998</v>
      </c>
      <c r="AG211" s="30">
        <f>VLOOKUP($B211,Pitchers!$A1:$S251,8,FALSE)</f>
        <v>8.7333333333333325</v>
      </c>
      <c r="AH211" s="30">
        <f>VLOOKUP($B211,Pitchers!$A1:$S251,9,FALSE)</f>
        <v>0</v>
      </c>
      <c r="AI211" s="30">
        <f>VLOOKUP($B211,Pitchers!$A1:$S251,10,FALSE)</f>
        <v>72.433333333333337</v>
      </c>
      <c r="AJ211" s="30">
        <f>VLOOKUP($B211,Pitchers!$A1:$S251,11,FALSE)</f>
        <v>143.76666666666668</v>
      </c>
      <c r="AK211" s="30">
        <f>VLOOKUP($B211,Pitchers!$A1:$S251,12,FALSE)</f>
        <v>51.133333333333333</v>
      </c>
      <c r="AL211" s="30">
        <f>VLOOKUP($B211,Pitchers!$A1:$S251,13,FALSE)</f>
        <v>22</v>
      </c>
      <c r="AM211" s="30">
        <f>VLOOKUP($B211,Pitchers!$A1:$S251,14,FALSE)</f>
        <v>29.933333333333334</v>
      </c>
      <c r="AN211" s="30">
        <f>VLOOKUP($B211,Pitchers!$A1:$S251,15,FALSE)</f>
        <v>29.933333333333334</v>
      </c>
      <c r="AO211" s="30">
        <f>VLOOKUP($B211,Pitchers!$A1:$S251,16,FALSE)</f>
        <v>10</v>
      </c>
      <c r="AP211" s="30">
        <f>VLOOKUP($B211,Pitchers!$A1:$S251,17,FALSE)</f>
        <v>15</v>
      </c>
      <c r="AQ211" s="30">
        <f>VLOOKUP($B211,Pitchers!$A1:$S251,18,FALSE)</f>
        <v>0</v>
      </c>
      <c r="AR211" s="30">
        <f>VLOOKUP($B211,Pitchers!$A1:$S251,19,FALSE)</f>
        <v>0</v>
      </c>
    </row>
    <row r="212" spans="1:44" ht="18.600000000000001" customHeight="1">
      <c r="A212" s="24">
        <f ca="1">RANK(I212,I$2:I$651)</f>
        <v>228</v>
      </c>
      <c r="B212" s="25" t="s">
        <v>326</v>
      </c>
      <c r="C212" s="26" t="s">
        <v>136</v>
      </c>
      <c r="D212" s="26" t="s">
        <v>75</v>
      </c>
      <c r="E212" s="27" t="s">
        <v>23</v>
      </c>
      <c r="F212" s="28">
        <f ca="1">VLOOKUP(B212,OF!A1:I139,IF(Settings!$J$13="points",4,7),FALSE)</f>
        <v>67</v>
      </c>
      <c r="G212" s="29">
        <f>(M212*Settings!$B$2)+(N212*Settings!$B$3)+(O212*Settings!$B$4)+(P212*Settings!$B$5)+(Q212*Settings!$B$6)+(T212*Settings!$B$9)+(U212*Settings!$B$10)+(V212*Settings!$B$11)+(W212*Settings!$B$12)+(X212*Settings!$B$13)+(AA212*Settings!$B$16)</f>
        <v>350.71666666666658</v>
      </c>
      <c r="H212" s="30">
        <f>VLOOKUP(B212,'Standard Deviations'!$A1:$D651,4,FALSE)</f>
        <v>0.18038986133595669</v>
      </c>
      <c r="I212" s="31">
        <f ca="1">VLOOKUP(B212,OF!A1:I139,IF(Settings!$J$13="points",6,9),FALSE)</f>
        <v>6.1676530285019973E-2</v>
      </c>
      <c r="J212" s="30"/>
      <c r="K212" s="30">
        <f ca="1">J212-A212</f>
        <v>-228</v>
      </c>
      <c r="L212" s="30"/>
      <c r="M212" s="30">
        <f>VLOOKUP($B212,Hitters!$A1:$R401,4,FALSE)</f>
        <v>453.33333333333297</v>
      </c>
      <c r="N212" s="30">
        <f>VLOOKUP($B212,Hitters!$A1:$R401,5,FALSE)</f>
        <v>60.133333333333297</v>
      </c>
      <c r="O212" s="30">
        <f>VLOOKUP($B212,Hitters!$A1:$R401,6,FALSE)</f>
        <v>22.8333333333333</v>
      </c>
      <c r="P212" s="30">
        <f>VLOOKUP($B212,Hitters!$A1:$R401,7,FALSE)</f>
        <v>65.266666666666694</v>
      </c>
      <c r="Q212" s="30">
        <f>VLOOKUP($B212,Hitters!$A1:$R401,8,FALSE)</f>
        <v>1.0333333333333301</v>
      </c>
      <c r="R212" s="32">
        <f>VLOOKUP($B212,Hitters!$A1:$R401,9,FALSE)</f>
        <v>0.22610294117647101</v>
      </c>
      <c r="S212" s="32">
        <f>VLOOKUP($B212,Hitters!$A1:$R401,10,FALSE)</f>
        <v>0.30660162601626001</v>
      </c>
      <c r="T212" s="30">
        <f>VLOOKUP($B212,Hitters!$A1:$R401,11,FALSE)</f>
        <v>102.5</v>
      </c>
      <c r="U212" s="30">
        <f>VLOOKUP($B212,Hitters!$A1:$R401,12,FALSE)</f>
        <v>21.866666666666699</v>
      </c>
      <c r="V212" s="30">
        <f>VLOOKUP($B212,Hitters!$A1:$R401,13,FALSE)</f>
        <v>0.56666666666666698</v>
      </c>
      <c r="W212" s="30">
        <f>VLOOKUP($B212,Hitters!$A1:$R401,14,FALSE)</f>
        <v>54.633333333333297</v>
      </c>
      <c r="X212" s="30">
        <f>VLOOKUP($B212,Hitters!$A1:$R401,15,FALSE)</f>
        <v>141.30000000000001</v>
      </c>
      <c r="Y212" s="32">
        <f>VLOOKUP($B212,Hitters!$A1:$R401,16,FALSE)</f>
        <v>0.42794117647058799</v>
      </c>
      <c r="Z212" s="32">
        <f>VLOOKUP($B212,Hitters!$A1:$R401,17,FALSE)</f>
        <v>0.734542802486848</v>
      </c>
      <c r="AA212" s="30">
        <f>VLOOKUP($B212,Hitters!$A1:$R401,18,FALSE)</f>
        <v>0</v>
      </c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</row>
    <row r="213" spans="1:44" ht="18.600000000000001" customHeight="1">
      <c r="A213" s="24">
        <f ca="1">RANK(I213,I$2:I$651)</f>
        <v>184</v>
      </c>
      <c r="B213" s="25" t="s">
        <v>281</v>
      </c>
      <c r="C213" s="26" t="s">
        <v>103</v>
      </c>
      <c r="D213" s="26" t="s">
        <v>70</v>
      </c>
      <c r="E213" s="35" t="s">
        <v>31</v>
      </c>
      <c r="F213" s="36">
        <f ca="1">VLOOKUP(B213,SP!A1:I161,IF(Settings!$J$13="points",4,7),FALSE)</f>
        <v>56</v>
      </c>
      <c r="G213" s="29">
        <f>(AC213*Settings!$F$2)+(AF213*Settings!$F$5)+(AG213*Settings!$F$6)+(AH213*Settings!$F$7)+(AI213*Settings!$F$8)+(AJ213*Settings!$F$9)+(AK213*Settings!$F$10)+(AL213*Settings!$F$11)+(AM213*Settings!$F$12)+(AN213*Settings!$F$13)+(AO213*Settings!$F$14)+(AP213*Settings!$F$15)+(AQ213*Settings!$F$16)+(AR213*Settings!$F$17)</f>
        <v>349.9740000000001</v>
      </c>
      <c r="H213" s="30">
        <f>VLOOKUP(B213,'Standard Deviations'!$A1:$D651,4,FALSE)</f>
        <v>0.97433501784915943</v>
      </c>
      <c r="I213" s="31">
        <f ca="1">IF(Settings!$J$16="no",VLOOKUP(B213,SP!A1:I161,IF(Settings!$J$13="points",6,9),FALSE),VLOOKUP(B213,'SP+RP'!$A1:$I251,IF(Settings!$J$13="points",6,9),FALSE))</f>
        <v>0.83835298451673701</v>
      </c>
      <c r="J213" s="30"/>
      <c r="K213" s="30">
        <f ca="1">J213-A213</f>
        <v>-184</v>
      </c>
      <c r="L213" s="30"/>
      <c r="M213" s="30"/>
      <c r="N213" s="30"/>
      <c r="O213" s="30"/>
      <c r="P213" s="30"/>
      <c r="Q213" s="30"/>
      <c r="R213" s="32"/>
      <c r="S213" s="32"/>
      <c r="T213" s="30"/>
      <c r="U213" s="30"/>
      <c r="V213" s="30"/>
      <c r="W213" s="30"/>
      <c r="X213" s="30"/>
      <c r="Y213" s="32"/>
      <c r="Z213" s="32"/>
      <c r="AA213" s="30"/>
      <c r="AB213" s="30"/>
      <c r="AC213" s="30">
        <f>VLOOKUP($B213,Pitchers!$A1:$S251,4,FALSE)</f>
        <v>153.60000000000002</v>
      </c>
      <c r="AD213" s="32">
        <f>VLOOKUP($B213,Pitchers!$A1:$S251,5,FALSE)</f>
        <v>3.7617773437499991</v>
      </c>
      <c r="AE213" s="32">
        <f>VLOOKUP($B213,Pitchers!$A1:$S251,6,FALSE)</f>
        <v>1.2008463541666665</v>
      </c>
      <c r="AF213" s="30">
        <f>VLOOKUP($B213,Pitchers!$A1:$S251,7,FALSE)</f>
        <v>135.94999999999999</v>
      </c>
      <c r="AG213" s="30">
        <f>VLOOKUP($B213,Pitchers!$A1:$S251,8,FALSE)</f>
        <v>9.5500000000000007</v>
      </c>
      <c r="AH213" s="30">
        <f>VLOOKUP($B213,Pitchers!$A1:$S251,9,FALSE)</f>
        <v>0</v>
      </c>
      <c r="AI213" s="30">
        <f>VLOOKUP($B213,Pitchers!$A1:$S251,10,FALSE)</f>
        <v>64.200999999999993</v>
      </c>
      <c r="AJ213" s="30">
        <f>VLOOKUP($B213,Pitchers!$A1:$S251,11,FALSE)</f>
        <v>142.30000000000001</v>
      </c>
      <c r="AK213" s="30">
        <f>VLOOKUP($B213,Pitchers!$A1:$S251,12,FALSE)</f>
        <v>42.15</v>
      </c>
      <c r="AL213" s="30">
        <f>VLOOKUP($B213,Pitchers!$A1:$S251,13,FALSE)</f>
        <v>21</v>
      </c>
      <c r="AM213" s="30">
        <f>VLOOKUP($B213,Pitchers!$A1:$S251,14,FALSE)</f>
        <v>30.1</v>
      </c>
      <c r="AN213" s="30">
        <f>VLOOKUP($B213,Pitchers!$A1:$S251,15,FALSE)</f>
        <v>29.6</v>
      </c>
      <c r="AO213" s="30">
        <f>VLOOKUP($B213,Pitchers!$A1:$S251,16,FALSE)</f>
        <v>8.4</v>
      </c>
      <c r="AP213" s="30">
        <f>VLOOKUP($B213,Pitchers!$A1:$S251,17,FALSE)</f>
        <v>15</v>
      </c>
      <c r="AQ213" s="30">
        <f>VLOOKUP($B213,Pitchers!$A1:$S251,18,FALSE)</f>
        <v>0</v>
      </c>
      <c r="AR213" s="30">
        <f>VLOOKUP($B213,Pitchers!$A1:$S251,19,FALSE)</f>
        <v>0</v>
      </c>
    </row>
    <row r="214" spans="1:44" ht="18.600000000000001" customHeight="1">
      <c r="A214" s="24">
        <f ca="1">RANK(I214,I$2:I$651)</f>
        <v>221</v>
      </c>
      <c r="B214" s="25" t="s">
        <v>319</v>
      </c>
      <c r="C214" s="26" t="s">
        <v>160</v>
      </c>
      <c r="D214" s="26" t="s">
        <v>75</v>
      </c>
      <c r="E214" s="35" t="s">
        <v>31</v>
      </c>
      <c r="F214" s="36">
        <f ca="1">VLOOKUP(B214,SP!A1:I161,IF(Settings!$J$13="points",4,7),FALSE)</f>
        <v>65</v>
      </c>
      <c r="G214" s="29">
        <f>(AC214*Settings!$F$2)+(AF214*Settings!$F$5)+(AG214*Settings!$F$6)+(AH214*Settings!$F$7)+(AI214*Settings!$F$8)+(AJ214*Settings!$F$9)+(AK214*Settings!$F$10)+(AL214*Settings!$F$11)+(AM214*Settings!$F$12)+(AN214*Settings!$F$13)+(AO214*Settings!$F$14)+(AP214*Settings!$F$15)+(AQ214*Settings!$F$16)+(AR214*Settings!$F$17)</f>
        <v>349.50333333333333</v>
      </c>
      <c r="H214" s="30">
        <f>VLOOKUP(B214,'Standard Deviations'!$A1:$D651,4,FALSE)</f>
        <v>0.34761479297177855</v>
      </c>
      <c r="I214" s="31">
        <f ca="1">IF(Settings!$J$16="no",VLOOKUP(B214,SP!A1:I161,IF(Settings!$J$13="points",6,9),FALSE),VLOOKUP(B214,'SP+RP'!$A1:$I251,IF(Settings!$J$13="points",6,9),FALSE))</f>
        <v>0.21163267172007302</v>
      </c>
      <c r="J214" s="30"/>
      <c r="K214" s="30">
        <f ca="1">J214-A214</f>
        <v>-221</v>
      </c>
      <c r="L214" s="30"/>
      <c r="M214" s="30"/>
      <c r="N214" s="30"/>
      <c r="O214" s="30"/>
      <c r="P214" s="30"/>
      <c r="Q214" s="30"/>
      <c r="R214" s="32"/>
      <c r="S214" s="32"/>
      <c r="T214" s="30"/>
      <c r="U214" s="30"/>
      <c r="V214" s="30"/>
      <c r="W214" s="30"/>
      <c r="X214" s="30"/>
      <c r="Y214" s="32"/>
      <c r="Z214" s="32"/>
      <c r="AA214" s="30"/>
      <c r="AB214" s="30"/>
      <c r="AC214" s="30">
        <f>VLOOKUP($B214,Pitchers!$A1:$S251,4,FALSE)</f>
        <v>166.29999999999998</v>
      </c>
      <c r="AD214" s="32">
        <f>VLOOKUP($B214,Pitchers!$A1:$S251,5,FALSE)</f>
        <v>3.7340348767288041</v>
      </c>
      <c r="AE214" s="32">
        <f>VLOOKUP($B214,Pitchers!$A1:$S251,6,FALSE)</f>
        <v>1.2579675285628384</v>
      </c>
      <c r="AF214" s="30">
        <f>VLOOKUP($B214,Pitchers!$A1:$S251,7,FALSE)</f>
        <v>139.4</v>
      </c>
      <c r="AG214" s="30">
        <f>VLOOKUP($B214,Pitchers!$A1:$S251,8,FALSE)</f>
        <v>8.9666666666666668</v>
      </c>
      <c r="AH214" s="30">
        <f>VLOOKUP($B214,Pitchers!$A1:$S251,9,FALSE)</f>
        <v>0</v>
      </c>
      <c r="AI214" s="30">
        <f>VLOOKUP($B214,Pitchers!$A1:$S251,10,FALSE)</f>
        <v>68.99666666666667</v>
      </c>
      <c r="AJ214" s="30">
        <f>VLOOKUP($B214,Pitchers!$A1:$S251,11,FALSE)</f>
        <v>162.9</v>
      </c>
      <c r="AK214" s="30">
        <f>VLOOKUP($B214,Pitchers!$A1:$S251,12,FALSE)</f>
        <v>46.300000000000004</v>
      </c>
      <c r="AL214" s="30">
        <f>VLOOKUP($B214,Pitchers!$A1:$S251,13,FALSE)</f>
        <v>20</v>
      </c>
      <c r="AM214" s="30">
        <f>VLOOKUP($B214,Pitchers!$A1:$S251,14,FALSE)</f>
        <v>30.266666666666666</v>
      </c>
      <c r="AN214" s="30">
        <f>VLOOKUP($B214,Pitchers!$A1:$S251,15,FALSE)</f>
        <v>30.266666666666666</v>
      </c>
      <c r="AO214" s="30">
        <f>VLOOKUP($B214,Pitchers!$A1:$S251,16,FALSE)</f>
        <v>9.7333333333333325</v>
      </c>
      <c r="AP214" s="30">
        <f>VLOOKUP($B214,Pitchers!$A1:$S251,17,FALSE)</f>
        <v>15</v>
      </c>
      <c r="AQ214" s="30">
        <f>VLOOKUP($B214,Pitchers!$A1:$S251,18,FALSE)</f>
        <v>0</v>
      </c>
      <c r="AR214" s="30">
        <f>VLOOKUP($B214,Pitchers!$A1:$S251,19,FALSE)</f>
        <v>0</v>
      </c>
    </row>
    <row r="215" spans="1:44" ht="18.600000000000001" customHeight="1">
      <c r="A215" s="24">
        <f ca="1">RANK(I215,I$2:I$651)</f>
        <v>153</v>
      </c>
      <c r="B215" s="25" t="s">
        <v>249</v>
      </c>
      <c r="C215" s="26" t="s">
        <v>125</v>
      </c>
      <c r="D215" s="26" t="s">
        <v>75</v>
      </c>
      <c r="E215" s="45" t="s">
        <v>19</v>
      </c>
      <c r="F215" s="46">
        <f ca="1">VLOOKUP(B215,'C'!A1:I54,IF(Settings!$J$13="points",4,7),FALSE)</f>
        <v>9</v>
      </c>
      <c r="G215" s="29">
        <f>(M215*Settings!$B$2)+(N215*Settings!$B$3)+(O215*Settings!$B$4)+(P215*Settings!$B$5)+(Q215*Settings!$B$6)+(T215*Settings!$B$9)+(U215*Settings!$B$10)+(V215*Settings!$B$11)+(W215*Settings!$B$12)+(X215*Settings!$B$13)+(AA215*Settings!$B$16)</f>
        <v>348.96666666666692</v>
      </c>
      <c r="H215" s="30">
        <f>VLOOKUP(B215,'Standard Deviations'!$A1:$D651,4,FALSE)</f>
        <v>1.1222191969183108</v>
      </c>
      <c r="I215" s="31">
        <f ca="1">VLOOKUP(B215,'C'!A1:I54,IF(Settings!$J$13="points",6,9),FALSE)</f>
        <v>1.439315664603912</v>
      </c>
      <c r="J215" s="30"/>
      <c r="K215" s="30">
        <f ca="1">J215-A215</f>
        <v>-153</v>
      </c>
      <c r="L215" s="30"/>
      <c r="M215" s="30">
        <f>VLOOKUP($B215,Hitters!$A1:$R401,4,FALSE)</f>
        <v>420.33333333333297</v>
      </c>
      <c r="N215" s="30">
        <f>VLOOKUP($B215,Hitters!$A1:$R401,5,FALSE)</f>
        <v>65.766666666666694</v>
      </c>
      <c r="O215" s="30">
        <f>VLOOKUP($B215,Hitters!$A1:$R401,6,FALSE)</f>
        <v>19.5</v>
      </c>
      <c r="P215" s="30">
        <f>VLOOKUP($B215,Hitters!$A1:$R401,7,FALSE)</f>
        <v>59.233333333333299</v>
      </c>
      <c r="Q215" s="30">
        <f>VLOOKUP($B215,Hitters!$A1:$R401,8,FALSE)</f>
        <v>4.5333333333333297</v>
      </c>
      <c r="R215" s="32">
        <f>VLOOKUP($B215,Hitters!$A1:$R401,9,FALSE)</f>
        <v>0.24361617763679599</v>
      </c>
      <c r="S215" s="32">
        <f>VLOOKUP($B215,Hitters!$A1:$R401,10,FALSE)</f>
        <v>0.31591763348457902</v>
      </c>
      <c r="T215" s="30">
        <f>VLOOKUP($B215,Hitters!$A1:$R401,11,FALSE)</f>
        <v>102.4</v>
      </c>
      <c r="U215" s="30">
        <f>VLOOKUP($B215,Hitters!$A1:$R401,12,FALSE)</f>
        <v>20.7</v>
      </c>
      <c r="V215" s="30">
        <f>VLOOKUP($B215,Hitters!$A1:$R401,13,FALSE)</f>
        <v>1.43333333333333</v>
      </c>
      <c r="W215" s="30">
        <f>VLOOKUP($B215,Hitters!$A1:$R401,14,FALSE)</f>
        <v>46.366666666666703</v>
      </c>
      <c r="X215" s="30">
        <f>VLOOKUP($B215,Hitters!$A1:$R401,15,FALSE)</f>
        <v>115.133333333333</v>
      </c>
      <c r="Y215" s="32">
        <f>VLOOKUP($B215,Hitters!$A1:$R401,16,FALSE)</f>
        <v>0.43885804916732701</v>
      </c>
      <c r="Z215" s="32">
        <f>VLOOKUP($B215,Hitters!$A1:$R401,17,FALSE)</f>
        <v>0.75477568265190698</v>
      </c>
      <c r="AA215" s="30">
        <f>VLOOKUP($B215,Hitters!$A1:$R401,18,FALSE)</f>
        <v>0</v>
      </c>
      <c r="AB215" s="30"/>
      <c r="AC215" s="30"/>
      <c r="AD215" s="32"/>
      <c r="AE215" s="32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</row>
    <row r="216" spans="1:44" ht="18.600000000000001" customHeight="1">
      <c r="A216" s="24">
        <f ca="1">RANK(I216,I$2:I$651)</f>
        <v>250</v>
      </c>
      <c r="B216" s="25" t="s">
        <v>348</v>
      </c>
      <c r="C216" s="26" t="s">
        <v>160</v>
      </c>
      <c r="D216" s="26" t="s">
        <v>75</v>
      </c>
      <c r="E216" s="35" t="s">
        <v>31</v>
      </c>
      <c r="F216" s="36">
        <f ca="1">VLOOKUP(B216,SP!A1:I161,IF(Settings!$J$13="points",4,7),FALSE)</f>
        <v>72</v>
      </c>
      <c r="G216" s="29">
        <f>(AC216*Settings!$F$2)+(AF216*Settings!$F$5)+(AG216*Settings!$F$6)+(AH216*Settings!$F$7)+(AI216*Settings!$F$8)+(AJ216*Settings!$F$9)+(AK216*Settings!$F$10)+(AL216*Settings!$F$11)+(AM216*Settings!$F$12)+(AN216*Settings!$F$13)+(AO216*Settings!$F$14)+(AP216*Settings!$F$15)+(AQ216*Settings!$F$16)+(AR216*Settings!$F$17)</f>
        <v>348.73333333333329</v>
      </c>
      <c r="H216" s="30">
        <f>VLOOKUP(B216,'Standard Deviations'!$A1:$D651,4,FALSE)</f>
        <v>-2.464266258046216E-3</v>
      </c>
      <c r="I216" s="31">
        <f ca="1">IF(Settings!$J$16="no",VLOOKUP(B216,SP!A1:I161,IF(Settings!$J$13="points",6,9),FALSE),VLOOKUP(B216,'SP+RP'!$A1:$I251,IF(Settings!$J$13="points",6,9),FALSE))</f>
        <v>-0.13844883664770477</v>
      </c>
      <c r="J216" s="30"/>
      <c r="K216" s="30">
        <f ca="1">J216-A216</f>
        <v>-250</v>
      </c>
      <c r="L216" s="30"/>
      <c r="M216" s="30"/>
      <c r="N216" s="30"/>
      <c r="O216" s="30"/>
      <c r="P216" s="30"/>
      <c r="Q216" s="30"/>
      <c r="R216" s="32"/>
      <c r="S216" s="32"/>
      <c r="T216" s="30"/>
      <c r="U216" s="30"/>
      <c r="V216" s="30"/>
      <c r="W216" s="30"/>
      <c r="X216" s="30"/>
      <c r="Y216" s="32"/>
      <c r="Z216" s="32"/>
      <c r="AA216" s="30"/>
      <c r="AB216" s="30"/>
      <c r="AC216" s="30">
        <f>VLOOKUP($B216,Pitchers!$A1:$S251,4,FALSE)</f>
        <v>161.70000000000002</v>
      </c>
      <c r="AD216" s="32">
        <f>VLOOKUP($B216,Pitchers!$A1:$S251,5,FALSE)</f>
        <v>4.2680890538033394</v>
      </c>
      <c r="AE216" s="32">
        <f>VLOOKUP($B216,Pitchers!$A1:$S251,6,FALSE)</f>
        <v>1.2242836528550816</v>
      </c>
      <c r="AF216" s="30">
        <f>VLOOKUP($B216,Pitchers!$A1:$S251,7,FALSE)</f>
        <v>139.29999999999998</v>
      </c>
      <c r="AG216" s="30">
        <f>VLOOKUP($B216,Pitchers!$A1:$S251,8,FALSE)</f>
        <v>10.066666666666666</v>
      </c>
      <c r="AH216" s="30">
        <f>VLOOKUP($B216,Pitchers!$A1:$S251,9,FALSE)</f>
        <v>0</v>
      </c>
      <c r="AI216" s="30">
        <f>VLOOKUP($B216,Pitchers!$A1:$S251,10,FALSE)</f>
        <v>76.683333333333337</v>
      </c>
      <c r="AJ216" s="30">
        <f>VLOOKUP($B216,Pitchers!$A1:$S251,11,FALSE)</f>
        <v>158.70000000000002</v>
      </c>
      <c r="AK216" s="30">
        <f>VLOOKUP($B216,Pitchers!$A1:$S251,12,FALSE)</f>
        <v>39.266666666666666</v>
      </c>
      <c r="AL216" s="30">
        <f>VLOOKUP($B216,Pitchers!$A1:$S251,13,FALSE)</f>
        <v>27</v>
      </c>
      <c r="AM216" s="30">
        <f>VLOOKUP($B216,Pitchers!$A1:$S251,14,FALSE)</f>
        <v>29.733333333333334</v>
      </c>
      <c r="AN216" s="30">
        <f>VLOOKUP($B216,Pitchers!$A1:$S251,15,FALSE)</f>
        <v>29.733333333333334</v>
      </c>
      <c r="AO216" s="30">
        <f>VLOOKUP($B216,Pitchers!$A1:$S251,16,FALSE)</f>
        <v>8.7666666666666675</v>
      </c>
      <c r="AP216" s="30">
        <f>VLOOKUP($B216,Pitchers!$A1:$S251,17,FALSE)</f>
        <v>14</v>
      </c>
      <c r="AQ216" s="30">
        <f>VLOOKUP($B216,Pitchers!$A1:$S251,18,FALSE)</f>
        <v>0</v>
      </c>
      <c r="AR216" s="30">
        <f>VLOOKUP($B216,Pitchers!$A1:$S251,19,FALSE)</f>
        <v>0</v>
      </c>
    </row>
    <row r="217" spans="1:44" ht="18.600000000000001" customHeight="1">
      <c r="A217" s="24">
        <f ca="1">RANK(I217,I$2:I$651)</f>
        <v>200</v>
      </c>
      <c r="B217" s="25" t="s">
        <v>297</v>
      </c>
      <c r="C217" s="26" t="s">
        <v>160</v>
      </c>
      <c r="D217" s="26" t="s">
        <v>75</v>
      </c>
      <c r="E217" s="27" t="s">
        <v>23</v>
      </c>
      <c r="F217" s="28">
        <f ca="1">VLOOKUP(B217,OF!A1:I139,IF(Settings!$J$13="points",4,7),FALSE)</f>
        <v>57</v>
      </c>
      <c r="G217" s="29">
        <f>(M217*Settings!$B$2)+(N217*Settings!$B$3)+(O217*Settings!$B$4)+(P217*Settings!$B$5)+(Q217*Settings!$B$6)+(T217*Settings!$B$9)+(U217*Settings!$B$10)+(V217*Settings!$B$11)+(W217*Settings!$B$12)+(X217*Settings!$B$13)+(AA217*Settings!$B$16)</f>
        <v>347.46666666666704</v>
      </c>
      <c r="H217" s="30">
        <f>VLOOKUP(B217,'Standard Deviations'!$A1:$D651,4,FALSE)</f>
        <v>0.63783345599734087</v>
      </c>
      <c r="I217" s="31">
        <f ca="1">VLOOKUP(B217,OF!A1:I139,IF(Settings!$J$13="points",6,9),FALSE)</f>
        <v>0.51911355980394758</v>
      </c>
      <c r="J217" s="30"/>
      <c r="K217" s="30">
        <f ca="1">J217-A217</f>
        <v>-200</v>
      </c>
      <c r="L217" s="30"/>
      <c r="M217" s="30">
        <f>VLOOKUP($B217,Hitters!$A1:$R401,4,FALSE)</f>
        <v>461.33333333333297</v>
      </c>
      <c r="N217" s="30">
        <f>VLOOKUP($B217,Hitters!$A1:$R401,5,FALSE)</f>
        <v>60.233333333333299</v>
      </c>
      <c r="O217" s="30">
        <f>VLOOKUP($B217,Hitters!$A1:$R401,6,FALSE)</f>
        <v>18.066666666666698</v>
      </c>
      <c r="P217" s="30">
        <f>VLOOKUP($B217,Hitters!$A1:$R401,7,FALSE)</f>
        <v>61.366666666666703</v>
      </c>
      <c r="Q217" s="30">
        <f>VLOOKUP($B217,Hitters!$A1:$R401,8,FALSE)</f>
        <v>11.6</v>
      </c>
      <c r="R217" s="32">
        <f>VLOOKUP($B217,Hitters!$A1:$R401,9,FALSE)</f>
        <v>0.21871387283237001</v>
      </c>
      <c r="S217" s="32">
        <f>VLOOKUP($B217,Hitters!$A1:$R401,10,FALSE)</f>
        <v>0.28494195385037302</v>
      </c>
      <c r="T217" s="30">
        <f>VLOOKUP($B217,Hitters!$A1:$R401,11,FALSE)</f>
        <v>100.9</v>
      </c>
      <c r="U217" s="30">
        <f>VLOOKUP($B217,Hitters!$A1:$R401,12,FALSE)</f>
        <v>20.7</v>
      </c>
      <c r="V217" s="30">
        <f>VLOOKUP($B217,Hitters!$A1:$R401,13,FALSE)</f>
        <v>2.6666666666666701</v>
      </c>
      <c r="W217" s="30">
        <f>VLOOKUP($B217,Hitters!$A1:$R401,14,FALSE)</f>
        <v>44.566666666666698</v>
      </c>
      <c r="X217" s="30">
        <f>VLOOKUP($B217,Hitters!$A1:$R401,15,FALSE)</f>
        <v>128.933333333333</v>
      </c>
      <c r="Y217" s="32">
        <f>VLOOKUP($B217,Hitters!$A1:$R401,16,FALSE)</f>
        <v>0.39263005780346799</v>
      </c>
      <c r="Z217" s="32">
        <f>VLOOKUP($B217,Hitters!$A1:$R401,17,FALSE)</f>
        <v>0.67757201165384096</v>
      </c>
      <c r="AA217" s="30">
        <f>VLOOKUP($B217,Hitters!$A1:$R401,18,FALSE)</f>
        <v>0</v>
      </c>
      <c r="AB217" s="30"/>
      <c r="AC217" s="30"/>
      <c r="AD217" s="32"/>
      <c r="AE217" s="32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</row>
    <row r="218" spans="1:44" ht="18.600000000000001" customHeight="1">
      <c r="A218" s="24">
        <f ca="1">RANK(I218,I$2:I$651)</f>
        <v>293</v>
      </c>
      <c r="B218" s="25" t="s">
        <v>391</v>
      </c>
      <c r="C218" s="26" t="s">
        <v>87</v>
      </c>
      <c r="D218" s="26" t="s">
        <v>70</v>
      </c>
      <c r="E218" s="35" t="s">
        <v>31</v>
      </c>
      <c r="F218" s="36">
        <f ca="1">VLOOKUP(B218,SP!A1:I161,IF(Settings!$J$13="points",4,7),FALSE)</f>
        <v>87</v>
      </c>
      <c r="G218" s="29">
        <f>(AC218*Settings!$F$2)+(AF218*Settings!$F$5)+(AG218*Settings!$F$6)+(AH218*Settings!$F$7)+(AI218*Settings!$F$8)+(AJ218*Settings!$F$9)+(AK218*Settings!$F$10)+(AL218*Settings!$F$11)+(AM218*Settings!$F$12)+(AN218*Settings!$F$13)+(AO218*Settings!$F$14)+(AP218*Settings!$F$15)+(AQ218*Settings!$F$16)+(AR218*Settings!$F$17)</f>
        <v>346.36399999999992</v>
      </c>
      <c r="H218" s="30">
        <f>VLOOKUP(B218,'Standard Deviations'!$A1:$D651,4,FALSE)</f>
        <v>-0.66260960938244573</v>
      </c>
      <c r="I218" s="31">
        <f ca="1">IF(Settings!$J$16="no",VLOOKUP(B218,SP!A1:I161,IF(Settings!$J$13="points",6,9),FALSE),VLOOKUP(B218,'SP+RP'!$A1:$I251,IF(Settings!$J$13="points",6,9),FALSE))</f>
        <v>-0.79859514209360782</v>
      </c>
      <c r="J218" s="30"/>
      <c r="K218" s="30">
        <f ca="1">J218-A218</f>
        <v>-293</v>
      </c>
      <c r="L218" s="30"/>
      <c r="M218" s="30"/>
      <c r="N218" s="30"/>
      <c r="O218" s="30"/>
      <c r="P218" s="30"/>
      <c r="Q218" s="30"/>
      <c r="R218" s="32"/>
      <c r="S218" s="32"/>
      <c r="T218" s="30"/>
      <c r="U218" s="30"/>
      <c r="V218" s="30"/>
      <c r="W218" s="30"/>
      <c r="X218" s="30"/>
      <c r="Y218" s="32"/>
      <c r="Z218" s="32"/>
      <c r="AA218" s="30"/>
      <c r="AB218" s="30"/>
      <c r="AC218" s="30">
        <f>VLOOKUP($B218,Pitchers!$A1:$S251,4,FALSE)</f>
        <v>169.76666666666665</v>
      </c>
      <c r="AD218" s="32">
        <f>VLOOKUP($B218,Pitchers!$A1:$S251,5,FALSE)</f>
        <v>3.9487963871981155</v>
      </c>
      <c r="AE218" s="32">
        <f>VLOOKUP($B218,Pitchers!$A1:$S251,6,FALSE)</f>
        <v>1.3483212252110741</v>
      </c>
      <c r="AF218" s="30">
        <f>VLOOKUP($B218,Pitchers!$A1:$S251,7,FALSE)</f>
        <v>140.96666666666667</v>
      </c>
      <c r="AG218" s="30">
        <f>VLOOKUP($B218,Pitchers!$A1:$S251,8,FALSE)</f>
        <v>9.9</v>
      </c>
      <c r="AH218" s="30">
        <f>VLOOKUP($B218,Pitchers!$A1:$S251,9,FALSE)</f>
        <v>0</v>
      </c>
      <c r="AI218" s="30">
        <f>VLOOKUP($B218,Pitchers!$A1:$S251,10,FALSE)</f>
        <v>74.486000000000004</v>
      </c>
      <c r="AJ218" s="30">
        <f>VLOOKUP($B218,Pitchers!$A1:$S251,11,FALSE)</f>
        <v>169.23333333333332</v>
      </c>
      <c r="AK218" s="30">
        <f>VLOOKUP($B218,Pitchers!$A1:$S251,12,FALSE)</f>
        <v>59.666666666666664</v>
      </c>
      <c r="AL218" s="30">
        <f>VLOOKUP($B218,Pitchers!$A1:$S251,13,FALSE)</f>
        <v>22</v>
      </c>
      <c r="AM218" s="30">
        <f>VLOOKUP($B218,Pitchers!$A1:$S251,14,FALSE)</f>
        <v>31.066666666666666</v>
      </c>
      <c r="AN218" s="30">
        <f>VLOOKUP($B218,Pitchers!$A1:$S251,15,FALSE)</f>
        <v>29.400000000000002</v>
      </c>
      <c r="AO218" s="30">
        <f>VLOOKUP($B218,Pitchers!$A1:$S251,16,FALSE)</f>
        <v>9.4666666666666668</v>
      </c>
      <c r="AP218" s="30">
        <f>VLOOKUP($B218,Pitchers!$A1:$S251,17,FALSE)</f>
        <v>16</v>
      </c>
      <c r="AQ218" s="30">
        <f>VLOOKUP($B218,Pitchers!$A1:$S251,18,FALSE)</f>
        <v>0</v>
      </c>
      <c r="AR218" s="30">
        <f>VLOOKUP($B218,Pitchers!$A1:$S251,19,FALSE)</f>
        <v>0</v>
      </c>
    </row>
    <row r="219" spans="1:44" ht="18.600000000000001" customHeight="1">
      <c r="A219" s="24">
        <f ca="1">RANK(I219,I$2:I$651)</f>
        <v>287</v>
      </c>
      <c r="B219" s="25" t="s">
        <v>384</v>
      </c>
      <c r="C219" s="26" t="s">
        <v>122</v>
      </c>
      <c r="D219" s="26" t="s">
        <v>75</v>
      </c>
      <c r="E219" s="47" t="s">
        <v>11</v>
      </c>
      <c r="F219" s="48">
        <f ca="1">VLOOKUP(B219,'2B'!A1:I50,IF(Settings!$J$13="points",4,7),FALSE)</f>
        <v>20</v>
      </c>
      <c r="G219" s="29">
        <f>(M219*Settings!$B$2)+(N219*Settings!$B$3)+(O219*Settings!$B$4)+(P219*Settings!$B$5)+(Q219*Settings!$B$6)+(T219*Settings!$B$9)+(U219*Settings!$B$10)+(V219*Settings!$B$11)+(W219*Settings!$B$12)+(X219*Settings!$B$13)+(AA219*Settings!$B$16)</f>
        <v>345.99999999999966</v>
      </c>
      <c r="H219" s="30">
        <f>VLOOKUP(B219,'Standard Deviations'!$A1:$D651,4,FALSE)</f>
        <v>1.5633581317804561</v>
      </c>
      <c r="I219" s="31">
        <f ca="1">IF(Settings!$J$16="no",VLOOKUP(B219,'2B'!A1:I50,IF(Settings!$J$13="points",6,9),FALSE),VLOOKUP(B219,'2B+SS'!$A1:$I94,IF(Settings!$J$13="points",6,9),FALSE))</f>
        <v>-0.7443749143428755</v>
      </c>
      <c r="J219" s="30"/>
      <c r="K219" s="30">
        <f ca="1">J219-A219</f>
        <v>-287</v>
      </c>
      <c r="L219" s="30"/>
      <c r="M219" s="30">
        <f>VLOOKUP($B219,Hitters!$A1:$R401,4,FALSE)</f>
        <v>442.33333333333297</v>
      </c>
      <c r="N219" s="30">
        <f>VLOOKUP($B219,Hitters!$A1:$R401,5,FALSE)</f>
        <v>61.033333333333303</v>
      </c>
      <c r="O219" s="30">
        <f>VLOOKUP($B219,Hitters!$A1:$R401,6,FALSE)</f>
        <v>9.56666666666667</v>
      </c>
      <c r="P219" s="30">
        <f>VLOOKUP($B219,Hitters!$A1:$R401,7,FALSE)</f>
        <v>48.8333333333333</v>
      </c>
      <c r="Q219" s="30">
        <f>VLOOKUP($B219,Hitters!$A1:$R401,8,FALSE)</f>
        <v>15.633333333333301</v>
      </c>
      <c r="R219" s="32">
        <f>VLOOKUP($B219,Hitters!$A1:$R401,9,FALSE)</f>
        <v>0.25817633760361702</v>
      </c>
      <c r="S219" s="32">
        <f>VLOOKUP($B219,Hitters!$A1:$R401,10,FALSE)</f>
        <v>0.33451843353322203</v>
      </c>
      <c r="T219" s="30">
        <f>VLOOKUP($B219,Hitters!$A1:$R401,11,FALSE)</f>
        <v>114.2</v>
      </c>
      <c r="U219" s="30">
        <f>VLOOKUP($B219,Hitters!$A1:$R401,12,FALSE)</f>
        <v>23.733333333333299</v>
      </c>
      <c r="V219" s="30">
        <f>VLOOKUP($B219,Hitters!$A1:$R401,13,FALSE)</f>
        <v>1.93333333333333</v>
      </c>
      <c r="W219" s="30">
        <f>VLOOKUP($B219,Hitters!$A1:$R401,14,FALSE)</f>
        <v>52.966666666666697</v>
      </c>
      <c r="X219" s="30">
        <f>VLOOKUP($B219,Hitters!$A1:$R401,15,FALSE)</f>
        <v>107.666666666667</v>
      </c>
      <c r="Y219" s="32">
        <f>VLOOKUP($B219,Hitters!$A1:$R401,16,FALSE)</f>
        <v>0.38545591559909598</v>
      </c>
      <c r="Z219" s="32">
        <f>VLOOKUP($B219,Hitters!$A1:$R401,17,FALSE)</f>
        <v>0.71997434913231695</v>
      </c>
      <c r="AA219" s="30">
        <f>VLOOKUP($B219,Hitters!$A1:$R401,18,FALSE)</f>
        <v>0</v>
      </c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</row>
    <row r="220" spans="1:44" ht="18.600000000000001" customHeight="1">
      <c r="A220" s="24">
        <f ca="1">RANK(I220,I$2:I$651)</f>
        <v>210</v>
      </c>
      <c r="B220" s="25" t="s">
        <v>307</v>
      </c>
      <c r="C220" s="26" t="s">
        <v>139</v>
      </c>
      <c r="D220" s="26" t="s">
        <v>75</v>
      </c>
      <c r="E220" s="27" t="s">
        <v>23</v>
      </c>
      <c r="F220" s="28">
        <f ca="1">VLOOKUP(B220,OF!A1:I139,IF(Settings!$J$13="points",4,7),FALSE)</f>
        <v>60</v>
      </c>
      <c r="G220" s="29">
        <f>(M220*Settings!$B$2)+(N220*Settings!$B$3)+(O220*Settings!$B$4)+(P220*Settings!$B$5)+(Q220*Settings!$B$6)+(T220*Settings!$B$9)+(U220*Settings!$B$10)+(V220*Settings!$B$11)+(W220*Settings!$B$12)+(X220*Settings!$B$13)+(AA220*Settings!$B$16)</f>
        <v>345.48333333333301</v>
      </c>
      <c r="H220" s="30">
        <f>VLOOKUP(B220,'Standard Deviations'!$A1:$D651,4,FALSE)</f>
        <v>0.47245689308508632</v>
      </c>
      <c r="I220" s="31">
        <f ca="1">VLOOKUP(B220,OF!A1:I139,IF(Settings!$J$13="points",6,9),FALSE)</f>
        <v>0.3537377286571311</v>
      </c>
      <c r="J220" s="30"/>
      <c r="K220" s="30">
        <f ca="1">J220-A220</f>
        <v>-210</v>
      </c>
      <c r="L220" s="30"/>
      <c r="M220" s="30">
        <f>VLOOKUP($B220,Hitters!$A1:$R401,4,FALSE)</f>
        <v>435.66666666666703</v>
      </c>
      <c r="N220" s="30">
        <f>VLOOKUP($B220,Hitters!$A1:$R401,5,FALSE)</f>
        <v>58.9</v>
      </c>
      <c r="O220" s="30">
        <f>VLOOKUP($B220,Hitters!$A1:$R401,6,FALSE)</f>
        <v>16.233333333333299</v>
      </c>
      <c r="P220" s="30">
        <f>VLOOKUP($B220,Hitters!$A1:$R401,7,FALSE)</f>
        <v>59.6666666666667</v>
      </c>
      <c r="Q220" s="30">
        <f>VLOOKUP($B220,Hitters!$A1:$R401,8,FALSE)</f>
        <v>6.7666666666666702</v>
      </c>
      <c r="R220" s="32">
        <f>VLOOKUP($B220,Hitters!$A1:$R401,9,FALSE)</f>
        <v>0.237796480489671</v>
      </c>
      <c r="S220" s="32">
        <f>VLOOKUP($B220,Hitters!$A1:$R401,10,FALSE)</f>
        <v>0.31892136287258699</v>
      </c>
      <c r="T220" s="30">
        <f>VLOOKUP($B220,Hitters!$A1:$R401,11,FALSE)</f>
        <v>103.6</v>
      </c>
      <c r="U220" s="30">
        <f>VLOOKUP($B220,Hitters!$A1:$R401,12,FALSE)</f>
        <v>21.2</v>
      </c>
      <c r="V220" s="30">
        <f>VLOOKUP($B220,Hitters!$A1:$R401,13,FALSE)</f>
        <v>0.53333333333333299</v>
      </c>
      <c r="W220" s="30">
        <f>VLOOKUP($B220,Hitters!$A1:$R401,14,FALSE)</f>
        <v>53.933333333333302</v>
      </c>
      <c r="X220" s="30">
        <f>VLOOKUP($B220,Hitters!$A1:$R401,15,FALSE)</f>
        <v>106.166666666667</v>
      </c>
      <c r="Y220" s="32">
        <f>VLOOKUP($B220,Hitters!$A1:$R401,16,FALSE)</f>
        <v>0.40068859984697802</v>
      </c>
      <c r="Z220" s="32">
        <f>VLOOKUP($B220,Hitters!$A1:$R401,17,FALSE)</f>
        <v>0.71960996271956401</v>
      </c>
      <c r="AA220" s="30">
        <f>VLOOKUP($B220,Hitters!$A1:$R401,18,FALSE)</f>
        <v>0</v>
      </c>
      <c r="AB220" s="30"/>
      <c r="AC220" s="30"/>
      <c r="AD220" s="32"/>
      <c r="AE220" s="32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</row>
    <row r="221" spans="1:44" ht="18.600000000000001" customHeight="1">
      <c r="A221" s="24">
        <f ca="1">RANK(I221,I$2:I$651)</f>
        <v>341</v>
      </c>
      <c r="B221" s="25" t="s">
        <v>439</v>
      </c>
      <c r="C221" s="26" t="s">
        <v>178</v>
      </c>
      <c r="D221" s="26" t="s">
        <v>75</v>
      </c>
      <c r="E221" s="35" t="s">
        <v>31</v>
      </c>
      <c r="F221" s="36">
        <f ca="1">VLOOKUP(B221,SP!A1:I161,IF(Settings!$J$13="points",4,7),FALSE)</f>
        <v>101</v>
      </c>
      <c r="G221" s="29">
        <f>(AC221*Settings!$F$2)+(AF221*Settings!$F$5)+(AG221*Settings!$F$6)+(AH221*Settings!$F$7)+(AI221*Settings!$F$8)+(AJ221*Settings!$F$9)+(AK221*Settings!$F$10)+(AL221*Settings!$F$11)+(AM221*Settings!$F$12)+(AN221*Settings!$F$13)+(AO221*Settings!$F$14)+(AP221*Settings!$F$15)+(AQ221*Settings!$F$16)+(AR221*Settings!$F$17)</f>
        <v>345.226</v>
      </c>
      <c r="H221" s="30">
        <f>VLOOKUP(B221,'Standard Deviations'!$A1:$D651,4,FALSE)</f>
        <v>-1.6065915602978549</v>
      </c>
      <c r="I221" s="31">
        <f ca="1">IF(Settings!$J$16="no",VLOOKUP(B221,SP!A1:I161,IF(Settings!$J$13="points",6,9),FALSE),VLOOKUP(B221,'SP+RP'!$A1:$I251,IF(Settings!$J$13="points",6,9),FALSE))</f>
        <v>-1.7425695055926118</v>
      </c>
      <c r="J221" s="30"/>
      <c r="K221" s="30">
        <f ca="1">J221-A221</f>
        <v>-341</v>
      </c>
      <c r="L221" s="30"/>
      <c r="M221" s="30"/>
      <c r="N221" s="30"/>
      <c r="O221" s="30"/>
      <c r="P221" s="30"/>
      <c r="Q221" s="30"/>
      <c r="R221" s="32"/>
      <c r="S221" s="32"/>
      <c r="T221" s="30"/>
      <c r="U221" s="30"/>
      <c r="V221" s="30"/>
      <c r="W221" s="30"/>
      <c r="X221" s="30"/>
      <c r="Y221" s="32"/>
      <c r="Z221" s="32"/>
      <c r="AA221" s="30"/>
      <c r="AB221" s="30"/>
      <c r="AC221" s="30">
        <f>VLOOKUP($B221,Pitchers!$A1:$S251,4,FALSE)</f>
        <v>185.16666666666666</v>
      </c>
      <c r="AD221" s="32">
        <f>VLOOKUP($B221,Pitchers!$A1:$S251,5,FALSE)</f>
        <v>4.7061170117011697</v>
      </c>
      <c r="AE221" s="32">
        <f>VLOOKUP($B221,Pitchers!$A1:$S251,6,FALSE)</f>
        <v>1.3549954995499551</v>
      </c>
      <c r="AF221" s="30">
        <f>VLOOKUP($B221,Pitchers!$A1:$S251,7,FALSE)</f>
        <v>159.83333333333334</v>
      </c>
      <c r="AG221" s="30">
        <f>VLOOKUP($B221,Pitchers!$A1:$S251,8,FALSE)</f>
        <v>10.433333333333334</v>
      </c>
      <c r="AH221" s="30">
        <f>VLOOKUP($B221,Pitchers!$A1:$S251,9,FALSE)</f>
        <v>0</v>
      </c>
      <c r="AI221" s="30">
        <f>VLOOKUP($B221,Pitchers!$A1:$S251,10,FALSE)</f>
        <v>96.823999999999998</v>
      </c>
      <c r="AJ221" s="30">
        <f>VLOOKUP($B221,Pitchers!$A1:$S251,11,FALSE)</f>
        <v>189</v>
      </c>
      <c r="AK221" s="30">
        <f>VLOOKUP($B221,Pitchers!$A1:$S251,12,FALSE)</f>
        <v>61.9</v>
      </c>
      <c r="AL221" s="30">
        <f>VLOOKUP($B221,Pitchers!$A1:$S251,13,FALSE)</f>
        <v>28</v>
      </c>
      <c r="AM221" s="30">
        <f>VLOOKUP($B221,Pitchers!$A1:$S251,14,FALSE)</f>
        <v>31.599999999999998</v>
      </c>
      <c r="AN221" s="30">
        <f>VLOOKUP($B221,Pitchers!$A1:$S251,15,FALSE)</f>
        <v>31.266666666666666</v>
      </c>
      <c r="AO221" s="30">
        <f>VLOOKUP($B221,Pitchers!$A1:$S251,16,FALSE)</f>
        <v>11.5</v>
      </c>
      <c r="AP221" s="30">
        <f>VLOOKUP($B221,Pitchers!$A1:$S251,17,FALSE)</f>
        <v>14</v>
      </c>
      <c r="AQ221" s="30">
        <f>VLOOKUP($B221,Pitchers!$A1:$S251,18,FALSE)</f>
        <v>0</v>
      </c>
      <c r="AR221" s="30">
        <f>VLOOKUP($B221,Pitchers!$A1:$S251,19,FALSE)</f>
        <v>0</v>
      </c>
    </row>
    <row r="222" spans="1:44" ht="18.600000000000001" customHeight="1">
      <c r="A222" s="24">
        <f ca="1">RANK(I222,I$2:I$651)</f>
        <v>292</v>
      </c>
      <c r="B222" s="25" t="s">
        <v>388</v>
      </c>
      <c r="C222" s="26" t="s">
        <v>309</v>
      </c>
      <c r="D222" s="26" t="s">
        <v>75</v>
      </c>
      <c r="E222" s="33" t="s">
        <v>15</v>
      </c>
      <c r="F222" s="34">
        <f ca="1">VLOOKUP(B222,'3B'!A1:I55,IF(Settings!$J$13="points",4,7),FALSE)</f>
        <v>23</v>
      </c>
      <c r="G222" s="29">
        <f>(M222*Settings!$B$2)+(N222*Settings!$B$3)+(O222*Settings!$B$4)+(P222*Settings!$B$5)+(Q222*Settings!$B$6)+(T222*Settings!$B$9)+(U222*Settings!$B$10)+(V222*Settings!$B$11)+(W222*Settings!$B$12)+(X222*Settings!$B$13)+(AA222*Settings!$B$16)</f>
        <v>344.88333333333327</v>
      </c>
      <c r="H222" s="30">
        <f>VLOOKUP(B222,'Standard Deviations'!$A1:$D651,4,FALSE)</f>
        <v>-5.6954674041227032E-2</v>
      </c>
      <c r="I222" s="31">
        <f ca="1">IF(Settings!$J$15="no",VLOOKUP(B222,'3B'!A1:I55,IF(Settings!$J$13="points",6,9),FALSE),VLOOKUP(B222,'1B+3B'!$A1:$I104,IF(Settings!$J$13="points",6,9),FALSE))</f>
        <v>-0.78463351151426908</v>
      </c>
      <c r="J222" s="30"/>
      <c r="K222" s="30">
        <f ca="1">J222-A222</f>
        <v>-292</v>
      </c>
      <c r="L222" s="30"/>
      <c r="M222" s="30">
        <f>VLOOKUP($B222,Hitters!$A1:$R401,4,FALSE)</f>
        <v>470.66666666666703</v>
      </c>
      <c r="N222" s="30">
        <f>VLOOKUP($B222,Hitters!$A1:$R401,5,FALSE)</f>
        <v>59.6</v>
      </c>
      <c r="O222" s="30">
        <f>VLOOKUP($B222,Hitters!$A1:$R401,6,FALSE)</f>
        <v>15.2</v>
      </c>
      <c r="P222" s="30">
        <f>VLOOKUP($B222,Hitters!$A1:$R401,7,FALSE)</f>
        <v>60.1666666666667</v>
      </c>
      <c r="Q222" s="30">
        <f>VLOOKUP($B222,Hitters!$A1:$R401,8,FALSE)</f>
        <v>0.8</v>
      </c>
      <c r="R222" s="32">
        <f>VLOOKUP($B222,Hitters!$A1:$R401,9,FALSE)</f>
        <v>0.24688385269121799</v>
      </c>
      <c r="S222" s="32">
        <f>VLOOKUP($B222,Hitters!$A1:$R401,10,FALSE)</f>
        <v>0.308182238430325</v>
      </c>
      <c r="T222" s="30">
        <f>VLOOKUP($B222,Hitters!$A1:$R401,11,FALSE)</f>
        <v>116.2</v>
      </c>
      <c r="U222" s="30">
        <f>VLOOKUP($B222,Hitters!$A1:$R401,12,FALSE)</f>
        <v>27.9</v>
      </c>
      <c r="V222" s="30">
        <f>VLOOKUP($B222,Hitters!$A1:$R401,13,FALSE)</f>
        <v>2.2000000000000002</v>
      </c>
      <c r="W222" s="30">
        <f>VLOOKUP($B222,Hitters!$A1:$R401,14,FALSE)</f>
        <v>43.8</v>
      </c>
      <c r="X222" s="30">
        <f>VLOOKUP($B222,Hitters!$A1:$R401,15,FALSE)</f>
        <v>119.366666666667</v>
      </c>
      <c r="Y222" s="32">
        <f>VLOOKUP($B222,Hitters!$A1:$R401,16,FALSE)</f>
        <v>0.412393767705382</v>
      </c>
      <c r="Z222" s="32">
        <f>VLOOKUP($B222,Hitters!$A1:$R401,17,FALSE)</f>
        <v>0.72057600613570705</v>
      </c>
      <c r="AA222" s="30">
        <f>VLOOKUP($B222,Hitters!$A1:$R401,18,FALSE)</f>
        <v>0</v>
      </c>
      <c r="AB222" s="30"/>
      <c r="AC222" s="30"/>
      <c r="AD222" s="32"/>
      <c r="AE222" s="32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</row>
    <row r="223" spans="1:44" ht="18.600000000000001" customHeight="1">
      <c r="A223" s="24">
        <f ca="1">RANK(I223,I$2:I$651)</f>
        <v>398</v>
      </c>
      <c r="B223" s="25" t="s">
        <v>495</v>
      </c>
      <c r="C223" s="26" t="s">
        <v>219</v>
      </c>
      <c r="D223" s="26" t="s">
        <v>75</v>
      </c>
      <c r="E223" s="39" t="s">
        <v>7</v>
      </c>
      <c r="F223" s="40">
        <f ca="1">VLOOKUP(B223,'1B'!A1:I63,IF(Settings!$J$13="points",4,7),FALSE)</f>
        <v>31</v>
      </c>
      <c r="G223" s="29">
        <f>(M223*Settings!$B$2)+(N223*Settings!$B$3)+(O223*Settings!$B$4)+(P223*Settings!$B$5)+(Q223*Settings!$B$6)+(T223*Settings!$B$9)+(U223*Settings!$B$10)+(V223*Settings!$B$11)+(W223*Settings!$B$12)+(X223*Settings!$B$13)+(AA223*Settings!$B$16)</f>
        <v>344.60000000000042</v>
      </c>
      <c r="H223" s="30">
        <f>VLOOKUP(B223,'Standard Deviations'!$A1:$D651,4,FALSE)</f>
        <v>0.1790524989311521</v>
      </c>
      <c r="I223" s="31">
        <f ca="1">IF(Settings!$J$15="no",VLOOKUP(B223,'1B'!A1:I63,IF(Settings!$J$13="points",6,9),FALSE),VLOOKUP(B223,'1B+3B'!$A1:$I104,IF(Settings!$J$13="points",6,9),FALSE))</f>
        <v>-2.4004766995473332</v>
      </c>
      <c r="J223" s="30"/>
      <c r="K223" s="30">
        <f ca="1">J223-A223</f>
        <v>-398</v>
      </c>
      <c r="L223" s="30"/>
      <c r="M223" s="30">
        <f>VLOOKUP($B223,Hitters!$A1:$R401,4,FALSE)</f>
        <v>436.66666666666703</v>
      </c>
      <c r="N223" s="30">
        <f>VLOOKUP($B223,Hitters!$A1:$R401,5,FALSE)</f>
        <v>59.1666666666667</v>
      </c>
      <c r="O223" s="30">
        <f>VLOOKUP($B223,Hitters!$A1:$R401,6,FALSE)</f>
        <v>16.899999999999999</v>
      </c>
      <c r="P223" s="30">
        <f>VLOOKUP($B223,Hitters!$A1:$R401,7,FALSE)</f>
        <v>58.6</v>
      </c>
      <c r="Q223" s="30">
        <f>VLOOKUP($B223,Hitters!$A1:$R401,8,FALSE)</f>
        <v>1</v>
      </c>
      <c r="R223" s="32">
        <f>VLOOKUP($B223,Hitters!$A1:$R401,9,FALSE)</f>
        <v>0.248625954198473</v>
      </c>
      <c r="S223" s="32">
        <f>VLOOKUP($B223,Hitters!$A1:$R401,10,FALSE)</f>
        <v>0.31351090921605101</v>
      </c>
      <c r="T223" s="30">
        <f>VLOOKUP($B223,Hitters!$A1:$R401,11,FALSE)</f>
        <v>108.566666666667</v>
      </c>
      <c r="U223" s="30">
        <f>VLOOKUP($B223,Hitters!$A1:$R401,12,FALSE)</f>
        <v>21</v>
      </c>
      <c r="V223" s="30">
        <f>VLOOKUP($B223,Hitters!$A1:$R401,13,FALSE)</f>
        <v>1.06666666666667</v>
      </c>
      <c r="W223" s="30">
        <f>VLOOKUP($B223,Hitters!$A1:$R401,14,FALSE)</f>
        <v>43.266666666666701</v>
      </c>
      <c r="X223" s="30">
        <f>VLOOKUP($B223,Hitters!$A1:$R401,15,FALSE)</f>
        <v>79.599999999999994</v>
      </c>
      <c r="Y223" s="32">
        <f>VLOOKUP($B223,Hitters!$A1:$R401,16,FALSE)</f>
        <v>0.41770992366412202</v>
      </c>
      <c r="Z223" s="32">
        <f>VLOOKUP($B223,Hitters!$A1:$R401,17,FALSE)</f>
        <v>0.73122083288017303</v>
      </c>
      <c r="AA223" s="30">
        <f>VLOOKUP($B223,Hitters!$A1:$R401,18,FALSE)</f>
        <v>0</v>
      </c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</row>
    <row r="224" spans="1:44" ht="18.600000000000001" customHeight="1">
      <c r="A224" s="24">
        <f ca="1">RANK(I224,I$2:I$651)</f>
        <v>217</v>
      </c>
      <c r="B224" s="25" t="s">
        <v>316</v>
      </c>
      <c r="C224" s="26" t="s">
        <v>85</v>
      </c>
      <c r="D224" s="26" t="s">
        <v>70</v>
      </c>
      <c r="E224" s="35" t="s">
        <v>31</v>
      </c>
      <c r="F224" s="36">
        <f ca="1">VLOOKUP(B224,SP!A1:I161,IF(Settings!$J$13="points",4,7),FALSE)</f>
        <v>64</v>
      </c>
      <c r="G224" s="29">
        <f>(AC224*Settings!$F$2)+(AF224*Settings!$F$5)+(AG224*Settings!$F$6)+(AH224*Settings!$F$7)+(AI224*Settings!$F$8)+(AJ224*Settings!$F$9)+(AK224*Settings!$F$10)+(AL224*Settings!$F$11)+(AM224*Settings!$F$12)+(AN224*Settings!$F$13)+(AO224*Settings!$F$14)+(AP224*Settings!$F$15)+(AQ224*Settings!$F$16)+(AR224*Settings!$F$17)</f>
        <v>344.30000000000007</v>
      </c>
      <c r="H224" s="30">
        <f>VLOOKUP(B224,'Standard Deviations'!$A1:$D651,4,FALSE)</f>
        <v>0.36592097805248114</v>
      </c>
      <c r="I224" s="31">
        <f ca="1">IF(Settings!$J$16="no",VLOOKUP(B224,SP!A1:I161,IF(Settings!$J$13="points",6,9),FALSE),VLOOKUP(B224,'SP+RP'!$A1:$I251,IF(Settings!$J$13="points",6,9),FALSE))</f>
        <v>0.22993954124799212</v>
      </c>
      <c r="J224" s="30"/>
      <c r="K224" s="30">
        <f ca="1">J224-A224</f>
        <v>-217</v>
      </c>
      <c r="L224" s="30"/>
      <c r="M224" s="30"/>
      <c r="N224" s="30"/>
      <c r="O224" s="30"/>
      <c r="P224" s="30"/>
      <c r="Q224" s="30"/>
      <c r="R224" s="32"/>
      <c r="S224" s="32"/>
      <c r="T224" s="30"/>
      <c r="U224" s="30"/>
      <c r="V224" s="30"/>
      <c r="W224" s="30"/>
      <c r="X224" s="30"/>
      <c r="Y224" s="32"/>
      <c r="Z224" s="32"/>
      <c r="AA224" s="30"/>
      <c r="AB224" s="30"/>
      <c r="AC224" s="30">
        <f>VLOOKUP($B224,Pitchers!$A1:$S251,4,FALSE)</f>
        <v>157.06666666666669</v>
      </c>
      <c r="AD224" s="32">
        <f>VLOOKUP($B224,Pitchers!$A1:$S251,5,FALSE)</f>
        <v>3.6042020373514427</v>
      </c>
      <c r="AE224" s="32">
        <f>VLOOKUP($B224,Pitchers!$A1:$S251,6,FALSE)</f>
        <v>1.3140916808149403</v>
      </c>
      <c r="AF224" s="30">
        <f>VLOOKUP($B224,Pitchers!$A1:$S251,7,FALSE)</f>
        <v>156.33333333333334</v>
      </c>
      <c r="AG224" s="30">
        <f>VLOOKUP($B224,Pitchers!$A1:$S251,8,FALSE)</f>
        <v>8.8666666666666671</v>
      </c>
      <c r="AH224" s="30">
        <f>VLOOKUP($B224,Pitchers!$A1:$S251,9,FALSE)</f>
        <v>0</v>
      </c>
      <c r="AI224" s="30">
        <f>VLOOKUP($B224,Pitchers!$A1:$S251,10,FALSE)</f>
        <v>62.9</v>
      </c>
      <c r="AJ224" s="30">
        <f>VLOOKUP($B224,Pitchers!$A1:$S251,11,FALSE)</f>
        <v>147.23333333333332</v>
      </c>
      <c r="AK224" s="30">
        <f>VLOOKUP($B224,Pitchers!$A1:$S251,12,FALSE)</f>
        <v>59.166666666666664</v>
      </c>
      <c r="AL224" s="30">
        <f>VLOOKUP($B224,Pitchers!$A1:$S251,13,FALSE)</f>
        <v>19</v>
      </c>
      <c r="AM224" s="30">
        <f>VLOOKUP($B224,Pitchers!$A1:$S251,14,FALSE)</f>
        <v>28.599999999999998</v>
      </c>
      <c r="AN224" s="30">
        <f>VLOOKUP($B224,Pitchers!$A1:$S251,15,FALSE)</f>
        <v>28.599999999999998</v>
      </c>
      <c r="AO224" s="30">
        <f>VLOOKUP($B224,Pitchers!$A1:$S251,16,FALSE)</f>
        <v>8.5666666666666664</v>
      </c>
      <c r="AP224" s="30">
        <f>VLOOKUP($B224,Pitchers!$A1:$S251,17,FALSE)</f>
        <v>15</v>
      </c>
      <c r="AQ224" s="30">
        <f>VLOOKUP($B224,Pitchers!$A1:$S251,18,FALSE)</f>
        <v>0</v>
      </c>
      <c r="AR224" s="30">
        <f>VLOOKUP($B224,Pitchers!$A1:$S251,19,FALSE)</f>
        <v>0</v>
      </c>
    </row>
    <row r="225" spans="1:44" ht="18.600000000000001" customHeight="1">
      <c r="A225" s="24">
        <f ca="1">RANK(I225,I$2:I$651)</f>
        <v>173</v>
      </c>
      <c r="B225" s="25" t="s">
        <v>269</v>
      </c>
      <c r="C225" s="26" t="s">
        <v>79</v>
      </c>
      <c r="D225" s="26" t="s">
        <v>70</v>
      </c>
      <c r="E225" s="27" t="s">
        <v>23</v>
      </c>
      <c r="F225" s="28">
        <f ca="1">VLOOKUP(B225,OF!A1:I139,IF(Settings!$J$13="points",4,7),FALSE)</f>
        <v>50</v>
      </c>
      <c r="G225" s="29">
        <f>(M225*Settings!$B$2)+(N225*Settings!$B$3)+(O225*Settings!$B$4)+(P225*Settings!$B$5)+(Q225*Settings!$B$6)+(T225*Settings!$B$9)+(U225*Settings!$B$10)+(V225*Settings!$B$11)+(W225*Settings!$B$12)+(X225*Settings!$B$13)+(AA225*Settings!$B$16)</f>
        <v>343.78333333333313</v>
      </c>
      <c r="H225" s="30">
        <f>VLOOKUP(B225,'Standard Deviations'!$A1:$D651,4,FALSE)</f>
        <v>1.1322131540879738</v>
      </c>
      <c r="I225" s="31">
        <f ca="1">VLOOKUP(B225,OF!A1:I139,IF(Settings!$J$13="points",6,9),FALSE)</f>
        <v>1.0134935008301704</v>
      </c>
      <c r="J225" s="30"/>
      <c r="K225" s="30">
        <f ca="1">J225-A225</f>
        <v>-173</v>
      </c>
      <c r="L225" s="30"/>
      <c r="M225" s="30">
        <f>VLOOKUP($B225,Hitters!$A1:$R401,4,FALSE)</f>
        <v>433</v>
      </c>
      <c r="N225" s="30">
        <f>VLOOKUP($B225,Hitters!$A1:$R401,5,FALSE)</f>
        <v>60.6</v>
      </c>
      <c r="O225" s="30">
        <f>VLOOKUP($B225,Hitters!$A1:$R401,6,FALSE)</f>
        <v>9.3000000000000007</v>
      </c>
      <c r="P225" s="30">
        <f>VLOOKUP($B225,Hitters!$A1:$R401,7,FALSE)</f>
        <v>49.1666666666667</v>
      </c>
      <c r="Q225" s="30">
        <f>VLOOKUP($B225,Hitters!$A1:$R401,8,FALSE)</f>
        <v>2.1333333333333302</v>
      </c>
      <c r="R225" s="32">
        <f>VLOOKUP($B225,Hitters!$A1:$R401,9,FALSE)</f>
        <v>0.29176289453425702</v>
      </c>
      <c r="S225" s="32">
        <f>VLOOKUP($B225,Hitters!$A1:$R401,10,FALSE)</f>
        <v>0.34928406530942502</v>
      </c>
      <c r="T225" s="30">
        <f>VLOOKUP($B225,Hitters!$A1:$R401,11,FALSE)</f>
        <v>126.333333333333</v>
      </c>
      <c r="U225" s="30">
        <f>VLOOKUP($B225,Hitters!$A1:$R401,12,FALSE)</f>
        <v>24.466666666666701</v>
      </c>
      <c r="V225" s="30">
        <f>VLOOKUP($B225,Hitters!$A1:$R401,13,FALSE)</f>
        <v>2.0333333333333301</v>
      </c>
      <c r="W225" s="30">
        <f>VLOOKUP($B225,Hitters!$A1:$R401,14,FALSE)</f>
        <v>40.6</v>
      </c>
      <c r="X225" s="30">
        <f>VLOOKUP($B225,Hitters!$A1:$R401,15,FALSE)</f>
        <v>58.8333333333333</v>
      </c>
      <c r="Y225" s="32">
        <f>VLOOKUP($B225,Hitters!$A1:$R401,16,FALSE)</f>
        <v>0.42209391839876798</v>
      </c>
      <c r="Z225" s="32">
        <f>VLOOKUP($B225,Hitters!$A1:$R401,17,FALSE)</f>
        <v>0.77137798370819299</v>
      </c>
      <c r="AA225" s="30">
        <f>VLOOKUP($B225,Hitters!$A1:$R401,18,FALSE)</f>
        <v>0</v>
      </c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</row>
    <row r="226" spans="1:44" ht="18.600000000000001" customHeight="1">
      <c r="A226" s="24">
        <f ca="1">RANK(I226,I$2:I$651)</f>
        <v>208</v>
      </c>
      <c r="B226" s="25" t="s">
        <v>305</v>
      </c>
      <c r="C226" s="26" t="s">
        <v>85</v>
      </c>
      <c r="D226" s="26" t="s">
        <v>70</v>
      </c>
      <c r="E226" s="33" t="s">
        <v>15</v>
      </c>
      <c r="F226" s="34">
        <f ca="1">VLOOKUP(B226,'3B'!A1:I55,IF(Settings!$J$13="points",4,7),FALSE)</f>
        <v>17</v>
      </c>
      <c r="G226" s="29">
        <f>(M226*Settings!$B$2)+(N226*Settings!$B$3)+(O226*Settings!$B$4)+(P226*Settings!$B$5)+(Q226*Settings!$B$6)+(T226*Settings!$B$9)+(U226*Settings!$B$10)+(V226*Settings!$B$11)+(W226*Settings!$B$12)+(X226*Settings!$B$13)+(AA226*Settings!$B$16)</f>
        <v>343.53333333333296</v>
      </c>
      <c r="H226" s="30">
        <f>VLOOKUP(B226,'Standard Deviations'!$A1:$D651,4,FALSE)</f>
        <v>1.0943946681817773</v>
      </c>
      <c r="I226" s="31">
        <f ca="1">IF(Settings!$J$15="no",VLOOKUP(B226,'3B'!A1:I55,IF(Settings!$J$13="points",6,9),FALSE),VLOOKUP(B226,'1B+3B'!$A1:$I104,IF(Settings!$J$13="points",6,9),FALSE))</f>
        <v>0.36671477290699361</v>
      </c>
      <c r="J226" s="30"/>
      <c r="K226" s="30">
        <f ca="1">J226-A226</f>
        <v>-208</v>
      </c>
      <c r="L226" s="30"/>
      <c r="M226" s="30">
        <f>VLOOKUP($B226,Hitters!$A1:$R401,4,FALSE)</f>
        <v>433.66666666666703</v>
      </c>
      <c r="N226" s="30">
        <f>VLOOKUP($B226,Hitters!$A1:$R401,5,FALSE)</f>
        <v>60.2</v>
      </c>
      <c r="O226" s="30">
        <f>VLOOKUP($B226,Hitters!$A1:$R401,6,FALSE)</f>
        <v>19.233333333333299</v>
      </c>
      <c r="P226" s="30">
        <f>VLOOKUP($B226,Hitters!$A1:$R401,7,FALSE)</f>
        <v>63.733333333333299</v>
      </c>
      <c r="Q226" s="30">
        <f>VLOOKUP($B226,Hitters!$A1:$R401,8,FALSE)</f>
        <v>2.2666666666666702</v>
      </c>
      <c r="R226" s="32">
        <f>VLOOKUP($B226,Hitters!$A1:$R401,9,FALSE)</f>
        <v>0.25165257494235199</v>
      </c>
      <c r="S226" s="32">
        <f>VLOOKUP($B226,Hitters!$A1:$R401,10,FALSE)</f>
        <v>0.29739141581387402</v>
      </c>
      <c r="T226" s="30">
        <f>VLOOKUP($B226,Hitters!$A1:$R401,11,FALSE)</f>
        <v>109.133333333333</v>
      </c>
      <c r="U226" s="30">
        <f>VLOOKUP($B226,Hitters!$A1:$R401,12,FALSE)</f>
        <v>23.566666666666698</v>
      </c>
      <c r="V226" s="30">
        <f>VLOOKUP($B226,Hitters!$A1:$R401,13,FALSE)</f>
        <v>1.5</v>
      </c>
      <c r="W226" s="30">
        <f>VLOOKUP($B226,Hitters!$A1:$R401,14,FALSE)</f>
        <v>30.066666666666698</v>
      </c>
      <c r="X226" s="30">
        <f>VLOOKUP($B226,Hitters!$A1:$R401,15,FALSE)</f>
        <v>105.4</v>
      </c>
      <c r="Y226" s="32">
        <f>VLOOKUP($B226,Hitters!$A1:$R401,16,FALSE)</f>
        <v>0.44596464258262902</v>
      </c>
      <c r="Z226" s="32">
        <f>VLOOKUP($B226,Hitters!$A1:$R401,17,FALSE)</f>
        <v>0.74335605839650298</v>
      </c>
      <c r="AA226" s="30">
        <f>VLOOKUP($B226,Hitters!$A1:$R401,18,FALSE)</f>
        <v>0</v>
      </c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</row>
    <row r="227" spans="1:44" ht="18.600000000000001" customHeight="1">
      <c r="A227" s="24">
        <f ca="1">RANK(I227,I$2:I$651)</f>
        <v>96</v>
      </c>
      <c r="B227" s="25" t="s">
        <v>190</v>
      </c>
      <c r="C227" s="26" t="s">
        <v>74</v>
      </c>
      <c r="D227" s="26" t="s">
        <v>75</v>
      </c>
      <c r="E227" s="41" t="s">
        <v>34</v>
      </c>
      <c r="F227" s="42">
        <f ca="1">VLOOKUP(B227,RP!A1:I91,IF(Settings!$J$13="points",4,7),FALSE)</f>
        <v>8</v>
      </c>
      <c r="G227" s="29">
        <f>(AC227*Settings!$F$2)+(AF227*Settings!$F$5)+(AG227*Settings!$F$6)+(AH227*Settings!$F$7)+(AI227*Settings!$F$8)+(AJ227*Settings!$F$9)+(AK227*Settings!$F$10)+(AL227*Settings!$F$11)+(AM227*Settings!$F$12)+(AN227*Settings!$F$13)+(AO227*Settings!$F$14)+(AP227*Settings!$F$15)+(AQ227*Settings!$F$16)+(AR227*Settings!$F$17)</f>
        <v>343.01666666666665</v>
      </c>
      <c r="H227" s="30">
        <f>VLOOKUP(B227,'Standard Deviations'!$A1:$D651,4,FALSE)</f>
        <v>4.6794839742505827</v>
      </c>
      <c r="I227" s="31">
        <f ca="1">IF(Settings!$J$16="no",VLOOKUP(B227,RP!A1:I91,IF(Settings!$J$13="points",6,9),FALSE),VLOOKUP(B227,'SP+RP'!$A1:$I251,IF(Settings!$J$13="points",6,9),FALSE))</f>
        <v>3.1084147168590217</v>
      </c>
      <c r="J227" s="30"/>
      <c r="K227" s="30">
        <f ca="1">J227-A227</f>
        <v>-96</v>
      </c>
      <c r="L227" s="30"/>
      <c r="M227" s="30"/>
      <c r="N227" s="30"/>
      <c r="O227" s="30"/>
      <c r="P227" s="30"/>
      <c r="Q227" s="30"/>
      <c r="R227" s="32"/>
      <c r="S227" s="32"/>
      <c r="T227" s="30"/>
      <c r="U227" s="30"/>
      <c r="V227" s="30"/>
      <c r="W227" s="30"/>
      <c r="X227" s="30"/>
      <c r="Y227" s="32"/>
      <c r="Z227" s="32"/>
      <c r="AA227" s="30"/>
      <c r="AB227" s="30"/>
      <c r="AC227" s="30">
        <f>VLOOKUP($B227,Pitchers!$A1:$S251,4,FALSE)</f>
        <v>64.433333333333337</v>
      </c>
      <c r="AD227" s="32">
        <f>VLOOKUP($B227,Pitchers!$A1:$S251,5,FALSE)</f>
        <v>3.0636316606311431</v>
      </c>
      <c r="AE227" s="32">
        <f>VLOOKUP($B227,Pitchers!$A1:$S251,6,FALSE)</f>
        <v>1.0398344542162441</v>
      </c>
      <c r="AF227" s="30">
        <f>VLOOKUP($B227,Pitchers!$A1:$S251,7,FALSE)</f>
        <v>79.833333333333329</v>
      </c>
      <c r="AG227" s="30">
        <f>VLOOKUP($B227,Pitchers!$A1:$S251,8,FALSE)</f>
        <v>3.8666666666666667</v>
      </c>
      <c r="AH227" s="30">
        <f>VLOOKUP($B227,Pitchers!$A1:$S251,9,FALSE)</f>
        <v>27.333333333333332</v>
      </c>
      <c r="AI227" s="30">
        <f>VLOOKUP($B227,Pitchers!$A1:$S251,10,FALSE)</f>
        <v>21.933333333333334</v>
      </c>
      <c r="AJ227" s="30">
        <f>VLOOKUP($B227,Pitchers!$A1:$S251,11,FALSE)</f>
        <v>51.800000000000004</v>
      </c>
      <c r="AK227" s="30">
        <f>VLOOKUP($B227,Pitchers!$A1:$S251,12,FALSE)</f>
        <v>15.200000000000001</v>
      </c>
      <c r="AL227" s="30">
        <f>VLOOKUP($B227,Pitchers!$A1:$S251,13,FALSE)</f>
        <v>8</v>
      </c>
      <c r="AM227" s="30">
        <f>VLOOKUP($B227,Pitchers!$A1:$S251,14,FALSE)</f>
        <v>64.933333333333337</v>
      </c>
      <c r="AN227" s="30">
        <f>VLOOKUP($B227,Pitchers!$A1:$S251,15,FALSE)</f>
        <v>0</v>
      </c>
      <c r="AO227" s="30">
        <f>VLOOKUP($B227,Pitchers!$A1:$S251,16,FALSE)</f>
        <v>3.9333333333333336</v>
      </c>
      <c r="AP227" s="30">
        <f>VLOOKUP($B227,Pitchers!$A1:$S251,17,FALSE)</f>
        <v>0</v>
      </c>
      <c r="AQ227" s="30">
        <f>VLOOKUP($B227,Pitchers!$A1:$S251,18,FALSE)</f>
        <v>4</v>
      </c>
      <c r="AR227" s="30">
        <f>VLOOKUP($B227,Pitchers!$A1:$S251,19,FALSE)</f>
        <v>7</v>
      </c>
    </row>
    <row r="228" spans="1:44" ht="18.600000000000001" customHeight="1">
      <c r="A228" s="24">
        <f ca="1">RANK(I228,I$2:I$651)</f>
        <v>233</v>
      </c>
      <c r="B228" s="25" t="s">
        <v>338</v>
      </c>
      <c r="C228" s="26" t="s">
        <v>79</v>
      </c>
      <c r="D228" s="26" t="s">
        <v>70</v>
      </c>
      <c r="E228" s="35" t="s">
        <v>31</v>
      </c>
      <c r="F228" s="36">
        <f ca="1">VLOOKUP(B228,SP!A1:I161,IF(Settings!$J$13="points",4,7),FALSE)</f>
        <v>68</v>
      </c>
      <c r="G228" s="29">
        <f>(AC228*Settings!$F$2)+(AF228*Settings!$F$5)+(AG228*Settings!$F$6)+(AH228*Settings!$F$7)+(AI228*Settings!$F$8)+(AJ228*Settings!$F$9)+(AK228*Settings!$F$10)+(AL228*Settings!$F$11)+(AM228*Settings!$F$12)+(AN228*Settings!$F$13)+(AO228*Settings!$F$14)+(AP228*Settings!$F$15)+(AQ228*Settings!$F$16)+(AR228*Settings!$F$17)</f>
        <v>342.14466666666664</v>
      </c>
      <c r="H228" s="30">
        <f>VLOOKUP(B228,'Standard Deviations'!$A1:$D651,4,FALSE)</f>
        <v>0.13598751300921116</v>
      </c>
      <c r="I228" s="31">
        <f ca="1">IF(Settings!$J$16="no",VLOOKUP(B228,SP!A1:I161,IF(Settings!$J$13="points",6,9),FALSE),VLOOKUP(B228,'SP+RP'!$A1:$I251,IF(Settings!$J$13="points",6,9),FALSE))</f>
        <v>0</v>
      </c>
      <c r="J228" s="30"/>
      <c r="K228" s="30">
        <f ca="1">J228-A228</f>
        <v>-233</v>
      </c>
      <c r="L228" s="30"/>
      <c r="M228" s="30"/>
      <c r="N228" s="30"/>
      <c r="O228" s="30"/>
      <c r="P228" s="30"/>
      <c r="Q228" s="30"/>
      <c r="R228" s="32"/>
      <c r="S228" s="32"/>
      <c r="T228" s="30"/>
      <c r="U228" s="30"/>
      <c r="V228" s="30"/>
      <c r="W228" s="30"/>
      <c r="X228" s="30"/>
      <c r="Y228" s="32"/>
      <c r="Z228" s="32"/>
      <c r="AA228" s="30"/>
      <c r="AB228" s="30"/>
      <c r="AC228" s="30">
        <f>VLOOKUP($B228,Pitchers!$A1:$S251,4,FALSE)</f>
        <v>154.83333333333334</v>
      </c>
      <c r="AD228" s="32">
        <f>VLOOKUP($B228,Pitchers!$A1:$S251,5,FALSE)</f>
        <v>4.3026781485468248</v>
      </c>
      <c r="AE228" s="32">
        <f>VLOOKUP($B228,Pitchers!$A1:$S251,6,FALSE)</f>
        <v>1.1948331539289558</v>
      </c>
      <c r="AF228" s="30">
        <f>VLOOKUP($B228,Pitchers!$A1:$S251,7,FALSE)</f>
        <v>127.60000000000001</v>
      </c>
      <c r="AG228" s="30">
        <f>VLOOKUP($B228,Pitchers!$A1:$S251,8,FALSE)</f>
        <v>10.6</v>
      </c>
      <c r="AH228" s="30">
        <f>VLOOKUP($B228,Pitchers!$A1:$S251,9,FALSE)</f>
        <v>0</v>
      </c>
      <c r="AI228" s="30">
        <f>VLOOKUP($B228,Pitchers!$A1:$S251,10,FALSE)</f>
        <v>74.022000000000006</v>
      </c>
      <c r="AJ228" s="30">
        <f>VLOOKUP($B228,Pitchers!$A1:$S251,11,FALSE)</f>
        <v>148.4</v>
      </c>
      <c r="AK228" s="30">
        <f>VLOOKUP($B228,Pitchers!$A1:$S251,12,FALSE)</f>
        <v>36.6</v>
      </c>
      <c r="AL228" s="30">
        <f>VLOOKUP($B228,Pitchers!$A1:$S251,13,FALSE)</f>
        <v>27</v>
      </c>
      <c r="AM228" s="30">
        <f>VLOOKUP($B228,Pitchers!$A1:$S251,14,FALSE)</f>
        <v>26.933333333333334</v>
      </c>
      <c r="AN228" s="30">
        <f>VLOOKUP($B228,Pitchers!$A1:$S251,15,FALSE)</f>
        <v>26.933333333333334</v>
      </c>
      <c r="AO228" s="30">
        <f>VLOOKUP($B228,Pitchers!$A1:$S251,16,FALSE)</f>
        <v>7.4666666666666659</v>
      </c>
      <c r="AP228" s="30">
        <f>VLOOKUP($B228,Pitchers!$A1:$S251,17,FALSE)</f>
        <v>12</v>
      </c>
      <c r="AQ228" s="30">
        <f>VLOOKUP($B228,Pitchers!$A1:$S251,18,FALSE)</f>
        <v>0</v>
      </c>
      <c r="AR228" s="30">
        <f>VLOOKUP($B228,Pitchers!$A1:$S251,19,FALSE)</f>
        <v>0</v>
      </c>
    </row>
    <row r="229" spans="1:44" ht="18.600000000000001" customHeight="1">
      <c r="A229" s="24">
        <f ca="1">RANK(I229,I$2:I$651)</f>
        <v>328</v>
      </c>
      <c r="B229" s="25" t="s">
        <v>425</v>
      </c>
      <c r="C229" s="26" t="s">
        <v>82</v>
      </c>
      <c r="D229" s="26" t="s">
        <v>75</v>
      </c>
      <c r="E229" s="47" t="s">
        <v>11</v>
      </c>
      <c r="F229" s="48">
        <f ca="1">VLOOKUP(B229,'2B'!A1:I50,IF(Settings!$J$13="points",4,7),FALSE)</f>
        <v>25</v>
      </c>
      <c r="G229" s="29">
        <f>(M229*Settings!$B$2)+(N229*Settings!$B$3)+(O229*Settings!$B$4)+(P229*Settings!$B$5)+(Q229*Settings!$B$6)+(T229*Settings!$B$9)+(U229*Settings!$B$10)+(V229*Settings!$B$11)+(W229*Settings!$B$12)+(X229*Settings!$B$13)+(AA229*Settings!$B$16)</f>
        <v>341.94999999999993</v>
      </c>
      <c r="H229" s="30">
        <f>VLOOKUP(B229,'Standard Deviations'!$A1:$D651,4,FALSE)</f>
        <v>0.74981699990732353</v>
      </c>
      <c r="I229" s="31">
        <f ca="1">IF(Settings!$J$16="no",VLOOKUP(B229,'2B'!A1:I50,IF(Settings!$J$13="points",6,9),FALSE),VLOOKUP(B229,'2B+SS'!$A1:$I94,IF(Settings!$J$13="points",6,9),FALSE))</f>
        <v>-1.557920422001345</v>
      </c>
      <c r="J229" s="30"/>
      <c r="K229" s="30">
        <f ca="1">J229-A229</f>
        <v>-328</v>
      </c>
      <c r="L229" s="30"/>
      <c r="M229" s="30">
        <f>VLOOKUP($B229,Hitters!$A1:$R401,4,FALSE)</f>
        <v>441</v>
      </c>
      <c r="N229" s="30">
        <f>VLOOKUP($B229,Hitters!$A1:$R401,5,FALSE)</f>
        <v>62.6666666666667</v>
      </c>
      <c r="O229" s="30">
        <f>VLOOKUP($B229,Hitters!$A1:$R401,6,FALSE)</f>
        <v>9.8333333333333304</v>
      </c>
      <c r="P229" s="30">
        <f>VLOOKUP($B229,Hitters!$A1:$R401,7,FALSE)</f>
        <v>52.8333333333333</v>
      </c>
      <c r="Q229" s="30">
        <f>VLOOKUP($B229,Hitters!$A1:$R401,8,FALSE)</f>
        <v>6.8333333333333304</v>
      </c>
      <c r="R229" s="32">
        <f>VLOOKUP($B229,Hitters!$A1:$R401,9,FALSE)</f>
        <v>0.26266061980347699</v>
      </c>
      <c r="S229" s="32">
        <f>VLOOKUP($B229,Hitters!$A1:$R401,10,FALSE)</f>
        <v>0.33312424542873098</v>
      </c>
      <c r="T229" s="30">
        <f>VLOOKUP($B229,Hitters!$A1:$R401,11,FALSE)</f>
        <v>115.833333333333</v>
      </c>
      <c r="U229" s="30">
        <f>VLOOKUP($B229,Hitters!$A1:$R401,12,FALSE)</f>
        <v>21.6666666666667</v>
      </c>
      <c r="V229" s="30">
        <f>VLOOKUP($B229,Hitters!$A1:$R401,13,FALSE)</f>
        <v>5.2666666666666702</v>
      </c>
      <c r="W229" s="30">
        <f>VLOOKUP($B229,Hitters!$A1:$R401,14,FALSE)</f>
        <v>48.8</v>
      </c>
      <c r="X229" s="30">
        <f>VLOOKUP($B229,Hitters!$A1:$R401,15,FALSE)</f>
        <v>100.633333333333</v>
      </c>
      <c r="Y229" s="32">
        <f>VLOOKUP($B229,Hitters!$A1:$R401,16,FALSE)</f>
        <v>0.40256991685563098</v>
      </c>
      <c r="Z229" s="32">
        <f>VLOOKUP($B229,Hitters!$A1:$R401,17,FALSE)</f>
        <v>0.73569416228436202</v>
      </c>
      <c r="AA229" s="30">
        <f>VLOOKUP($B229,Hitters!$A1:$R401,18,FALSE)</f>
        <v>0</v>
      </c>
      <c r="AB229" s="30"/>
      <c r="AC229" s="30"/>
      <c r="AD229" s="32"/>
      <c r="AE229" s="32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</row>
    <row r="230" spans="1:44" ht="18.600000000000001" customHeight="1">
      <c r="A230" s="24">
        <f ca="1">RANK(I230,I$2:I$651)</f>
        <v>327</v>
      </c>
      <c r="B230" s="25" t="s">
        <v>424</v>
      </c>
      <c r="C230" s="26" t="s">
        <v>82</v>
      </c>
      <c r="D230" s="26" t="s">
        <v>75</v>
      </c>
      <c r="E230" s="47" t="s">
        <v>11</v>
      </c>
      <c r="F230" s="48">
        <f ca="1">VLOOKUP(B230,'2B'!A1:I50,IF(Settings!$J$13="points",4,7),FALSE)</f>
        <v>24</v>
      </c>
      <c r="G230" s="29">
        <f>(M230*Settings!$B$2)+(N230*Settings!$B$3)+(O230*Settings!$B$4)+(P230*Settings!$B$5)+(Q230*Settings!$B$6)+(T230*Settings!$B$9)+(U230*Settings!$B$10)+(V230*Settings!$B$11)+(W230*Settings!$B$12)+(X230*Settings!$B$13)+(AA230*Settings!$B$16)</f>
        <v>341.85000000000048</v>
      </c>
      <c r="H230" s="30">
        <f>VLOOKUP(B230,'Standard Deviations'!$A1:$D651,4,FALSE)</f>
        <v>0.76781171691532635</v>
      </c>
      <c r="I230" s="31">
        <f ca="1">IF(Settings!$J$16="no",VLOOKUP(B230,'2B'!A1:I50,IF(Settings!$J$13="points",6,9),FALSE),VLOOKUP(B230,'2B+SS'!$A1:$I94,IF(Settings!$J$13="points",6,9),FALSE))</f>
        <v>-1.5399183837442083</v>
      </c>
      <c r="J230" s="30"/>
      <c r="K230" s="30">
        <f ca="1">J230-A230</f>
        <v>-327</v>
      </c>
      <c r="L230" s="30"/>
      <c r="M230" s="30">
        <f>VLOOKUP($B230,Hitters!$A1:$R401,4,FALSE)</f>
        <v>464</v>
      </c>
      <c r="N230" s="30">
        <f>VLOOKUP($B230,Hitters!$A1:$R401,5,FALSE)</f>
        <v>63.533333333333303</v>
      </c>
      <c r="O230" s="30">
        <f>VLOOKUP($B230,Hitters!$A1:$R401,6,FALSE)</f>
        <v>14.5</v>
      </c>
      <c r="P230" s="30">
        <f>VLOOKUP($B230,Hitters!$A1:$R401,7,FALSE)</f>
        <v>58.4</v>
      </c>
      <c r="Q230" s="30">
        <f>VLOOKUP($B230,Hitters!$A1:$R401,8,FALSE)</f>
        <v>9.7666666666666693</v>
      </c>
      <c r="R230" s="32">
        <f>VLOOKUP($B230,Hitters!$A1:$R401,9,FALSE)</f>
        <v>0.23591954022988501</v>
      </c>
      <c r="S230" s="32">
        <f>VLOOKUP($B230,Hitters!$A1:$R401,10,FALSE)</f>
        <v>0.30982180602349402</v>
      </c>
      <c r="T230" s="30">
        <f>VLOOKUP($B230,Hitters!$A1:$R401,11,FALSE)</f>
        <v>109.466666666667</v>
      </c>
      <c r="U230" s="30">
        <f>VLOOKUP($B230,Hitters!$A1:$R401,12,FALSE)</f>
        <v>26.133333333333301</v>
      </c>
      <c r="V230" s="30">
        <f>VLOOKUP($B230,Hitters!$A1:$R401,13,FALSE)</f>
        <v>3.2</v>
      </c>
      <c r="W230" s="30">
        <f>VLOOKUP($B230,Hitters!$A1:$R401,14,FALSE)</f>
        <v>51.766666666666701</v>
      </c>
      <c r="X230" s="30">
        <f>VLOOKUP($B230,Hitters!$A1:$R401,15,FALSE)</f>
        <v>161.433333333333</v>
      </c>
      <c r="Y230" s="32">
        <f>VLOOKUP($B230,Hitters!$A1:$R401,16,FALSE)</f>
        <v>0.399784482758621</v>
      </c>
      <c r="Z230" s="32">
        <f>VLOOKUP($B230,Hitters!$A1:$R401,17,FALSE)</f>
        <v>0.70960628878211496</v>
      </c>
      <c r="AA230" s="30">
        <f>VLOOKUP($B230,Hitters!$A1:$R401,18,FALSE)</f>
        <v>0</v>
      </c>
      <c r="AB230" s="30"/>
      <c r="AC230" s="30"/>
      <c r="AD230" s="32"/>
      <c r="AE230" s="32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</row>
    <row r="231" spans="1:44" ht="18.600000000000001" customHeight="1">
      <c r="A231" s="24">
        <f ca="1">RANK(I231,I$2:I$651)</f>
        <v>247</v>
      </c>
      <c r="B231" s="25" t="s">
        <v>344</v>
      </c>
      <c r="C231" s="26" t="s">
        <v>125</v>
      </c>
      <c r="D231" s="26" t="s">
        <v>75</v>
      </c>
      <c r="E231" s="33" t="s">
        <v>15</v>
      </c>
      <c r="F231" s="34">
        <f ca="1">VLOOKUP(B231,'3B'!A1:I55,IF(Settings!$J$13="points",4,7),FALSE)</f>
        <v>19</v>
      </c>
      <c r="G231" s="29">
        <f>(M231*Settings!$B$2)+(N231*Settings!$B$3)+(O231*Settings!$B$4)+(P231*Settings!$B$5)+(Q231*Settings!$B$6)+(T231*Settings!$B$9)+(U231*Settings!$B$10)+(V231*Settings!$B$11)+(W231*Settings!$B$12)+(X231*Settings!$B$13)+(AA231*Settings!$B$16)</f>
        <v>341.1333333333331</v>
      </c>
      <c r="H231" s="30">
        <f>VLOOKUP(B231,'Standard Deviations'!$A1:$D651,4,FALSE)</f>
        <v>0.61495104856293281</v>
      </c>
      <c r="I231" s="31">
        <f ca="1">IF(Settings!$J$15="no",VLOOKUP(B231,'3B'!A1:I55,IF(Settings!$J$13="points",6,9),FALSE),VLOOKUP(B231,'1B+3B'!$A1:$I104,IF(Settings!$J$13="points",6,9),FALSE))</f>
        <v>-0.11273014405493509</v>
      </c>
      <c r="J231" s="30"/>
      <c r="K231" s="30">
        <f ca="1">J231-A231</f>
        <v>-247</v>
      </c>
      <c r="L231" s="30"/>
      <c r="M231" s="30">
        <f>VLOOKUP($B231,Hitters!$A1:$R401,4,FALSE)</f>
        <v>431</v>
      </c>
      <c r="N231" s="30">
        <f>VLOOKUP($B231,Hitters!$A1:$R401,5,FALSE)</f>
        <v>65.3333333333333</v>
      </c>
      <c r="O231" s="30">
        <f>VLOOKUP($B231,Hitters!$A1:$R401,6,FALSE)</f>
        <v>7.5333333333333297</v>
      </c>
      <c r="P231" s="30">
        <f>VLOOKUP($B231,Hitters!$A1:$R401,7,FALSE)</f>
        <v>50.033333333333303</v>
      </c>
      <c r="Q231" s="30">
        <f>VLOOKUP($B231,Hitters!$A1:$R401,8,FALSE)</f>
        <v>4.3</v>
      </c>
      <c r="R231" s="32">
        <f>VLOOKUP($B231,Hitters!$A1:$R401,9,FALSE)</f>
        <v>0.27378190255220403</v>
      </c>
      <c r="S231" s="32">
        <f>VLOOKUP($B231,Hitters!$A1:$R401,10,FALSE)</f>
        <v>0.35668669284261301</v>
      </c>
      <c r="T231" s="30">
        <f>VLOOKUP($B231,Hitters!$A1:$R401,11,FALSE)</f>
        <v>118</v>
      </c>
      <c r="U231" s="30">
        <f>VLOOKUP($B231,Hitters!$A1:$R401,12,FALSE)</f>
        <v>23.733333333333299</v>
      </c>
      <c r="V231" s="30">
        <f>VLOOKUP($B231,Hitters!$A1:$R401,13,FALSE)</f>
        <v>1.4</v>
      </c>
      <c r="W231" s="30">
        <f>VLOOKUP($B231,Hitters!$A1:$R401,14,FALSE)</f>
        <v>57.933333333333302</v>
      </c>
      <c r="X231" s="30">
        <f>VLOOKUP($B231,Hitters!$A1:$R401,15,FALSE)</f>
        <v>81.133333333333297</v>
      </c>
      <c r="Y231" s="32">
        <f>VLOOKUP($B231,Hitters!$A1:$R401,16,FALSE)</f>
        <v>0.38778035576179398</v>
      </c>
      <c r="Z231" s="32">
        <f>VLOOKUP($B231,Hitters!$A1:$R401,17,FALSE)</f>
        <v>0.74446704860440704</v>
      </c>
      <c r="AA231" s="30">
        <f>VLOOKUP($B231,Hitters!$A1:$R401,18,FALSE)</f>
        <v>0</v>
      </c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</row>
    <row r="232" spans="1:44" ht="18.600000000000001" customHeight="1">
      <c r="A232" s="24">
        <f ca="1">RANK(I232,I$2:I$651)</f>
        <v>90</v>
      </c>
      <c r="B232" s="25" t="s">
        <v>184</v>
      </c>
      <c r="C232" s="26" t="s">
        <v>125</v>
      </c>
      <c r="D232" s="26" t="s">
        <v>75</v>
      </c>
      <c r="E232" s="41" t="s">
        <v>34</v>
      </c>
      <c r="F232" s="42">
        <f ca="1">VLOOKUP(B232,RP!A1:I91,IF(Settings!$J$13="points",4,7),FALSE)</f>
        <v>7</v>
      </c>
      <c r="G232" s="29">
        <f>(AC232*Settings!$F$2)+(AF232*Settings!$F$5)+(AG232*Settings!$F$6)+(AH232*Settings!$F$7)+(AI232*Settings!$F$8)+(AJ232*Settings!$F$9)+(AK232*Settings!$F$10)+(AL232*Settings!$F$11)+(AM232*Settings!$F$12)+(AN232*Settings!$F$13)+(AO232*Settings!$F$14)+(AP232*Settings!$F$15)+(AQ232*Settings!$F$16)+(AR232*Settings!$F$17)</f>
        <v>340.68333333333339</v>
      </c>
      <c r="H232" s="30">
        <f>VLOOKUP(B232,'Standard Deviations'!$A1:$D651,4,FALSE)</f>
        <v>4.8779871718667662</v>
      </c>
      <c r="I232" s="31">
        <f ca="1">IF(Settings!$J$16="no",VLOOKUP(B232,RP!A1:I91,IF(Settings!$J$13="points",6,9),FALSE),VLOOKUP(B232,'SP+RP'!$A1:$I251,IF(Settings!$J$13="points",6,9),FALSE))</f>
        <v>3.3069236563233861</v>
      </c>
      <c r="J232" s="30"/>
      <c r="K232" s="30">
        <f ca="1">J232-A232</f>
        <v>-90</v>
      </c>
      <c r="L232" s="30"/>
      <c r="M232" s="30"/>
      <c r="N232" s="30"/>
      <c r="O232" s="30"/>
      <c r="P232" s="30"/>
      <c r="Q232" s="30"/>
      <c r="R232" s="32"/>
      <c r="S232" s="32"/>
      <c r="T232" s="30"/>
      <c r="U232" s="30"/>
      <c r="V232" s="30"/>
      <c r="W232" s="30"/>
      <c r="X232" s="30"/>
      <c r="Y232" s="32"/>
      <c r="Z232" s="32"/>
      <c r="AA232" s="30"/>
      <c r="AB232" s="30"/>
      <c r="AC232" s="30">
        <f>VLOOKUP($B232,Pitchers!$A1:$S251,4,FALSE)</f>
        <v>62.466666666666669</v>
      </c>
      <c r="AD232" s="32">
        <f>VLOOKUP($B232,Pitchers!$A1:$S251,5,FALSE)</f>
        <v>2.7854855923159016</v>
      </c>
      <c r="AE232" s="32">
        <f>VLOOKUP($B232,Pitchers!$A1:$S251,6,FALSE)</f>
        <v>1.0688367129135539</v>
      </c>
      <c r="AF232" s="30">
        <f>VLOOKUP($B232,Pitchers!$A1:$S251,7,FALSE)</f>
        <v>81.166666666666671</v>
      </c>
      <c r="AG232" s="30">
        <f>VLOOKUP($B232,Pitchers!$A1:$S251,8,FALSE)</f>
        <v>4.2333333333333334</v>
      </c>
      <c r="AH232" s="30">
        <f>VLOOKUP($B232,Pitchers!$A1:$S251,9,FALSE)</f>
        <v>26</v>
      </c>
      <c r="AI232" s="30">
        <f>VLOOKUP($B232,Pitchers!$A1:$S251,10,FALSE)</f>
        <v>19.333333333333332</v>
      </c>
      <c r="AJ232" s="30">
        <f>VLOOKUP($B232,Pitchers!$A1:$S251,11,FALSE)</f>
        <v>41.766666666666666</v>
      </c>
      <c r="AK232" s="30">
        <f>VLOOKUP($B232,Pitchers!$A1:$S251,12,FALSE)</f>
        <v>25</v>
      </c>
      <c r="AL232" s="30">
        <f>VLOOKUP($B232,Pitchers!$A1:$S251,13,FALSE)</f>
        <v>7</v>
      </c>
      <c r="AM232" s="30">
        <f>VLOOKUP($B232,Pitchers!$A1:$S251,14,FALSE)</f>
        <v>57.966666666666669</v>
      </c>
      <c r="AN232" s="30">
        <f>VLOOKUP($B232,Pitchers!$A1:$S251,15,FALSE)</f>
        <v>0</v>
      </c>
      <c r="AO232" s="30">
        <f>VLOOKUP($B232,Pitchers!$A1:$S251,16,FALSE)</f>
        <v>2.5666666666666669</v>
      </c>
      <c r="AP232" s="30">
        <f>VLOOKUP($B232,Pitchers!$A1:$S251,17,FALSE)</f>
        <v>0</v>
      </c>
      <c r="AQ232" s="30">
        <f>VLOOKUP($B232,Pitchers!$A1:$S251,18,FALSE)</f>
        <v>2.5</v>
      </c>
      <c r="AR232" s="30">
        <f>VLOOKUP($B232,Pitchers!$A1:$S251,19,FALSE)</f>
        <v>7</v>
      </c>
    </row>
    <row r="233" spans="1:44" ht="18.600000000000001" customHeight="1">
      <c r="A233" s="24">
        <f ca="1">RANK(I233,I$2:I$651)</f>
        <v>197</v>
      </c>
      <c r="B233" s="25" t="s">
        <v>296</v>
      </c>
      <c r="C233" s="26" t="s">
        <v>87</v>
      </c>
      <c r="D233" s="26" t="s">
        <v>70</v>
      </c>
      <c r="E233" s="35" t="s">
        <v>31</v>
      </c>
      <c r="F233" s="36">
        <f ca="1">VLOOKUP(B233,SP!A1:I161,IF(Settings!$J$13="points",4,7),FALSE)</f>
        <v>59</v>
      </c>
      <c r="G233" s="29">
        <f>(AC233*Settings!$F$2)+(AF233*Settings!$F$5)+(AG233*Settings!$F$6)+(AH233*Settings!$F$7)+(AI233*Settings!$F$8)+(AJ233*Settings!$F$9)+(AK233*Settings!$F$10)+(AL233*Settings!$F$11)+(AM233*Settings!$F$12)+(AN233*Settings!$F$13)+(AO233*Settings!$F$14)+(AP233*Settings!$F$15)+(AQ233*Settings!$F$16)+(AR233*Settings!$F$17)</f>
        <v>340.4233333333334</v>
      </c>
      <c r="H233" s="30">
        <f>VLOOKUP(B233,'Standard Deviations'!$A1:$D651,4,FALSE)</f>
        <v>0.67668996703608031</v>
      </c>
      <c r="I233" s="31">
        <f ca="1">IF(Settings!$J$16="no",VLOOKUP(B233,SP!A1:I161,IF(Settings!$J$13="points",6,9),FALSE),VLOOKUP(B233,'SP+RP'!$A1:$I251,IF(Settings!$J$13="points",6,9),FALSE))</f>
        <v>0.54070713066199849</v>
      </c>
      <c r="J233" s="30"/>
      <c r="K233" s="30">
        <f ca="1">J233-A233</f>
        <v>-197</v>
      </c>
      <c r="L233" s="30"/>
      <c r="M233" s="30"/>
      <c r="N233" s="30"/>
      <c r="O233" s="30"/>
      <c r="P233" s="30"/>
      <c r="Q233" s="30"/>
      <c r="R233" s="32"/>
      <c r="S233" s="32"/>
      <c r="T233" s="30"/>
      <c r="U233" s="30"/>
      <c r="V233" s="30"/>
      <c r="W233" s="30"/>
      <c r="X233" s="30"/>
      <c r="Y233" s="32"/>
      <c r="Z233" s="32"/>
      <c r="AA233" s="30"/>
      <c r="AB233" s="30"/>
      <c r="AC233" s="30">
        <f>VLOOKUP($B233,Pitchers!$A1:$S251,4,FALSE)</f>
        <v>150.9</v>
      </c>
      <c r="AD233" s="32">
        <f>VLOOKUP($B233,Pitchers!$A1:$S251,5,FALSE)</f>
        <v>3.8753479125248513</v>
      </c>
      <c r="AE233" s="32">
        <f>VLOOKUP($B233,Pitchers!$A1:$S251,6,FALSE)</f>
        <v>1.2005743317870554</v>
      </c>
      <c r="AF233" s="30">
        <f>VLOOKUP($B233,Pitchers!$A1:$S251,7,FALSE)</f>
        <v>142.06666666666666</v>
      </c>
      <c r="AG233" s="30">
        <f>VLOOKUP($B233,Pitchers!$A1:$S251,8,FALSE)</f>
        <v>8.8333333333333339</v>
      </c>
      <c r="AH233" s="30">
        <f>VLOOKUP($B233,Pitchers!$A1:$S251,9,FALSE)</f>
        <v>0</v>
      </c>
      <c r="AI233" s="30">
        <f>VLOOKUP($B233,Pitchers!$A1:$S251,10,FALSE)</f>
        <v>64.976666666666674</v>
      </c>
      <c r="AJ233" s="30">
        <f>VLOOKUP($B233,Pitchers!$A1:$S251,11,FALSE)</f>
        <v>149.4</v>
      </c>
      <c r="AK233" s="30">
        <f>VLOOKUP($B233,Pitchers!$A1:$S251,12,FALSE)</f>
        <v>31.766666666666666</v>
      </c>
      <c r="AL233" s="30">
        <f>VLOOKUP($B233,Pitchers!$A1:$S251,13,FALSE)</f>
        <v>21</v>
      </c>
      <c r="AM233" s="30">
        <f>VLOOKUP($B233,Pitchers!$A1:$S251,14,FALSE)</f>
        <v>27.599999999999998</v>
      </c>
      <c r="AN233" s="30">
        <f>VLOOKUP($B233,Pitchers!$A1:$S251,15,FALSE)</f>
        <v>27.599999999999998</v>
      </c>
      <c r="AO233" s="30">
        <f>VLOOKUP($B233,Pitchers!$A1:$S251,16,FALSE)</f>
        <v>7.6000000000000005</v>
      </c>
      <c r="AP233" s="30">
        <f>VLOOKUP($B233,Pitchers!$A1:$S251,17,FALSE)</f>
        <v>13</v>
      </c>
      <c r="AQ233" s="30">
        <f>VLOOKUP($B233,Pitchers!$A1:$S251,18,FALSE)</f>
        <v>0</v>
      </c>
      <c r="AR233" s="30">
        <f>VLOOKUP($B233,Pitchers!$A1:$S251,19,FALSE)</f>
        <v>0</v>
      </c>
    </row>
    <row r="234" spans="1:44" ht="18.600000000000001" customHeight="1">
      <c r="A234" s="24">
        <f ca="1">RANK(I234,I$2:I$651)</f>
        <v>286</v>
      </c>
      <c r="B234" s="25" t="s">
        <v>383</v>
      </c>
      <c r="C234" s="26" t="s">
        <v>105</v>
      </c>
      <c r="D234" s="26" t="s">
        <v>70</v>
      </c>
      <c r="E234" s="27" t="s">
        <v>23</v>
      </c>
      <c r="F234" s="28">
        <f ca="1">VLOOKUP(B234,OF!A1:I139,IF(Settings!$J$13="points",4,7),FALSE)</f>
        <v>80</v>
      </c>
      <c r="G234" s="29">
        <f>(M234*Settings!$B$2)+(N234*Settings!$B$3)+(O234*Settings!$B$4)+(P234*Settings!$B$5)+(Q234*Settings!$B$6)+(T234*Settings!$B$9)+(U234*Settings!$B$10)+(V234*Settings!$B$11)+(W234*Settings!$B$12)+(X234*Settings!$B$13)+(AA234*Settings!$B$16)</f>
        <v>339.88333333333304</v>
      </c>
      <c r="H234" s="30">
        <f>VLOOKUP(B234,'Standard Deviations'!$A1:$D651,4,FALSE)</f>
        <v>-0.62286388843576845</v>
      </c>
      <c r="I234" s="31">
        <f ca="1">VLOOKUP(B234,OF!A1:I139,IF(Settings!$J$13="points",6,9),FALSE)</f>
        <v>-0.74158153529608672</v>
      </c>
      <c r="J234" s="30"/>
      <c r="K234" s="30">
        <f ca="1">J234-A234</f>
        <v>-286</v>
      </c>
      <c r="L234" s="30"/>
      <c r="M234" s="30">
        <f>VLOOKUP($B234,Hitters!$A1:$R401,4,FALSE)</f>
        <v>456.33333333333297</v>
      </c>
      <c r="N234" s="30">
        <f>VLOOKUP($B234,Hitters!$A1:$R401,5,FALSE)</f>
        <v>64.3</v>
      </c>
      <c r="O234" s="30">
        <f>VLOOKUP($B234,Hitters!$A1:$R401,6,FALSE)</f>
        <v>13.5666666666667</v>
      </c>
      <c r="P234" s="30">
        <f>VLOOKUP($B234,Hitters!$A1:$R401,7,FALSE)</f>
        <v>55.2</v>
      </c>
      <c r="Q234" s="30">
        <f>VLOOKUP($B234,Hitters!$A1:$R401,8,FALSE)</f>
        <v>1.36666666666667</v>
      </c>
      <c r="R234" s="32">
        <f>VLOOKUP($B234,Hitters!$A1:$R401,9,FALSE)</f>
        <v>0.238056975894814</v>
      </c>
      <c r="S234" s="32">
        <f>VLOOKUP($B234,Hitters!$A1:$R401,10,FALSE)</f>
        <v>0.30166062023802398</v>
      </c>
      <c r="T234" s="30">
        <f>VLOOKUP($B234,Hitters!$A1:$R401,11,FALSE)</f>
        <v>108.633333333333</v>
      </c>
      <c r="U234" s="30">
        <f>VLOOKUP($B234,Hitters!$A1:$R401,12,FALSE)</f>
        <v>27.733333333333299</v>
      </c>
      <c r="V234" s="30">
        <f>VLOOKUP($B234,Hitters!$A1:$R401,13,FALSE)</f>
        <v>1.4</v>
      </c>
      <c r="W234" s="30">
        <f>VLOOKUP($B234,Hitters!$A1:$R401,14,FALSE)</f>
        <v>43.533333333333303</v>
      </c>
      <c r="X234" s="30">
        <f>VLOOKUP($B234,Hitters!$A1:$R401,15,FALSE)</f>
        <v>96.9</v>
      </c>
      <c r="Y234" s="32">
        <f>VLOOKUP($B234,Hitters!$A1:$R401,16,FALSE)</f>
        <v>0.39415631848064298</v>
      </c>
      <c r="Z234" s="32">
        <f>VLOOKUP($B234,Hitters!$A1:$R401,17,FALSE)</f>
        <v>0.69581693871866701</v>
      </c>
      <c r="AA234" s="30">
        <f>VLOOKUP($B234,Hitters!$A1:$R401,18,FALSE)</f>
        <v>0</v>
      </c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</row>
    <row r="235" spans="1:44" ht="18.600000000000001" customHeight="1">
      <c r="A235" s="24">
        <f ca="1">RANK(I235,I$2:I$651)</f>
        <v>276</v>
      </c>
      <c r="B235" s="25" t="s">
        <v>373</v>
      </c>
      <c r="C235" s="26" t="s">
        <v>158</v>
      </c>
      <c r="D235" s="26" t="s">
        <v>70</v>
      </c>
      <c r="E235" s="27" t="s">
        <v>23</v>
      </c>
      <c r="F235" s="28">
        <f ca="1">VLOOKUP(B235,OF!A1:I139,IF(Settings!$J$13="points",4,7),FALSE)</f>
        <v>76</v>
      </c>
      <c r="G235" s="29">
        <f>(M235*Settings!$B$2)+(N235*Settings!$B$3)+(O235*Settings!$B$4)+(P235*Settings!$B$5)+(Q235*Settings!$B$6)+(T235*Settings!$B$9)+(U235*Settings!$B$10)+(V235*Settings!$B$11)+(W235*Settings!$B$12)+(X235*Settings!$B$13)+(AA235*Settings!$B$16)</f>
        <v>339.33333333333354</v>
      </c>
      <c r="H235" s="30">
        <f>VLOOKUP(B235,'Standard Deviations'!$A1:$D651,4,FALSE)</f>
        <v>-0.49190447316858044</v>
      </c>
      <c r="I235" s="31">
        <f ca="1">VLOOKUP(B235,OF!A1:I139,IF(Settings!$J$13="points",6,9),FALSE)</f>
        <v>-0.6106233326262166</v>
      </c>
      <c r="J235" s="30"/>
      <c r="K235" s="30">
        <f ca="1">J235-A235</f>
        <v>-276</v>
      </c>
      <c r="L235" s="30"/>
      <c r="M235" s="30">
        <f>VLOOKUP($B235,Hitters!$A1:$R401,4,FALSE)</f>
        <v>419.66666666666703</v>
      </c>
      <c r="N235" s="30">
        <f>VLOOKUP($B235,Hitters!$A1:$R401,5,FALSE)</f>
        <v>57.8</v>
      </c>
      <c r="O235" s="30">
        <f>VLOOKUP($B235,Hitters!$A1:$R401,6,FALSE)</f>
        <v>15.5666666666667</v>
      </c>
      <c r="P235" s="30">
        <f>VLOOKUP($B235,Hitters!$A1:$R401,7,FALSE)</f>
        <v>55.7</v>
      </c>
      <c r="Q235" s="30">
        <f>VLOOKUP($B235,Hitters!$A1:$R401,8,FALSE)</f>
        <v>5.4</v>
      </c>
      <c r="R235" s="32">
        <f>VLOOKUP($B235,Hitters!$A1:$R401,9,FALSE)</f>
        <v>0.22875297855440799</v>
      </c>
      <c r="S235" s="32">
        <f>VLOOKUP($B235,Hitters!$A1:$R401,10,FALSE)</f>
        <v>0.30936883421453598</v>
      </c>
      <c r="T235" s="30">
        <f>VLOOKUP($B235,Hitters!$A1:$R401,11,FALSE)</f>
        <v>96</v>
      </c>
      <c r="U235" s="30">
        <f>VLOOKUP($B235,Hitters!$A1:$R401,12,FALSE)</f>
        <v>20.933333333333302</v>
      </c>
      <c r="V235" s="30">
        <f>VLOOKUP($B235,Hitters!$A1:$R401,13,FALSE)</f>
        <v>1.86666666666667</v>
      </c>
      <c r="W235" s="30">
        <f>VLOOKUP($B235,Hitters!$A1:$R401,14,FALSE)</f>
        <v>50.866666666666703</v>
      </c>
      <c r="X235" s="30">
        <f>VLOOKUP($B235,Hitters!$A1:$R401,15,FALSE)</f>
        <v>83.133333333333297</v>
      </c>
      <c r="Y235" s="32">
        <f>VLOOKUP($B235,Hitters!$A1:$R401,16,FALSE)</f>
        <v>0.39880857823669602</v>
      </c>
      <c r="Z235" s="32">
        <f>VLOOKUP($B235,Hitters!$A1:$R401,17,FALSE)</f>
        <v>0.708177412451232</v>
      </c>
      <c r="AA235" s="30">
        <f>VLOOKUP($B235,Hitters!$A1:$R401,18,FALSE)</f>
        <v>0</v>
      </c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</row>
    <row r="236" spans="1:44" ht="18.600000000000001" customHeight="1">
      <c r="A236" s="24">
        <f ca="1">RANK(I236,I$2:I$651)</f>
        <v>428</v>
      </c>
      <c r="B236" s="25" t="s">
        <v>525</v>
      </c>
      <c r="C236" s="26" t="s">
        <v>103</v>
      </c>
      <c r="D236" s="26" t="s">
        <v>70</v>
      </c>
      <c r="E236" s="39" t="s">
        <v>7</v>
      </c>
      <c r="F236" s="40">
        <f ca="1">VLOOKUP(B236,'1B'!A1:I63,IF(Settings!$J$13="points",4,7),FALSE)</f>
        <v>34</v>
      </c>
      <c r="G236" s="29">
        <f>(M236*Settings!$B$2)+(N236*Settings!$B$3)+(O236*Settings!$B$4)+(P236*Settings!$B$5)+(Q236*Settings!$B$6)+(T236*Settings!$B$9)+(U236*Settings!$B$10)+(V236*Settings!$B$11)+(W236*Settings!$B$12)+(X236*Settings!$B$13)+(AA236*Settings!$B$16)</f>
        <v>338.6</v>
      </c>
      <c r="H236" s="30">
        <f>VLOOKUP(B236,'Standard Deviations'!$A1:$D651,4,FALSE)</f>
        <v>-0.18983321856908131</v>
      </c>
      <c r="I236" s="31">
        <f ca="1">IF(Settings!$J$15="no",VLOOKUP(B236,'1B'!A1:I63,IF(Settings!$J$13="points",6,9),FALSE),VLOOKUP(B236,'1B+3B'!$A1:$I104,IF(Settings!$J$13="points",6,9),FALSE))</f>
        <v>-2.7693649019607607</v>
      </c>
      <c r="J236" s="30"/>
      <c r="K236" s="30">
        <f ca="1">J236-A236</f>
        <v>-428</v>
      </c>
      <c r="L236" s="30"/>
      <c r="M236" s="30">
        <f>VLOOKUP($B236,Hitters!$A1:$R401,4,FALSE)</f>
        <v>393.5</v>
      </c>
      <c r="N236" s="30">
        <f>VLOOKUP($B236,Hitters!$A1:$R401,5,FALSE)</f>
        <v>56.55</v>
      </c>
      <c r="O236" s="30">
        <f>VLOOKUP($B236,Hitters!$A1:$R401,6,FALSE)</f>
        <v>18.3</v>
      </c>
      <c r="P236" s="30">
        <f>VLOOKUP($B236,Hitters!$A1:$R401,7,FALSE)</f>
        <v>57.25</v>
      </c>
      <c r="Q236" s="30">
        <f>VLOOKUP($B236,Hitters!$A1:$R401,8,FALSE)</f>
        <v>1.75</v>
      </c>
      <c r="R236" s="32">
        <f>VLOOKUP($B236,Hitters!$A1:$R401,9,FALSE)</f>
        <v>0.23888182973316399</v>
      </c>
      <c r="S236" s="32">
        <f>VLOOKUP($B236,Hitters!$A1:$R401,10,FALSE)</f>
        <v>0.32289377085030202</v>
      </c>
      <c r="T236" s="30">
        <f>VLOOKUP($B236,Hitters!$A1:$R401,11,FALSE)</f>
        <v>94</v>
      </c>
      <c r="U236" s="30">
        <f>VLOOKUP($B236,Hitters!$A1:$R401,12,FALSE)</f>
        <v>19.3</v>
      </c>
      <c r="V236" s="30">
        <f>VLOOKUP($B236,Hitters!$A1:$R401,13,FALSE)</f>
        <v>1.1000000000000001</v>
      </c>
      <c r="W236" s="30">
        <f>VLOOKUP($B236,Hitters!$A1:$R401,14,FALSE)</f>
        <v>50.7</v>
      </c>
      <c r="X236" s="30">
        <f>VLOOKUP($B236,Hitters!$A1:$R401,15,FALSE)</f>
        <v>77</v>
      </c>
      <c r="Y236" s="32">
        <f>VLOOKUP($B236,Hitters!$A1:$R401,16,FALSE)</f>
        <v>0.43303684879288401</v>
      </c>
      <c r="Z236" s="32">
        <f>VLOOKUP($B236,Hitters!$A1:$R401,17,FALSE)</f>
        <v>0.75593061964318597</v>
      </c>
      <c r="AA236" s="30">
        <f>VLOOKUP($B236,Hitters!$A1:$R401,18,FALSE)</f>
        <v>0</v>
      </c>
      <c r="AB236" s="30"/>
      <c r="AC236" s="30"/>
      <c r="AD236" s="32"/>
      <c r="AE236" s="32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</row>
    <row r="237" spans="1:44" ht="18.600000000000001" customHeight="1">
      <c r="A237" s="24">
        <f ca="1">RANK(I237,I$2:I$651)</f>
        <v>211</v>
      </c>
      <c r="B237" s="25" t="s">
        <v>308</v>
      </c>
      <c r="C237" s="26" t="s">
        <v>309</v>
      </c>
      <c r="D237" s="26" t="s">
        <v>75</v>
      </c>
      <c r="E237" s="27" t="s">
        <v>23</v>
      </c>
      <c r="F237" s="28">
        <f ca="1">VLOOKUP(B237,OF!A1:I139,IF(Settings!$J$13="points",4,7),FALSE)</f>
        <v>61</v>
      </c>
      <c r="G237" s="29">
        <f>(M237*Settings!$B$2)+(N237*Settings!$B$3)+(O237*Settings!$B$4)+(P237*Settings!$B$5)+(Q237*Settings!$B$6)+(T237*Settings!$B$9)+(U237*Settings!$B$10)+(V237*Settings!$B$11)+(W237*Settings!$B$12)+(X237*Settings!$B$13)+(AA237*Settings!$B$16)</f>
        <v>338.55000000000007</v>
      </c>
      <c r="H237" s="30">
        <f>VLOOKUP(B237,'Standard Deviations'!$A1:$D651,4,FALSE)</f>
        <v>0.43457920615494394</v>
      </c>
      <c r="I237" s="31">
        <f ca="1">VLOOKUP(B237,OF!A1:I139,IF(Settings!$J$13="points",6,9),FALSE)</f>
        <v>0.31586356558102047</v>
      </c>
      <c r="J237" s="30"/>
      <c r="K237" s="30">
        <f ca="1">J237-A237</f>
        <v>-211</v>
      </c>
      <c r="L237" s="30"/>
      <c r="M237" s="30">
        <f>VLOOKUP($B237,Hitters!$A1:$R401,4,FALSE)</f>
        <v>446.66666666666703</v>
      </c>
      <c r="N237" s="30">
        <f>VLOOKUP($B237,Hitters!$A1:$R401,5,FALSE)</f>
        <v>62.8</v>
      </c>
      <c r="O237" s="30">
        <f>VLOOKUP($B237,Hitters!$A1:$R401,6,FALSE)</f>
        <v>15.9333333333333</v>
      </c>
      <c r="P237" s="30">
        <f>VLOOKUP($B237,Hitters!$A1:$R401,7,FALSE)</f>
        <v>49.766666666666701</v>
      </c>
      <c r="Q237" s="30">
        <f>VLOOKUP($B237,Hitters!$A1:$R401,8,FALSE)</f>
        <v>9</v>
      </c>
      <c r="R237" s="32">
        <f>VLOOKUP($B237,Hitters!$A1:$R401,9,FALSE)</f>
        <v>0.23664179104477601</v>
      </c>
      <c r="S237" s="32">
        <f>VLOOKUP($B237,Hitters!$A1:$R401,10,FALSE)</f>
        <v>0.30257756242008199</v>
      </c>
      <c r="T237" s="30">
        <f>VLOOKUP($B237,Hitters!$A1:$R401,11,FALSE)</f>
        <v>105.7</v>
      </c>
      <c r="U237" s="30">
        <f>VLOOKUP($B237,Hitters!$A1:$R401,12,FALSE)</f>
        <v>24.5</v>
      </c>
      <c r="V237" s="30">
        <f>VLOOKUP($B237,Hitters!$A1:$R401,13,FALSE)</f>
        <v>2.1</v>
      </c>
      <c r="W237" s="30">
        <f>VLOOKUP($B237,Hitters!$A1:$R401,14,FALSE)</f>
        <v>44.1666666666667</v>
      </c>
      <c r="X237" s="30">
        <f>VLOOKUP($B237,Hitters!$A1:$R401,15,FALSE)</f>
        <v>121.833333333333</v>
      </c>
      <c r="Y237" s="32">
        <f>VLOOKUP($B237,Hitters!$A1:$R401,16,FALSE)</f>
        <v>0.40791044776119401</v>
      </c>
      <c r="Z237" s="32">
        <f>VLOOKUP($B237,Hitters!$A1:$R401,17,FALSE)</f>
        <v>0.71048801018127605</v>
      </c>
      <c r="AA237" s="30">
        <f>VLOOKUP($B237,Hitters!$A1:$R401,18,FALSE)</f>
        <v>0</v>
      </c>
      <c r="AB237" s="30"/>
      <c r="AC237" s="30"/>
      <c r="AD237" s="32"/>
      <c r="AE237" s="32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</row>
    <row r="238" spans="1:44" ht="20.100000000000001" customHeight="1">
      <c r="A238" s="24">
        <f ca="1">RANK(I238,I$2:I$651)</f>
        <v>254</v>
      </c>
      <c r="B238" s="25" t="s">
        <v>353</v>
      </c>
      <c r="C238" s="26" t="s">
        <v>97</v>
      </c>
      <c r="D238" s="26" t="s">
        <v>75</v>
      </c>
      <c r="E238" s="35" t="s">
        <v>31</v>
      </c>
      <c r="F238" s="36">
        <f ca="1">VLOOKUP(B238,SP!A1:I161,IF(Settings!$J$13="points",4,7),FALSE)</f>
        <v>75</v>
      </c>
      <c r="G238" s="29">
        <f>(AC238*Settings!$F$2)+(AF238*Settings!$F$5)+(AG238*Settings!$F$6)+(AH238*Settings!$F$7)+(AI238*Settings!$F$8)+(AJ238*Settings!$F$9)+(AK238*Settings!$F$10)+(AL238*Settings!$F$11)+(AM238*Settings!$F$12)+(AN238*Settings!$F$13)+(AO238*Settings!$F$14)+(AP238*Settings!$F$15)+(AQ238*Settings!$F$16)+(AR238*Settings!$F$17)</f>
        <v>338.11899999999997</v>
      </c>
      <c r="H238" s="30">
        <f>VLOOKUP(B238,'Standard Deviations'!$A1:$D651,4,FALSE)</f>
        <v>-4.5103340141320114E-2</v>
      </c>
      <c r="I238" s="31">
        <f ca="1">IF(Settings!$J$16="no",VLOOKUP(B238,SP!A1:I161,IF(Settings!$J$13="points",6,9),FALSE),VLOOKUP(B238,'SP+RP'!$A1:$I251,IF(Settings!$J$13="points",6,9),FALSE))</f>
        <v>-0.18108419809279425</v>
      </c>
      <c r="J238" s="30"/>
      <c r="K238" s="30">
        <f ca="1">J238-A238</f>
        <v>-254</v>
      </c>
      <c r="L238" s="30"/>
      <c r="M238" s="30"/>
      <c r="N238" s="30"/>
      <c r="O238" s="30"/>
      <c r="P238" s="30"/>
      <c r="Q238" s="30"/>
      <c r="R238" s="32"/>
      <c r="S238" s="32"/>
      <c r="T238" s="30"/>
      <c r="U238" s="30"/>
      <c r="V238" s="30"/>
      <c r="W238" s="30"/>
      <c r="X238" s="30"/>
      <c r="Y238" s="32"/>
      <c r="Z238" s="32"/>
      <c r="AA238" s="30"/>
      <c r="AB238" s="30"/>
      <c r="AC238" s="30">
        <f>VLOOKUP($B238,Pitchers!$A1:$S251,4,FALSE)</f>
        <v>158.25</v>
      </c>
      <c r="AD238" s="32">
        <f>VLOOKUP($B238,Pitchers!$A1:$S251,5,FALSE)</f>
        <v>3.8235639810426538</v>
      </c>
      <c r="AE238" s="32">
        <f>VLOOKUP($B238,Pitchers!$A1:$S251,6,FALSE)</f>
        <v>1.2856240126382306</v>
      </c>
      <c r="AF238" s="30">
        <f>VLOOKUP($B238,Pitchers!$A1:$S251,7,FALSE)</f>
        <v>145.1</v>
      </c>
      <c r="AG238" s="30">
        <f>VLOOKUP($B238,Pitchers!$A1:$S251,8,FALSE)</f>
        <v>8.75</v>
      </c>
      <c r="AH238" s="30">
        <f>VLOOKUP($B238,Pitchers!$A1:$S251,9,FALSE)</f>
        <v>0</v>
      </c>
      <c r="AI238" s="30">
        <f>VLOOKUP($B238,Pitchers!$A1:$S251,10,FALSE)</f>
        <v>67.230999999999995</v>
      </c>
      <c r="AJ238" s="30">
        <f>VLOOKUP($B238,Pitchers!$A1:$S251,11,FALSE)</f>
        <v>153.75</v>
      </c>
      <c r="AK238" s="30">
        <f>VLOOKUP($B238,Pitchers!$A1:$S251,12,FALSE)</f>
        <v>49.7</v>
      </c>
      <c r="AL238" s="30">
        <f>VLOOKUP($B238,Pitchers!$A1:$S251,13,FALSE)</f>
        <v>18</v>
      </c>
      <c r="AM238" s="30">
        <f>VLOOKUP($B238,Pitchers!$A1:$S251,14,FALSE)</f>
        <v>30.4</v>
      </c>
      <c r="AN238" s="30">
        <f>VLOOKUP($B238,Pitchers!$A1:$S251,15,FALSE)</f>
        <v>29.9</v>
      </c>
      <c r="AO238" s="30">
        <f>VLOOKUP($B238,Pitchers!$A1:$S251,16,FALSE)</f>
        <v>8.35</v>
      </c>
      <c r="AP238" s="30">
        <f>VLOOKUP($B238,Pitchers!$A1:$S251,17,FALSE)</f>
        <v>14</v>
      </c>
      <c r="AQ238" s="30">
        <f>VLOOKUP($B238,Pitchers!$A1:$S251,18,FALSE)</f>
        <v>0</v>
      </c>
      <c r="AR238" s="30">
        <f>VLOOKUP($B238,Pitchers!$A1:$S251,19,FALSE)</f>
        <v>0</v>
      </c>
    </row>
    <row r="239" spans="1:44" ht="18.600000000000001" customHeight="1">
      <c r="A239" s="24">
        <f ca="1">RANK(I239,I$2:I$651)</f>
        <v>140</v>
      </c>
      <c r="B239" s="25" t="s">
        <v>236</v>
      </c>
      <c r="C239" s="26" t="s">
        <v>225</v>
      </c>
      <c r="D239" s="26" t="s">
        <v>75</v>
      </c>
      <c r="E239" s="45" t="s">
        <v>19</v>
      </c>
      <c r="F239" s="46">
        <f ca="1">VLOOKUP(B239,'C'!A1:I54,IF(Settings!$J$13="points",4,7),FALSE)</f>
        <v>8</v>
      </c>
      <c r="G239" s="29">
        <f>(M239*Settings!$B$2)+(N239*Settings!$B$3)+(O239*Settings!$B$4)+(P239*Settings!$B$5)+(Q239*Settings!$B$6)+(T239*Settings!$B$9)+(U239*Settings!$B$10)+(V239*Settings!$B$11)+(W239*Settings!$B$12)+(X239*Settings!$B$13)+(AA239*Settings!$B$16)</f>
        <v>337.56666666666604</v>
      </c>
      <c r="H239" s="30">
        <f>VLOOKUP(B239,'Standard Deviations'!$A1:$D651,4,FALSE)</f>
        <v>1.4577498340918402</v>
      </c>
      <c r="I239" s="31">
        <f ca="1">VLOOKUP(B239,'C'!A1:I54,IF(Settings!$J$13="points",6,9),FALSE)</f>
        <v>1.77484834705179</v>
      </c>
      <c r="J239" s="30"/>
      <c r="K239" s="30">
        <f ca="1">J239-A239</f>
        <v>-140</v>
      </c>
      <c r="L239" s="30"/>
      <c r="M239" s="30">
        <f>VLOOKUP($B239,Hitters!$A1:$R401,4,FALSE)</f>
        <v>425.66666666666703</v>
      </c>
      <c r="N239" s="30">
        <f>VLOOKUP($B239,Hitters!$A1:$R401,5,FALSE)</f>
        <v>59.3333333333333</v>
      </c>
      <c r="O239" s="30">
        <f>VLOOKUP($B239,Hitters!$A1:$R401,6,FALSE)</f>
        <v>14.4333333333333</v>
      </c>
      <c r="P239" s="30">
        <f>VLOOKUP($B239,Hitters!$A1:$R401,7,FALSE)</f>
        <v>63.533333333333303</v>
      </c>
      <c r="Q239" s="30">
        <f>VLOOKUP($B239,Hitters!$A1:$R401,8,FALSE)</f>
        <v>1.6</v>
      </c>
      <c r="R239" s="32">
        <f>VLOOKUP($B239,Hitters!$A1:$R401,9,FALSE)</f>
        <v>0.27447141738449499</v>
      </c>
      <c r="S239" s="32">
        <f>VLOOKUP($B239,Hitters!$A1:$R401,10,FALSE)</f>
        <v>0.33393136997667</v>
      </c>
      <c r="T239" s="30">
        <f>VLOOKUP($B239,Hitters!$A1:$R401,11,FALSE)</f>
        <v>116.833333333333</v>
      </c>
      <c r="U239" s="30">
        <f>VLOOKUP($B239,Hitters!$A1:$R401,12,FALSE)</f>
        <v>24.5</v>
      </c>
      <c r="V239" s="30">
        <f>VLOOKUP($B239,Hitters!$A1:$R401,13,FALSE)</f>
        <v>0.6</v>
      </c>
      <c r="W239" s="30">
        <f>VLOOKUP($B239,Hitters!$A1:$R401,14,FALSE)</f>
        <v>40.133333333333297</v>
      </c>
      <c r="X239" s="30">
        <f>VLOOKUP($B239,Hitters!$A1:$R401,15,FALSE)</f>
        <v>108</v>
      </c>
      <c r="Y239" s="32">
        <f>VLOOKUP($B239,Hitters!$A1:$R401,16,FALSE)</f>
        <v>0.43657008613938902</v>
      </c>
      <c r="Z239" s="32">
        <f>VLOOKUP($B239,Hitters!$A1:$R401,17,FALSE)</f>
        <v>0.77050145611605902</v>
      </c>
      <c r="AA239" s="30">
        <f>VLOOKUP($B239,Hitters!$A1:$R401,18,FALSE)</f>
        <v>0</v>
      </c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</row>
    <row r="240" spans="1:44" ht="18.600000000000001" customHeight="1">
      <c r="A240" s="24">
        <f ca="1">RANK(I240,I$2:I$651)</f>
        <v>279</v>
      </c>
      <c r="B240" s="25" t="s">
        <v>378</v>
      </c>
      <c r="C240" s="26" t="s">
        <v>219</v>
      </c>
      <c r="D240" s="26" t="s">
        <v>75</v>
      </c>
      <c r="E240" s="35" t="s">
        <v>31</v>
      </c>
      <c r="F240" s="36">
        <f ca="1">VLOOKUP(B240,SP!A1:I161,IF(Settings!$J$13="points",4,7),FALSE)</f>
        <v>83</v>
      </c>
      <c r="G240" s="29">
        <f>(AC240*Settings!$F$2)+(AF240*Settings!$F$5)+(AG240*Settings!$F$6)+(AH240*Settings!$F$7)+(AI240*Settings!$F$8)+(AJ240*Settings!$F$9)+(AK240*Settings!$F$10)+(AL240*Settings!$F$11)+(AM240*Settings!$F$12)+(AN240*Settings!$F$13)+(AO240*Settings!$F$14)+(AP240*Settings!$F$15)+(AQ240*Settings!$F$16)+(AR240*Settings!$F$17)</f>
        <v>336.29733333333343</v>
      </c>
      <c r="H240" s="30">
        <f>VLOOKUP(B240,'Standard Deviations'!$A1:$D651,4,FALSE)</f>
        <v>-0.53899701306689796</v>
      </c>
      <c r="I240" s="31">
        <f ca="1">IF(Settings!$J$16="no",VLOOKUP(B240,SP!A1:I161,IF(Settings!$J$13="points",6,9),FALSE),VLOOKUP(B240,'SP+RP'!$A1:$I251,IF(Settings!$J$13="points",6,9),FALSE))</f>
        <v>-0.67497853163310972</v>
      </c>
      <c r="J240" s="30"/>
      <c r="K240" s="30">
        <f ca="1">J240-A240</f>
        <v>-279</v>
      </c>
      <c r="L240" s="30"/>
      <c r="M240" s="30"/>
      <c r="N240" s="30"/>
      <c r="O240" s="30"/>
      <c r="P240" s="30"/>
      <c r="Q240" s="30"/>
      <c r="R240" s="32"/>
      <c r="S240" s="32"/>
      <c r="T240" s="30"/>
      <c r="U240" s="30"/>
      <c r="V240" s="30"/>
      <c r="W240" s="30"/>
      <c r="X240" s="30"/>
      <c r="Y240" s="32"/>
      <c r="Z240" s="32"/>
      <c r="AA240" s="30"/>
      <c r="AB240" s="30"/>
      <c r="AC240" s="30">
        <f>VLOOKUP($B240,Pitchers!$A1:$S251,4,FALSE)</f>
        <v>162.06666666666669</v>
      </c>
      <c r="AD240" s="32">
        <f>VLOOKUP($B240,Pitchers!$A1:$S251,5,FALSE)</f>
        <v>4.3566886055121348</v>
      </c>
      <c r="AE240" s="32">
        <f>VLOOKUP($B240,Pitchers!$A1:$S251,6,FALSE)</f>
        <v>1.2669683257918551</v>
      </c>
      <c r="AF240" s="30">
        <f>VLOOKUP($B240,Pitchers!$A1:$S251,7,FALSE)</f>
        <v>156.16666666666666</v>
      </c>
      <c r="AG240" s="30">
        <f>VLOOKUP($B240,Pitchers!$A1:$S251,8,FALSE)</f>
        <v>9.0666666666666664</v>
      </c>
      <c r="AH240" s="30">
        <f>VLOOKUP($B240,Pitchers!$A1:$S251,9,FALSE)</f>
        <v>0</v>
      </c>
      <c r="AI240" s="30">
        <f>VLOOKUP($B240,Pitchers!$A1:$S251,10,FALSE)</f>
        <v>78.452666666666673</v>
      </c>
      <c r="AJ240" s="30">
        <f>VLOOKUP($B240,Pitchers!$A1:$S251,11,FALSE)</f>
        <v>160.56666666666666</v>
      </c>
      <c r="AK240" s="30">
        <f>VLOOKUP($B240,Pitchers!$A1:$S251,12,FALSE)</f>
        <v>44.766666666666673</v>
      </c>
      <c r="AL240" s="30">
        <f>VLOOKUP($B240,Pitchers!$A1:$S251,13,FALSE)</f>
        <v>21</v>
      </c>
      <c r="AM240" s="30">
        <f>VLOOKUP($B240,Pitchers!$A1:$S251,14,FALSE)</f>
        <v>29.933333333333334</v>
      </c>
      <c r="AN240" s="30">
        <f>VLOOKUP($B240,Pitchers!$A1:$S251,15,FALSE)</f>
        <v>29.599999999999998</v>
      </c>
      <c r="AO240" s="30">
        <f>VLOOKUP($B240,Pitchers!$A1:$S251,16,FALSE)</f>
        <v>9.3333333333333339</v>
      </c>
      <c r="AP240" s="30">
        <f>VLOOKUP($B240,Pitchers!$A1:$S251,17,FALSE)</f>
        <v>13</v>
      </c>
      <c r="AQ240" s="30">
        <f>VLOOKUP($B240,Pitchers!$A1:$S251,18,FALSE)</f>
        <v>0</v>
      </c>
      <c r="AR240" s="30">
        <f>VLOOKUP($B240,Pitchers!$A1:$S251,19,FALSE)</f>
        <v>0</v>
      </c>
    </row>
    <row r="241" spans="1:44" ht="18.600000000000001" customHeight="1">
      <c r="A241" s="24">
        <f ca="1">RANK(I241,I$2:I$651)</f>
        <v>312</v>
      </c>
      <c r="B241" s="25" t="s">
        <v>408</v>
      </c>
      <c r="C241" s="26" t="s">
        <v>160</v>
      </c>
      <c r="D241" s="26" t="s">
        <v>75</v>
      </c>
      <c r="E241" s="47" t="s">
        <v>11</v>
      </c>
      <c r="F241" s="48">
        <f ca="1">VLOOKUP(B241,'2B'!A1:I50,IF(Settings!$J$13="points",4,7),FALSE)</f>
        <v>22</v>
      </c>
      <c r="G241" s="29">
        <f>(M241*Settings!$B$2)+(N241*Settings!$B$3)+(O241*Settings!$B$4)+(P241*Settings!$B$5)+(Q241*Settings!$B$6)+(T241*Settings!$B$9)+(U241*Settings!$B$10)+(V241*Settings!$B$11)+(W241*Settings!$B$12)+(X241*Settings!$B$13)+(AA241*Settings!$B$16)</f>
        <v>336.01666666666716</v>
      </c>
      <c r="H241" s="30">
        <f>VLOOKUP(B241,'Standard Deviations'!$A1:$D651,4,FALSE)</f>
        <v>1.2514807516880335</v>
      </c>
      <c r="I241" s="31">
        <f ca="1">IF(Settings!$J$16="no",VLOOKUP(B241,'2B'!A1:I50,IF(Settings!$J$13="points",6,9),FALSE),VLOOKUP(B241,'2B+SS'!$A1:$I94,IF(Settings!$J$13="points",6,9),FALSE))</f>
        <v>-1.0562520806250539</v>
      </c>
      <c r="J241" s="30"/>
      <c r="K241" s="30">
        <f ca="1">J241-A241</f>
        <v>-312</v>
      </c>
      <c r="L241" s="30"/>
      <c r="M241" s="30">
        <f>VLOOKUP($B241,Hitters!$A1:$R401,4,FALSE)</f>
        <v>435.33333333333297</v>
      </c>
      <c r="N241" s="30">
        <f>VLOOKUP($B241,Hitters!$A1:$R401,5,FALSE)</f>
        <v>60.8</v>
      </c>
      <c r="O241" s="30">
        <f>VLOOKUP($B241,Hitters!$A1:$R401,6,FALSE)</f>
        <v>18.366666666666699</v>
      </c>
      <c r="P241" s="30">
        <f>VLOOKUP($B241,Hitters!$A1:$R401,7,FALSE)</f>
        <v>54.866666666666703</v>
      </c>
      <c r="Q241" s="30">
        <f>VLOOKUP($B241,Hitters!$A1:$R401,8,FALSE)</f>
        <v>11.7</v>
      </c>
      <c r="R241" s="32">
        <f>VLOOKUP($B241,Hitters!$A1:$R401,9,FALSE)</f>
        <v>0.23583460949464</v>
      </c>
      <c r="S241" s="32">
        <f>VLOOKUP($B241,Hitters!$A1:$R401,10,FALSE)</f>
        <v>0.29902382206938599</v>
      </c>
      <c r="T241" s="30">
        <f>VLOOKUP($B241,Hitters!$A1:$R401,11,FALSE)</f>
        <v>102.666666666667</v>
      </c>
      <c r="U241" s="30">
        <f>VLOOKUP($B241,Hitters!$A1:$R401,12,FALSE)</f>
        <v>20.3333333333333</v>
      </c>
      <c r="V241" s="30">
        <f>VLOOKUP($B241,Hitters!$A1:$R401,13,FALSE)</f>
        <v>3.8666666666666698</v>
      </c>
      <c r="W241" s="30">
        <f>VLOOKUP($B241,Hitters!$A1:$R401,14,FALSE)</f>
        <v>41.1</v>
      </c>
      <c r="X241" s="30">
        <f>VLOOKUP($B241,Hitters!$A1:$R401,15,FALSE)</f>
        <v>145.1</v>
      </c>
      <c r="Y241" s="32">
        <f>VLOOKUP($B241,Hitters!$A1:$R401,16,FALSE)</f>
        <v>0.42687595712097998</v>
      </c>
      <c r="Z241" s="32">
        <f>VLOOKUP($B241,Hitters!$A1:$R401,17,FALSE)</f>
        <v>0.72589977919036597</v>
      </c>
      <c r="AA241" s="30">
        <f>VLOOKUP($B241,Hitters!$A1:$R401,18,FALSE)</f>
        <v>0</v>
      </c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</row>
    <row r="242" spans="1:44" ht="18.600000000000001" customHeight="1">
      <c r="A242" s="24">
        <f ca="1">RANK(I242,I$2:I$651)</f>
        <v>267</v>
      </c>
      <c r="B242" s="25" t="s">
        <v>365</v>
      </c>
      <c r="C242" s="26" t="s">
        <v>92</v>
      </c>
      <c r="D242" s="26" t="s">
        <v>75</v>
      </c>
      <c r="E242" s="35" t="s">
        <v>31</v>
      </c>
      <c r="F242" s="36">
        <f ca="1">VLOOKUP(B242,SP!A1:I161,IF(Settings!$J$13="points",4,7),FALSE)</f>
        <v>81</v>
      </c>
      <c r="G242" s="29">
        <f>(AC242*Settings!$F$2)+(AF242*Settings!$F$5)+(AG242*Settings!$F$6)+(AH242*Settings!$F$7)+(AI242*Settings!$F$8)+(AJ242*Settings!$F$9)+(AK242*Settings!$F$10)+(AL242*Settings!$F$11)+(AM242*Settings!$F$12)+(AN242*Settings!$F$13)+(AO242*Settings!$F$14)+(AP242*Settings!$F$15)+(AQ242*Settings!$F$16)+(AR242*Settings!$F$17)</f>
        <v>335.70466666666681</v>
      </c>
      <c r="H242" s="30">
        <f>VLOOKUP(B242,'Standard Deviations'!$A1:$D651,4,FALSE)</f>
        <v>-0.36823720379629465</v>
      </c>
      <c r="I242" s="31">
        <f ca="1">IF(Settings!$J$16="no",VLOOKUP(B242,SP!A1:I161,IF(Settings!$J$13="points",6,9),FALSE),VLOOKUP(B242,'SP+RP'!$A1:$I251,IF(Settings!$J$13="points",6,9),FALSE))</f>
        <v>-0.50421805441896861</v>
      </c>
      <c r="J242" s="30"/>
      <c r="K242" s="30">
        <f ca="1">J242-A242</f>
        <v>-267</v>
      </c>
      <c r="L242" s="30"/>
      <c r="M242" s="30"/>
      <c r="N242" s="30"/>
      <c r="O242" s="30"/>
      <c r="P242" s="30"/>
      <c r="Q242" s="30"/>
      <c r="R242" s="32"/>
      <c r="S242" s="32"/>
      <c r="T242" s="30"/>
      <c r="U242" s="30"/>
      <c r="V242" s="30"/>
      <c r="W242" s="30"/>
      <c r="X242" s="30"/>
      <c r="Y242" s="32"/>
      <c r="Z242" s="32"/>
      <c r="AA242" s="30"/>
      <c r="AB242" s="30"/>
      <c r="AC242" s="30">
        <f>VLOOKUP($B242,Pitchers!$A1:$S251,4,FALSE)</f>
        <v>161.86666666666667</v>
      </c>
      <c r="AD242" s="32">
        <f>VLOOKUP($B242,Pitchers!$A1:$S251,5,FALSE)</f>
        <v>4.1883731466227347</v>
      </c>
      <c r="AE242" s="32">
        <f>VLOOKUP($B242,Pitchers!$A1:$S251,6,FALSE)</f>
        <v>1.2697693574958813</v>
      </c>
      <c r="AF242" s="30">
        <f>VLOOKUP($B242,Pitchers!$A1:$S251,7,FALSE)</f>
        <v>136.66666666666666</v>
      </c>
      <c r="AG242" s="30">
        <f>VLOOKUP($B242,Pitchers!$A1:$S251,8,FALSE)</f>
        <v>10.066666666666666</v>
      </c>
      <c r="AH242" s="30">
        <f>VLOOKUP($B242,Pitchers!$A1:$S251,9,FALSE)</f>
        <v>0</v>
      </c>
      <c r="AI242" s="30">
        <f>VLOOKUP($B242,Pitchers!$A1:$S251,10,FALSE)</f>
        <v>75.328666666666663</v>
      </c>
      <c r="AJ242" s="30">
        <f>VLOOKUP($B242,Pitchers!$A1:$S251,11,FALSE)</f>
        <v>154.9</v>
      </c>
      <c r="AK242" s="30">
        <f>VLOOKUP($B242,Pitchers!$A1:$S251,12,FALSE)</f>
        <v>50.633333333333333</v>
      </c>
      <c r="AL242" s="30">
        <f>VLOOKUP($B242,Pitchers!$A1:$S251,13,FALSE)</f>
        <v>24</v>
      </c>
      <c r="AM242" s="30">
        <f>VLOOKUP($B242,Pitchers!$A1:$S251,14,FALSE)</f>
        <v>29.933333333333334</v>
      </c>
      <c r="AN242" s="30">
        <f>VLOOKUP($B242,Pitchers!$A1:$S251,15,FALSE)</f>
        <v>29.933333333333334</v>
      </c>
      <c r="AO242" s="30">
        <f>VLOOKUP($B242,Pitchers!$A1:$S251,16,FALSE)</f>
        <v>8.7666666666666675</v>
      </c>
      <c r="AP242" s="30">
        <f>VLOOKUP($B242,Pitchers!$A1:$S251,17,FALSE)</f>
        <v>12</v>
      </c>
      <c r="AQ242" s="30">
        <f>VLOOKUP($B242,Pitchers!$A1:$S251,18,FALSE)</f>
        <v>0</v>
      </c>
      <c r="AR242" s="30">
        <f>VLOOKUP($B242,Pitchers!$A1:$S251,19,FALSE)</f>
        <v>0</v>
      </c>
    </row>
    <row r="243" spans="1:44" ht="18.600000000000001" customHeight="1">
      <c r="A243" s="24">
        <f ca="1">RANK(I243,I$2:I$651)</f>
        <v>169</v>
      </c>
      <c r="B243" s="25" t="s">
        <v>266</v>
      </c>
      <c r="C243" s="26" t="s">
        <v>225</v>
      </c>
      <c r="D243" s="26" t="s">
        <v>75</v>
      </c>
      <c r="E243" s="27" t="s">
        <v>23</v>
      </c>
      <c r="F243" s="28">
        <f ca="1">VLOOKUP(B243,OF!A1:I139,IF(Settings!$J$13="points",4,7),FALSE)</f>
        <v>49</v>
      </c>
      <c r="G243" s="29">
        <f>(M243*Settings!$B$2)+(N243*Settings!$B$3)+(O243*Settings!$B$4)+(P243*Settings!$B$5)+(Q243*Settings!$B$6)+(T243*Settings!$B$9)+(U243*Settings!$B$10)+(V243*Settings!$B$11)+(W243*Settings!$B$12)+(X243*Settings!$B$13)+(AA243*Settings!$B$16)</f>
        <v>335.68333333333322</v>
      </c>
      <c r="H243" s="30">
        <f>VLOOKUP(B243,'Standard Deviations'!$A1:$D651,4,FALSE)</f>
        <v>1.1949367399963184</v>
      </c>
      <c r="I243" s="31">
        <f ca="1">VLOOKUP(B243,OF!A1:I139,IF(Settings!$J$13="points",6,9),FALSE)</f>
        <v>1.0762183409992323</v>
      </c>
      <c r="J243" s="30"/>
      <c r="K243" s="30">
        <f ca="1">J243-A243</f>
        <v>-169</v>
      </c>
      <c r="L243" s="30"/>
      <c r="M243" s="30">
        <f>VLOOKUP($B243,Hitters!$A1:$R401,4,FALSE)</f>
        <v>395.66666666666703</v>
      </c>
      <c r="N243" s="30">
        <f>VLOOKUP($B243,Hitters!$A1:$R401,5,FALSE)</f>
        <v>57.8</v>
      </c>
      <c r="O243" s="30">
        <f>VLOOKUP($B243,Hitters!$A1:$R401,6,FALSE)</f>
        <v>17.8333333333333</v>
      </c>
      <c r="P243" s="30">
        <f>VLOOKUP($B243,Hitters!$A1:$R401,7,FALSE)</f>
        <v>53.3</v>
      </c>
      <c r="Q243" s="30">
        <f>VLOOKUP($B243,Hitters!$A1:$R401,8,FALSE)</f>
        <v>11.2</v>
      </c>
      <c r="R243" s="32">
        <f>VLOOKUP($B243,Hitters!$A1:$R401,9,FALSE)</f>
        <v>0.241870261162595</v>
      </c>
      <c r="S243" s="32">
        <f>VLOOKUP($B243,Hitters!$A1:$R401,10,FALSE)</f>
        <v>0.33030474413685201</v>
      </c>
      <c r="T243" s="30">
        <f>VLOOKUP($B243,Hitters!$A1:$R401,11,FALSE)</f>
        <v>95.7</v>
      </c>
      <c r="U243" s="30">
        <f>VLOOKUP($B243,Hitters!$A1:$R401,12,FALSE)</f>
        <v>17.5</v>
      </c>
      <c r="V243" s="30">
        <f>VLOOKUP($B243,Hitters!$A1:$R401,13,FALSE)</f>
        <v>1</v>
      </c>
      <c r="W243" s="30">
        <f>VLOOKUP($B243,Hitters!$A1:$R401,14,FALSE)</f>
        <v>54.2</v>
      </c>
      <c r="X243" s="30">
        <f>VLOOKUP($B243,Hitters!$A1:$R401,15,FALSE)</f>
        <v>114.1</v>
      </c>
      <c r="Y243" s="32">
        <f>VLOOKUP($B243,Hitters!$A1:$R401,16,FALSE)</f>
        <v>0.42636899747262003</v>
      </c>
      <c r="Z243" s="32">
        <f>VLOOKUP($B243,Hitters!$A1:$R401,17,FALSE)</f>
        <v>0.75667374160947198</v>
      </c>
      <c r="AA243" s="30">
        <f>VLOOKUP($B243,Hitters!$A1:$R401,18,FALSE)</f>
        <v>0</v>
      </c>
      <c r="AB243" s="30"/>
      <c r="AC243" s="30"/>
      <c r="AD243" s="32"/>
      <c r="AE243" s="32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</row>
    <row r="244" spans="1:44" ht="18.600000000000001" customHeight="1">
      <c r="A244" s="24">
        <f ca="1">RANK(I244,I$2:I$651)</f>
        <v>329</v>
      </c>
      <c r="B244" s="25" t="s">
        <v>427</v>
      </c>
      <c r="C244" s="26" t="s">
        <v>77</v>
      </c>
      <c r="D244" s="26" t="s">
        <v>70</v>
      </c>
      <c r="E244" s="35" t="s">
        <v>31</v>
      </c>
      <c r="F244" s="36">
        <f ca="1">VLOOKUP(B244,SP!A1:I161,IF(Settings!$J$13="points",4,7),FALSE)</f>
        <v>95</v>
      </c>
      <c r="G244" s="29">
        <f>(AC244*Settings!$F$2)+(AF244*Settings!$F$5)+(AG244*Settings!$F$6)+(AH244*Settings!$F$7)+(AI244*Settings!$F$8)+(AJ244*Settings!$F$9)+(AK244*Settings!$F$10)+(AL244*Settings!$F$11)+(AM244*Settings!$F$12)+(AN244*Settings!$F$13)+(AO244*Settings!$F$14)+(AP244*Settings!$F$15)+(AQ244*Settings!$F$16)+(AR244*Settings!$F$17)</f>
        <v>335.51599999999991</v>
      </c>
      <c r="H244" s="30">
        <f>VLOOKUP(B244,'Standard Deviations'!$A1:$D651,4,FALSE)</f>
        <v>-1.4289807886197419</v>
      </c>
      <c r="I244" s="31">
        <f ca="1">IF(Settings!$J$16="no",VLOOKUP(B244,SP!A1:I161,IF(Settings!$J$13="points",6,9),FALSE),VLOOKUP(B244,'SP+RP'!$A1:$I251,IF(Settings!$J$13="points",6,9),FALSE))</f>
        <v>-1.5649656809185095</v>
      </c>
      <c r="J244" s="30"/>
      <c r="K244" s="30">
        <f ca="1">J244-A244</f>
        <v>-329</v>
      </c>
      <c r="L244" s="30"/>
      <c r="M244" s="30"/>
      <c r="N244" s="30"/>
      <c r="O244" s="30"/>
      <c r="P244" s="30"/>
      <c r="Q244" s="30"/>
      <c r="R244" s="32"/>
      <c r="S244" s="32"/>
      <c r="T244" s="30"/>
      <c r="U244" s="30"/>
      <c r="V244" s="30"/>
      <c r="W244" s="30"/>
      <c r="X244" s="30"/>
      <c r="Y244" s="32"/>
      <c r="Z244" s="32"/>
      <c r="AA244" s="30"/>
      <c r="AB244" s="30"/>
      <c r="AC244" s="30">
        <f>VLOOKUP($B244,Pitchers!$A1:$S251,4,FALSE)</f>
        <v>163.66666666666666</v>
      </c>
      <c r="AD244" s="32">
        <f>VLOOKUP($B244,Pitchers!$A1:$S251,5,FALSE)</f>
        <v>4.49728716904277</v>
      </c>
      <c r="AE244" s="32">
        <f>VLOOKUP($B244,Pitchers!$A1:$S251,6,FALSE)</f>
        <v>1.3140529531568228</v>
      </c>
      <c r="AF244" s="30">
        <f>VLOOKUP($B244,Pitchers!$A1:$S251,7,FALSE)</f>
        <v>124.60000000000001</v>
      </c>
      <c r="AG244" s="30">
        <f>VLOOKUP($B244,Pitchers!$A1:$S251,8,FALSE)</f>
        <v>10.866666666666667</v>
      </c>
      <c r="AH244" s="30">
        <f>VLOOKUP($B244,Pitchers!$A1:$S251,9,FALSE)</f>
        <v>0</v>
      </c>
      <c r="AI244" s="30">
        <f>VLOOKUP($B244,Pitchers!$A1:$S251,10,FALSE)</f>
        <v>81.783999999999992</v>
      </c>
      <c r="AJ244" s="30">
        <f>VLOOKUP($B244,Pitchers!$A1:$S251,11,FALSE)</f>
        <v>168.63333333333333</v>
      </c>
      <c r="AK244" s="30">
        <f>VLOOKUP($B244,Pitchers!$A1:$S251,12,FALSE)</f>
        <v>46.433333333333337</v>
      </c>
      <c r="AL244" s="30">
        <f>VLOOKUP($B244,Pitchers!$A1:$S251,13,FALSE)</f>
        <v>25</v>
      </c>
      <c r="AM244" s="30">
        <f>VLOOKUP($B244,Pitchers!$A1:$S251,14,FALSE)</f>
        <v>32.6</v>
      </c>
      <c r="AN244" s="30">
        <f>VLOOKUP($B244,Pitchers!$A1:$S251,15,FALSE)</f>
        <v>28.266666666666666</v>
      </c>
      <c r="AO244" s="30">
        <f>VLOOKUP($B244,Pitchers!$A1:$S251,16,FALSE)</f>
        <v>7.2</v>
      </c>
      <c r="AP244" s="30">
        <f>VLOOKUP($B244,Pitchers!$A1:$S251,17,FALSE)</f>
        <v>13</v>
      </c>
      <c r="AQ244" s="30">
        <f>VLOOKUP($B244,Pitchers!$A1:$S251,18,FALSE)</f>
        <v>0.5</v>
      </c>
      <c r="AR244" s="30">
        <f>VLOOKUP($B244,Pitchers!$A1:$S251,19,FALSE)</f>
        <v>0</v>
      </c>
    </row>
    <row r="245" spans="1:44" ht="18.600000000000001" customHeight="1">
      <c r="A245" s="24">
        <f ca="1">RANK(I245,I$2:I$651)</f>
        <v>265</v>
      </c>
      <c r="B245" s="25" t="s">
        <v>363</v>
      </c>
      <c r="C245" s="26" t="s">
        <v>64</v>
      </c>
      <c r="D245" s="26" t="s">
        <v>75</v>
      </c>
      <c r="E245" s="33" t="s">
        <v>15</v>
      </c>
      <c r="F245" s="34">
        <f ca="1">VLOOKUP(B245,'3B'!A1:I55,IF(Settings!$J$13="points",4,7),FALSE)</f>
        <v>21</v>
      </c>
      <c r="G245" s="29">
        <f>(M245*Settings!$B$2)+(N245*Settings!$B$3)+(O245*Settings!$B$4)+(P245*Settings!$B$5)+(Q245*Settings!$B$6)+(T245*Settings!$B$9)+(U245*Settings!$B$10)+(V245*Settings!$B$11)+(W245*Settings!$B$12)+(X245*Settings!$B$13)+(AA245*Settings!$B$16)</f>
        <v>334.41666666666708</v>
      </c>
      <c r="H245" s="30">
        <f>VLOOKUP(B245,'Standard Deviations'!$A1:$D651,4,FALSE)</f>
        <v>0.31502301910439984</v>
      </c>
      <c r="I245" s="31">
        <f ca="1">IF(Settings!$J$15="no",VLOOKUP(B245,'3B'!A1:I55,IF(Settings!$J$13="points",6,9),FALSE),VLOOKUP(B245,'1B+3B'!$A1:$I104,IF(Settings!$J$13="points",6,9),FALSE))</f>
        <v>-0.41265289086540369</v>
      </c>
      <c r="J245" s="30"/>
      <c r="K245" s="30">
        <f ca="1">J245-A245</f>
        <v>-265</v>
      </c>
      <c r="L245" s="30"/>
      <c r="M245" s="30">
        <f>VLOOKUP($B245,Hitters!$A1:$R401,4,FALSE)</f>
        <v>441.66666666666703</v>
      </c>
      <c r="N245" s="30">
        <f>VLOOKUP($B245,Hitters!$A1:$R401,5,FALSE)</f>
        <v>57.966666666666697</v>
      </c>
      <c r="O245" s="30">
        <f>VLOOKUP($B245,Hitters!$A1:$R401,6,FALSE)</f>
        <v>12.3</v>
      </c>
      <c r="P245" s="30">
        <f>VLOOKUP($B245,Hitters!$A1:$R401,7,FALSE)</f>
        <v>51.066666666666698</v>
      </c>
      <c r="Q245" s="30">
        <f>VLOOKUP($B245,Hitters!$A1:$R401,8,FALSE)</f>
        <v>10.199999999999999</v>
      </c>
      <c r="R245" s="32">
        <f>VLOOKUP($B245,Hitters!$A1:$R401,9,FALSE)</f>
        <v>0.24309433962264199</v>
      </c>
      <c r="S245" s="32">
        <f>VLOOKUP($B245,Hitters!$A1:$R401,10,FALSE)</f>
        <v>0.30536281915439001</v>
      </c>
      <c r="T245" s="30">
        <f>VLOOKUP($B245,Hitters!$A1:$R401,11,FALSE)</f>
        <v>107.366666666667</v>
      </c>
      <c r="U245" s="30">
        <f>VLOOKUP($B245,Hitters!$A1:$R401,12,FALSE)</f>
        <v>23.1666666666667</v>
      </c>
      <c r="V245" s="30">
        <f>VLOOKUP($B245,Hitters!$A1:$R401,13,FALSE)</f>
        <v>2.2999999999999998</v>
      </c>
      <c r="W245" s="30">
        <f>VLOOKUP($B245,Hitters!$A1:$R401,14,FALSE)</f>
        <v>41.533333333333303</v>
      </c>
      <c r="X245" s="30">
        <f>VLOOKUP($B245,Hitters!$A1:$R401,15,FALSE)</f>
        <v>92.7</v>
      </c>
      <c r="Y245" s="32">
        <f>VLOOKUP($B245,Hitters!$A1:$R401,16,FALSE)</f>
        <v>0.38950943396226401</v>
      </c>
      <c r="Z245" s="32">
        <f>VLOOKUP($B245,Hitters!$A1:$R401,17,FALSE)</f>
        <v>0.69487225311665402</v>
      </c>
      <c r="AA245" s="30">
        <f>VLOOKUP($B245,Hitters!$A1:$R401,18,FALSE)</f>
        <v>0</v>
      </c>
      <c r="AB245" s="30"/>
      <c r="AC245" s="30"/>
      <c r="AD245" s="32"/>
      <c r="AE245" s="32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</row>
    <row r="246" spans="1:44" ht="18.600000000000001" customHeight="1">
      <c r="A246" s="24">
        <f ca="1">RANK(I246,I$2:I$651)</f>
        <v>257</v>
      </c>
      <c r="B246" s="25" t="s">
        <v>356</v>
      </c>
      <c r="C246" s="26" t="s">
        <v>85</v>
      </c>
      <c r="D246" s="26" t="s">
        <v>70</v>
      </c>
      <c r="E246" s="35" t="s">
        <v>31</v>
      </c>
      <c r="F246" s="36">
        <f ca="1">VLOOKUP(B246,SP!A1:I161,IF(Settings!$J$13="points",4,7),FALSE)</f>
        <v>77</v>
      </c>
      <c r="G246" s="29">
        <f>(AC246*Settings!$F$2)+(AF246*Settings!$F$5)+(AG246*Settings!$F$6)+(AH246*Settings!$F$7)+(AI246*Settings!$F$8)+(AJ246*Settings!$F$9)+(AK246*Settings!$F$10)+(AL246*Settings!$F$11)+(AM246*Settings!$F$12)+(AN246*Settings!$F$13)+(AO246*Settings!$F$14)+(AP246*Settings!$F$15)+(AQ246*Settings!$F$16)+(AR246*Settings!$F$17)</f>
        <v>333.75099999999992</v>
      </c>
      <c r="H246" s="30">
        <f>VLOOKUP(B246,'Standard Deviations'!$A1:$D651,4,FALSE)</f>
        <v>-7.2345728893146832E-2</v>
      </c>
      <c r="I246" s="31">
        <f ca="1">IF(Settings!$J$16="no",VLOOKUP(B246,SP!A1:I161,IF(Settings!$J$13="points",6,9),FALSE),VLOOKUP(B246,'SP+RP'!$A1:$I251,IF(Settings!$J$13="points",6,9),FALSE))</f>
        <v>-0.20832731896879692</v>
      </c>
      <c r="J246" s="30"/>
      <c r="K246" s="30">
        <f ca="1">J246-A246</f>
        <v>-257</v>
      </c>
      <c r="L246" s="30"/>
      <c r="M246" s="30"/>
      <c r="N246" s="30"/>
      <c r="O246" s="30"/>
      <c r="P246" s="30"/>
      <c r="Q246" s="30"/>
      <c r="R246" s="32"/>
      <c r="S246" s="32"/>
      <c r="T246" s="30"/>
      <c r="U246" s="30"/>
      <c r="V246" s="30"/>
      <c r="W246" s="30"/>
      <c r="X246" s="30"/>
      <c r="Y246" s="32"/>
      <c r="Z246" s="32"/>
      <c r="AA246" s="30"/>
      <c r="AB246" s="30"/>
      <c r="AC246" s="30">
        <f>VLOOKUP($B246,Pitchers!$A1:$S251,4,FALSE)</f>
        <v>154.19999999999999</v>
      </c>
      <c r="AD246" s="32">
        <f>VLOOKUP($B246,Pitchers!$A1:$S251,5,FALSE)</f>
        <v>4.1847665369649816</v>
      </c>
      <c r="AE246" s="32">
        <f>VLOOKUP($B246,Pitchers!$A1:$S251,6,FALSE)</f>
        <v>1.2665369649805447</v>
      </c>
      <c r="AF246" s="30">
        <f>VLOOKUP($B246,Pitchers!$A1:$S251,7,FALSE)</f>
        <v>154.9</v>
      </c>
      <c r="AG246" s="30">
        <f>VLOOKUP($B246,Pitchers!$A1:$S251,8,FALSE)</f>
        <v>9.6</v>
      </c>
      <c r="AH246" s="30">
        <f>VLOOKUP($B246,Pitchers!$A1:$S251,9,FALSE)</f>
        <v>0</v>
      </c>
      <c r="AI246" s="30">
        <f>VLOOKUP($B246,Pitchers!$A1:$S251,10,FALSE)</f>
        <v>71.699000000000012</v>
      </c>
      <c r="AJ246" s="30">
        <f>VLOOKUP($B246,Pitchers!$A1:$S251,11,FALSE)</f>
        <v>140.94999999999999</v>
      </c>
      <c r="AK246" s="30">
        <f>VLOOKUP($B246,Pitchers!$A1:$S251,12,FALSE)</f>
        <v>54.35</v>
      </c>
      <c r="AL246" s="30">
        <f>VLOOKUP($B246,Pitchers!$A1:$S251,13,FALSE)</f>
        <v>22</v>
      </c>
      <c r="AM246" s="30">
        <f>VLOOKUP($B246,Pitchers!$A1:$S251,14,FALSE)</f>
        <v>29.1</v>
      </c>
      <c r="AN246" s="30">
        <f>VLOOKUP($B246,Pitchers!$A1:$S251,15,FALSE)</f>
        <v>29.1</v>
      </c>
      <c r="AO246" s="30">
        <f>VLOOKUP($B246,Pitchers!$A1:$S251,16,FALSE)</f>
        <v>8.5</v>
      </c>
      <c r="AP246" s="30">
        <f>VLOOKUP($B246,Pitchers!$A1:$S251,17,FALSE)</f>
        <v>12</v>
      </c>
      <c r="AQ246" s="30">
        <f>VLOOKUP($B246,Pitchers!$A1:$S251,18,FALSE)</f>
        <v>0</v>
      </c>
      <c r="AR246" s="30">
        <f>VLOOKUP($B246,Pitchers!$A1:$S251,19,FALSE)</f>
        <v>0</v>
      </c>
    </row>
    <row r="247" spans="1:44" ht="18.600000000000001" customHeight="1">
      <c r="A247" s="24">
        <f ca="1">RANK(I247,I$2:I$651)</f>
        <v>344</v>
      </c>
      <c r="B247" s="25" t="s">
        <v>440</v>
      </c>
      <c r="C247" s="26" t="s">
        <v>85</v>
      </c>
      <c r="D247" s="26" t="s">
        <v>70</v>
      </c>
      <c r="E247" s="39" t="s">
        <v>7</v>
      </c>
      <c r="F247" s="40">
        <f ca="1">VLOOKUP(B247,'1B'!A1:I63,IF(Settings!$J$13="points",4,7),FALSE)</f>
        <v>27</v>
      </c>
      <c r="G247" s="29">
        <f>(M247*Settings!$B$2)+(N247*Settings!$B$3)+(O247*Settings!$B$4)+(P247*Settings!$B$5)+(Q247*Settings!$B$6)+(T247*Settings!$B$9)+(U247*Settings!$B$10)+(V247*Settings!$B$11)+(W247*Settings!$B$12)+(X247*Settings!$B$13)+(AA247*Settings!$B$16)</f>
        <v>333.66666666666646</v>
      </c>
      <c r="H247" s="30">
        <f>VLOOKUP(B247,'Standard Deviations'!$A1:$D651,4,FALSE)</f>
        <v>0.81580195498821506</v>
      </c>
      <c r="I247" s="31">
        <f ca="1">IF(Settings!$J$15="no",VLOOKUP(B247,'1B'!A1:I63,IF(Settings!$J$13="points",6,9),FALSE),VLOOKUP(B247,'1B+3B'!$A1:$I104,IF(Settings!$J$13="points",6,9),FALSE))</f>
        <v>-1.763725959640142</v>
      </c>
      <c r="J247" s="30"/>
      <c r="K247" s="30">
        <f ca="1">J247-A247</f>
        <v>-344</v>
      </c>
      <c r="L247" s="30"/>
      <c r="M247" s="30">
        <f>VLOOKUP($B247,Hitters!$A1:$R401,4,FALSE)</f>
        <v>435</v>
      </c>
      <c r="N247" s="30">
        <f>VLOOKUP($B247,Hitters!$A1:$R401,5,FALSE)</f>
        <v>55.7</v>
      </c>
      <c r="O247" s="30">
        <f>VLOOKUP($B247,Hitters!$A1:$R401,6,FALSE)</f>
        <v>20.6</v>
      </c>
      <c r="P247" s="30">
        <f>VLOOKUP($B247,Hitters!$A1:$R401,7,FALSE)</f>
        <v>65.266666666666694</v>
      </c>
      <c r="Q247" s="30">
        <f>VLOOKUP($B247,Hitters!$A1:$R401,8,FALSE)</f>
        <v>2.1333333333333302</v>
      </c>
      <c r="R247" s="32">
        <f>VLOOKUP($B247,Hitters!$A1:$R401,9,FALSE)</f>
        <v>0.245593869731801</v>
      </c>
      <c r="S247" s="32">
        <f>VLOOKUP($B247,Hitters!$A1:$R401,10,FALSE)</f>
        <v>0.29880856148736501</v>
      </c>
      <c r="T247" s="30">
        <f>VLOOKUP($B247,Hitters!$A1:$R401,11,FALSE)</f>
        <v>106.833333333333</v>
      </c>
      <c r="U247" s="30">
        <f>VLOOKUP($B247,Hitters!$A1:$R401,12,FALSE)</f>
        <v>22.266666666666701</v>
      </c>
      <c r="V247" s="30">
        <f>VLOOKUP($B247,Hitters!$A1:$R401,13,FALSE)</f>
        <v>1.5</v>
      </c>
      <c r="W247" s="30">
        <f>VLOOKUP($B247,Hitters!$A1:$R401,14,FALSE)</f>
        <v>34.866666666666703</v>
      </c>
      <c r="X247" s="30">
        <f>VLOOKUP($B247,Hitters!$A1:$R401,15,FALSE)</f>
        <v>129.4</v>
      </c>
      <c r="Y247" s="32">
        <f>VLOOKUP($B247,Hitters!$A1:$R401,16,FALSE)</f>
        <v>0.44574712643678199</v>
      </c>
      <c r="Z247" s="32">
        <f>VLOOKUP($B247,Hitters!$A1:$R401,17,FALSE)</f>
        <v>0.74455568792414695</v>
      </c>
      <c r="AA247" s="30">
        <f>VLOOKUP($B247,Hitters!$A1:$R401,18,FALSE)</f>
        <v>0</v>
      </c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</row>
    <row r="248" spans="1:44" ht="18.600000000000001" customHeight="1">
      <c r="A248" s="24">
        <f ca="1">RANK(I248,I$2:I$651)</f>
        <v>246</v>
      </c>
      <c r="B248" s="25" t="s">
        <v>346</v>
      </c>
      <c r="C248" s="26" t="s">
        <v>158</v>
      </c>
      <c r="D248" s="26" t="s">
        <v>70</v>
      </c>
      <c r="E248" s="35" t="s">
        <v>31</v>
      </c>
      <c r="F248" s="36">
        <f ca="1">VLOOKUP(B248,SP!A1:I161,IF(Settings!$J$13="points",4,7),FALSE)</f>
        <v>71</v>
      </c>
      <c r="G248" s="29">
        <f>(AC248*Settings!$F$2)+(AF248*Settings!$F$5)+(AG248*Settings!$F$6)+(AH248*Settings!$F$7)+(AI248*Settings!$F$8)+(AJ248*Settings!$F$9)+(AK248*Settings!$F$10)+(AL248*Settings!$F$11)+(AM248*Settings!$F$12)+(AN248*Settings!$F$13)+(AO248*Settings!$F$14)+(AP248*Settings!$F$15)+(AQ248*Settings!$F$16)+(AR248*Settings!$F$17)</f>
        <v>333.00000000000011</v>
      </c>
      <c r="H248" s="30">
        <f>VLOOKUP(B248,'Standard Deviations'!$A1:$D651,4,FALSE)</f>
        <v>2.6155414125408172E-2</v>
      </c>
      <c r="I248" s="31">
        <f ca="1">IF(Settings!$J$16="no",VLOOKUP(B248,SP!A1:I161,IF(Settings!$J$13="points",6,9),FALSE),VLOOKUP(B248,'SP+RP'!$A1:$I251,IF(Settings!$J$13="points",6,9),FALSE))</f>
        <v>-0.10982680132365161</v>
      </c>
      <c r="J248" s="30"/>
      <c r="K248" s="30">
        <f ca="1">J248-A248</f>
        <v>-246</v>
      </c>
      <c r="L248" s="30"/>
      <c r="M248" s="30"/>
      <c r="N248" s="30"/>
      <c r="O248" s="30"/>
      <c r="P248" s="30"/>
      <c r="Q248" s="30"/>
      <c r="R248" s="32"/>
      <c r="S248" s="32"/>
      <c r="T248" s="30"/>
      <c r="U248" s="30"/>
      <c r="V248" s="30"/>
      <c r="W248" s="30"/>
      <c r="X248" s="30"/>
      <c r="Y248" s="32"/>
      <c r="Z248" s="32"/>
      <c r="AA248" s="30"/>
      <c r="AB248" s="30"/>
      <c r="AC248" s="30">
        <f>VLOOKUP($B248,Pitchers!$A1:$S251,4,FALSE)</f>
        <v>149.63333333333335</v>
      </c>
      <c r="AD248" s="32">
        <f>VLOOKUP($B248,Pitchers!$A1:$S251,5,FALSE)</f>
        <v>4.096012474938739</v>
      </c>
      <c r="AE248" s="32">
        <f>VLOOKUP($B248,Pitchers!$A1:$S251,6,FALSE)</f>
        <v>1.2396970372020493</v>
      </c>
      <c r="AF248" s="30">
        <f>VLOOKUP($B248,Pitchers!$A1:$S251,7,FALSE)</f>
        <v>153.93333333333334</v>
      </c>
      <c r="AG248" s="30">
        <f>VLOOKUP($B248,Pitchers!$A1:$S251,8,FALSE)</f>
        <v>8.5333333333333332</v>
      </c>
      <c r="AH248" s="30">
        <f>VLOOKUP($B248,Pitchers!$A1:$S251,9,FALSE)</f>
        <v>0</v>
      </c>
      <c r="AI248" s="30">
        <f>VLOOKUP($B248,Pitchers!$A1:$S251,10,FALSE)</f>
        <v>68.100000000000009</v>
      </c>
      <c r="AJ248" s="30">
        <f>VLOOKUP($B248,Pitchers!$A1:$S251,11,FALSE)</f>
        <v>134.76666666666668</v>
      </c>
      <c r="AK248" s="30">
        <f>VLOOKUP($B248,Pitchers!$A1:$S251,12,FALSE)</f>
        <v>50.733333333333327</v>
      </c>
      <c r="AL248" s="30">
        <f>VLOOKUP($B248,Pitchers!$A1:$S251,13,FALSE)</f>
        <v>24</v>
      </c>
      <c r="AM248" s="30">
        <f>VLOOKUP($B248,Pitchers!$A1:$S251,14,FALSE)</f>
        <v>28.400000000000002</v>
      </c>
      <c r="AN248" s="30">
        <f>VLOOKUP($B248,Pitchers!$A1:$S251,15,FALSE)</f>
        <v>28.400000000000002</v>
      </c>
      <c r="AO248" s="30">
        <f>VLOOKUP($B248,Pitchers!$A1:$S251,16,FALSE)</f>
        <v>8.2000000000000011</v>
      </c>
      <c r="AP248" s="30">
        <f>VLOOKUP($B248,Pitchers!$A1:$S251,17,FALSE)</f>
        <v>14</v>
      </c>
      <c r="AQ248" s="30">
        <f>VLOOKUP($B248,Pitchers!$A1:$S251,18,FALSE)</f>
        <v>0</v>
      </c>
      <c r="AR248" s="30">
        <f>VLOOKUP($B248,Pitchers!$A1:$S251,19,FALSE)</f>
        <v>0</v>
      </c>
    </row>
    <row r="249" spans="1:44" ht="18.600000000000001" customHeight="1">
      <c r="A249" s="24">
        <f ca="1">RANK(I249,I$2:I$651)</f>
        <v>376</v>
      </c>
      <c r="B249" s="25" t="s">
        <v>473</v>
      </c>
      <c r="C249" s="26" t="s">
        <v>142</v>
      </c>
      <c r="D249" s="26" t="s">
        <v>70</v>
      </c>
      <c r="E249" s="39" t="s">
        <v>7</v>
      </c>
      <c r="F249" s="40">
        <f ca="1">VLOOKUP(B249,'1B'!A1:I63,IF(Settings!$J$13="points",4,7),FALSE)</f>
        <v>28</v>
      </c>
      <c r="G249" s="29">
        <f>(M249*Settings!$B$2)+(N249*Settings!$B$3)+(O249*Settings!$B$4)+(P249*Settings!$B$5)+(Q249*Settings!$B$6)+(T249*Settings!$B$9)+(U249*Settings!$B$10)+(V249*Settings!$B$11)+(W249*Settings!$B$12)+(X249*Settings!$B$13)+(AA249*Settings!$B$16)</f>
        <v>331.71666666666675</v>
      </c>
      <c r="H249" s="30">
        <f>VLOOKUP(B249,'Standard Deviations'!$A1:$D651,4,FALSE)</f>
        <v>0.42765827950136359</v>
      </c>
      <c r="I249" s="31">
        <f ca="1">IF(Settings!$J$15="no",VLOOKUP(B249,'1B'!A1:I63,IF(Settings!$J$13="points",6,9),FALSE),VLOOKUP(B249,'1B+3B'!$A1:$I104,IF(Settings!$J$13="points",6,9),FALSE))</f>
        <v>-2.1518684160459314</v>
      </c>
      <c r="J249" s="30"/>
      <c r="K249" s="30">
        <f ca="1">J249-A249</f>
        <v>-376</v>
      </c>
      <c r="L249" s="30"/>
      <c r="M249" s="30">
        <f>VLOOKUP($B249,Hitters!$A1:$R401,4,FALSE)</f>
        <v>418</v>
      </c>
      <c r="N249" s="30">
        <f>VLOOKUP($B249,Hitters!$A1:$R401,5,FALSE)</f>
        <v>52.9</v>
      </c>
      <c r="O249" s="30">
        <f>VLOOKUP($B249,Hitters!$A1:$R401,6,FALSE)</f>
        <v>20.5</v>
      </c>
      <c r="P249" s="30">
        <f>VLOOKUP($B249,Hitters!$A1:$R401,7,FALSE)</f>
        <v>59.3</v>
      </c>
      <c r="Q249" s="30">
        <f>VLOOKUP($B249,Hitters!$A1:$R401,8,FALSE)</f>
        <v>7.5333333333333297</v>
      </c>
      <c r="R249" s="32">
        <f>VLOOKUP($B249,Hitters!$A1:$R401,9,FALSE)</f>
        <v>0.22950558213716099</v>
      </c>
      <c r="S249" s="32">
        <f>VLOOKUP($B249,Hitters!$A1:$R401,10,FALSE)</f>
        <v>0.29212231672742001</v>
      </c>
      <c r="T249" s="30">
        <f>VLOOKUP($B249,Hitters!$A1:$R401,11,FALSE)</f>
        <v>95.933333333333294</v>
      </c>
      <c r="U249" s="30">
        <f>VLOOKUP($B249,Hitters!$A1:$R401,12,FALSE)</f>
        <v>22.066666666666698</v>
      </c>
      <c r="V249" s="30">
        <f>VLOOKUP($B249,Hitters!$A1:$R401,13,FALSE)</f>
        <v>2.0333333333333301</v>
      </c>
      <c r="W249" s="30">
        <f>VLOOKUP($B249,Hitters!$A1:$R401,14,FALSE)</f>
        <v>38.700000000000003</v>
      </c>
      <c r="X249" s="30">
        <f>VLOOKUP($B249,Hitters!$A1:$R401,15,FALSE)</f>
        <v>124.833333333333</v>
      </c>
      <c r="Y249" s="32">
        <f>VLOOKUP($B249,Hitters!$A1:$R401,16,FALSE)</f>
        <v>0.43915470494417902</v>
      </c>
      <c r="Z249" s="32">
        <f>VLOOKUP($B249,Hitters!$A1:$R401,17,FALSE)</f>
        <v>0.73127702167159903</v>
      </c>
      <c r="AA249" s="30">
        <f>VLOOKUP($B249,Hitters!$A1:$R401,18,FALSE)</f>
        <v>0</v>
      </c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</row>
    <row r="250" spans="1:44" ht="18.600000000000001" customHeight="1">
      <c r="A250" s="24">
        <f ca="1">RANK(I250,I$2:I$651)</f>
        <v>522</v>
      </c>
      <c r="B250" s="25" t="s">
        <v>619</v>
      </c>
      <c r="C250" s="26" t="s">
        <v>260</v>
      </c>
      <c r="D250" s="26" t="s">
        <v>70</v>
      </c>
      <c r="E250" s="39" t="s">
        <v>7</v>
      </c>
      <c r="F250" s="40">
        <f ca="1">VLOOKUP(B250,'1B'!A1:I63,IF(Settings!$J$13="points",4,7),FALSE)</f>
        <v>39</v>
      </c>
      <c r="G250" s="29">
        <f>(M250*Settings!$B$2)+(N250*Settings!$B$3)+(O250*Settings!$B$4)+(P250*Settings!$B$5)+(Q250*Settings!$B$6)+(T250*Settings!$B$9)+(U250*Settings!$B$10)+(V250*Settings!$B$11)+(W250*Settings!$B$12)+(X250*Settings!$B$13)+(AA250*Settings!$B$16)</f>
        <v>330.86866666666623</v>
      </c>
      <c r="H250" s="30">
        <f>VLOOKUP(B250,'Standard Deviations'!$A1:$D651,4,FALSE)</f>
        <v>-1.2445308231692702</v>
      </c>
      <c r="I250" s="31">
        <f ca="1">IF(Settings!$J$15="no",VLOOKUP(B250,'1B'!A1:I63,IF(Settings!$J$13="points",6,9),FALSE),VLOOKUP(B250,'1B+3B'!$A1:$I104,IF(Settings!$J$13="points",6,9),FALSE))</f>
        <v>-3.8240625979482452</v>
      </c>
      <c r="J250" s="30"/>
      <c r="K250" s="30">
        <f ca="1">J250-A250</f>
        <v>-522</v>
      </c>
      <c r="L250" s="30"/>
      <c r="M250" s="30">
        <f>VLOOKUP($B250,Hitters!$A1:$R401,4,FALSE)</f>
        <v>488.74666666666701</v>
      </c>
      <c r="N250" s="30">
        <f>VLOOKUP($B250,Hitters!$A1:$R401,5,FALSE)</f>
        <v>58.584000000000003</v>
      </c>
      <c r="O250" s="30">
        <f>VLOOKUP($B250,Hitters!$A1:$R401,6,FALSE)</f>
        <v>16.7</v>
      </c>
      <c r="P250" s="30">
        <f>VLOOKUP($B250,Hitters!$A1:$R401,7,FALSE)</f>
        <v>54.558666666666703</v>
      </c>
      <c r="Q250" s="30">
        <f>VLOOKUP($B250,Hitters!$A1:$R401,8,FALSE)</f>
        <v>1.63466666666667</v>
      </c>
      <c r="R250" s="32">
        <f>VLOOKUP($B250,Hitters!$A1:$R401,9,FALSE)</f>
        <v>0.22239196857267601</v>
      </c>
      <c r="S250" s="32">
        <f>VLOOKUP($B250,Hitters!$A1:$R401,10,FALSE)</f>
        <v>0.29899214167708299</v>
      </c>
      <c r="T250" s="30">
        <f>VLOOKUP($B250,Hitters!$A1:$R401,11,FALSE)</f>
        <v>108.693333333333</v>
      </c>
      <c r="U250" s="30">
        <f>VLOOKUP($B250,Hitters!$A1:$R401,12,FALSE)</f>
        <v>22.611999999999998</v>
      </c>
      <c r="V250" s="30">
        <f>VLOOKUP($B250,Hitters!$A1:$R401,13,FALSE)</f>
        <v>1.6160000000000001</v>
      </c>
      <c r="W250" s="30">
        <f>VLOOKUP($B250,Hitters!$A1:$R401,14,FALSE)</f>
        <v>55.490666666666698</v>
      </c>
      <c r="X250" s="30">
        <f>VLOOKUP($B250,Hitters!$A1:$R401,15,FALSE)</f>
        <v>133.19866666666701</v>
      </c>
      <c r="Y250" s="32">
        <f>VLOOKUP($B250,Hitters!$A1:$R401,16,FALSE)</f>
        <v>0.37777717154081197</v>
      </c>
      <c r="Z250" s="32">
        <f>VLOOKUP($B250,Hitters!$A1:$R401,17,FALSE)</f>
        <v>0.67676931321789502</v>
      </c>
      <c r="AA250" s="30">
        <f>VLOOKUP($B250,Hitters!$A1:$R401,18,FALSE)</f>
        <v>0</v>
      </c>
      <c r="AB250" s="30"/>
      <c r="AC250" s="30"/>
      <c r="AD250" s="32"/>
      <c r="AE250" s="32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</row>
    <row r="251" spans="1:44" ht="18.600000000000001" customHeight="1">
      <c r="A251" s="24">
        <f ca="1">RANK(I251,I$2:I$651)</f>
        <v>202</v>
      </c>
      <c r="B251" s="25" t="s">
        <v>299</v>
      </c>
      <c r="C251" s="26" t="s">
        <v>97</v>
      </c>
      <c r="D251" s="26" t="s">
        <v>75</v>
      </c>
      <c r="E251" s="35" t="s">
        <v>31</v>
      </c>
      <c r="F251" s="36">
        <f ca="1">VLOOKUP(B251,SP!A1:I161,IF(Settings!$J$13="points",4,7),FALSE)</f>
        <v>61</v>
      </c>
      <c r="G251" s="29">
        <f>(AC251*Settings!$F$2)+(AF251*Settings!$F$5)+(AG251*Settings!$F$6)+(AH251*Settings!$F$7)+(AI251*Settings!$F$8)+(AJ251*Settings!$F$9)+(AK251*Settings!$F$10)+(AL251*Settings!$F$11)+(AM251*Settings!$F$12)+(AN251*Settings!$F$13)+(AO251*Settings!$F$14)+(AP251*Settings!$F$15)+(AQ251*Settings!$F$16)+(AR251*Settings!$F$17)</f>
        <v>330.80000000000013</v>
      </c>
      <c r="H251" s="30">
        <f>VLOOKUP(B251,'Standard Deviations'!$A1:$D651,4,FALSE)</f>
        <v>0.62152577566259282</v>
      </c>
      <c r="I251" s="31">
        <f ca="1">IF(Settings!$J$16="no",VLOOKUP(B251,SP!A1:I161,IF(Settings!$J$13="points",6,9),FALSE),VLOOKUP(B251,'SP+RP'!$A1:$I251,IF(Settings!$J$13="points",6,9),FALSE))</f>
        <v>0.48554691602437361</v>
      </c>
      <c r="J251" s="30"/>
      <c r="K251" s="30">
        <f ca="1">J251-A251</f>
        <v>-202</v>
      </c>
      <c r="L251" s="30"/>
      <c r="M251" s="30"/>
      <c r="N251" s="30"/>
      <c r="O251" s="30"/>
      <c r="P251" s="30"/>
      <c r="Q251" s="30"/>
      <c r="R251" s="32"/>
      <c r="S251" s="32"/>
      <c r="T251" s="30"/>
      <c r="U251" s="30"/>
      <c r="V251" s="30"/>
      <c r="W251" s="30"/>
      <c r="X251" s="30"/>
      <c r="Y251" s="32"/>
      <c r="Z251" s="32"/>
      <c r="AA251" s="30"/>
      <c r="AB251" s="30"/>
      <c r="AC251" s="30">
        <f>VLOOKUP($B251,Pitchers!$A1:$S251,4,FALSE)</f>
        <v>143.10000000000002</v>
      </c>
      <c r="AD251" s="32">
        <f>VLOOKUP($B251,Pitchers!$A1:$S251,5,FALSE)</f>
        <v>3.8207547169811313</v>
      </c>
      <c r="AE251" s="32">
        <f>VLOOKUP($B251,Pitchers!$A1:$S251,6,FALSE)</f>
        <v>1.2627533193570926</v>
      </c>
      <c r="AF251" s="30">
        <f>VLOOKUP($B251,Pitchers!$A1:$S251,7,FALSE)</f>
        <v>156.5</v>
      </c>
      <c r="AG251" s="30">
        <f>VLOOKUP($B251,Pitchers!$A1:$S251,8,FALSE)</f>
        <v>9.35</v>
      </c>
      <c r="AH251" s="30">
        <f>VLOOKUP($B251,Pitchers!$A1:$S251,9,FALSE)</f>
        <v>0</v>
      </c>
      <c r="AI251" s="30">
        <f>VLOOKUP($B251,Pitchers!$A1:$S251,10,FALSE)</f>
        <v>60.75</v>
      </c>
      <c r="AJ251" s="30">
        <f>VLOOKUP($B251,Pitchers!$A1:$S251,11,FALSE)</f>
        <v>125.25</v>
      </c>
      <c r="AK251" s="30">
        <f>VLOOKUP($B251,Pitchers!$A1:$S251,12,FALSE)</f>
        <v>55.45</v>
      </c>
      <c r="AL251" s="30">
        <f>VLOOKUP($B251,Pitchers!$A1:$S251,13,FALSE)</f>
        <v>18</v>
      </c>
      <c r="AM251" s="30">
        <f>VLOOKUP($B251,Pitchers!$A1:$S251,14,FALSE)</f>
        <v>28.45</v>
      </c>
      <c r="AN251" s="30">
        <f>VLOOKUP($B251,Pitchers!$A1:$S251,15,FALSE)</f>
        <v>25.95</v>
      </c>
      <c r="AO251" s="30">
        <f>VLOOKUP($B251,Pitchers!$A1:$S251,16,FALSE)</f>
        <v>7.95</v>
      </c>
      <c r="AP251" s="30">
        <f>VLOOKUP($B251,Pitchers!$A1:$S251,17,FALSE)</f>
        <v>13</v>
      </c>
      <c r="AQ251" s="30">
        <f>VLOOKUP($B251,Pitchers!$A1:$S251,18,FALSE)</f>
        <v>0</v>
      </c>
      <c r="AR251" s="30">
        <f>VLOOKUP($B251,Pitchers!$A1:$S251,19,FALSE)</f>
        <v>0</v>
      </c>
    </row>
    <row r="252" spans="1:44" ht="18.600000000000001" customHeight="1">
      <c r="A252" s="24">
        <f ca="1">RANK(I252,I$2:I$651)</f>
        <v>392</v>
      </c>
      <c r="B252" s="25" t="s">
        <v>490</v>
      </c>
      <c r="C252" s="26" t="s">
        <v>160</v>
      </c>
      <c r="D252" s="26" t="s">
        <v>75</v>
      </c>
      <c r="E252" s="39" t="s">
        <v>7</v>
      </c>
      <c r="F252" s="40">
        <f ca="1">VLOOKUP(B252,'1B'!A1:I63,IF(Settings!$J$13="points",4,7),FALSE)</f>
        <v>30</v>
      </c>
      <c r="G252" s="29">
        <f>(M252*Settings!$B$2)+(N252*Settings!$B$3)+(O252*Settings!$B$4)+(P252*Settings!$B$5)+(Q252*Settings!$B$6)+(T252*Settings!$B$9)+(U252*Settings!$B$10)+(V252*Settings!$B$11)+(W252*Settings!$B$12)+(X252*Settings!$B$13)+(AA252*Settings!$B$16)</f>
        <v>330.50000000000028</v>
      </c>
      <c r="H252" s="30">
        <f>VLOOKUP(B252,'Standard Deviations'!$A1:$D651,4,FALSE)</f>
        <v>0.24146090536835443</v>
      </c>
      <c r="I252" s="31">
        <f ca="1">IF(Settings!$J$15="no",VLOOKUP(B252,'1B'!A1:I63,IF(Settings!$J$13="points",6,9),FALSE),VLOOKUP(B252,'1B+3B'!$A1:$I104,IF(Settings!$J$13="points",6,9),FALSE))</f>
        <v>-2.3380698495269914</v>
      </c>
      <c r="J252" s="30"/>
      <c r="K252" s="30">
        <f ca="1">J252-A252</f>
        <v>-392</v>
      </c>
      <c r="L252" s="30"/>
      <c r="M252" s="30">
        <f>VLOOKUP($B252,Hitters!$A1:$R401,4,FALSE)</f>
        <v>440.66666666666703</v>
      </c>
      <c r="N252" s="30">
        <f>VLOOKUP($B252,Hitters!$A1:$R401,5,FALSE)</f>
        <v>57.433333333333302</v>
      </c>
      <c r="O252" s="30">
        <f>VLOOKUP($B252,Hitters!$A1:$R401,6,FALSE)</f>
        <v>16.933333333333302</v>
      </c>
      <c r="P252" s="30">
        <f>VLOOKUP($B252,Hitters!$A1:$R401,7,FALSE)</f>
        <v>57.933333333333302</v>
      </c>
      <c r="Q252" s="30">
        <f>VLOOKUP($B252,Hitters!$A1:$R401,8,FALSE)</f>
        <v>0.56666666666666698</v>
      </c>
      <c r="R252" s="32">
        <f>VLOOKUP($B252,Hitters!$A1:$R401,9,FALSE)</f>
        <v>0.25340393343419099</v>
      </c>
      <c r="S252" s="32">
        <f>VLOOKUP($B252,Hitters!$A1:$R401,10,FALSE)</f>
        <v>0.31768445754202101</v>
      </c>
      <c r="T252" s="30">
        <f>VLOOKUP($B252,Hitters!$A1:$R401,11,FALSE)</f>
        <v>111.666666666667</v>
      </c>
      <c r="U252" s="30">
        <f>VLOOKUP($B252,Hitters!$A1:$R401,12,FALSE)</f>
        <v>22.466666666666701</v>
      </c>
      <c r="V252" s="30">
        <f>VLOOKUP($B252,Hitters!$A1:$R401,13,FALSE)</f>
        <v>1</v>
      </c>
      <c r="W252" s="30">
        <f>VLOOKUP($B252,Hitters!$A1:$R401,14,FALSE)</f>
        <v>43.566666666666698</v>
      </c>
      <c r="X252" s="30">
        <f>VLOOKUP($B252,Hitters!$A1:$R401,15,FALSE)</f>
        <v>113.8</v>
      </c>
      <c r="Y252" s="32">
        <f>VLOOKUP($B252,Hitters!$A1:$R401,16,FALSE)</f>
        <v>0.424205748865356</v>
      </c>
      <c r="Z252" s="32">
        <f>VLOOKUP($B252,Hitters!$A1:$R401,17,FALSE)</f>
        <v>0.74189020640737702</v>
      </c>
      <c r="AA252" s="30">
        <f>VLOOKUP($B252,Hitters!$A1:$R401,18,FALSE)</f>
        <v>0</v>
      </c>
      <c r="AB252" s="30"/>
      <c r="AC252" s="30"/>
      <c r="AD252" s="32"/>
      <c r="AE252" s="32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</row>
    <row r="253" spans="1:44" ht="18.600000000000001" customHeight="1">
      <c r="A253" s="24">
        <f ca="1">RANK(I253,I$2:I$651)</f>
        <v>383</v>
      </c>
      <c r="B253" s="25" t="s">
        <v>481</v>
      </c>
      <c r="C253" s="26" t="s">
        <v>260</v>
      </c>
      <c r="D253" s="26" t="s">
        <v>70</v>
      </c>
      <c r="E253" s="47" t="s">
        <v>11</v>
      </c>
      <c r="F253" s="48">
        <f ca="1">VLOOKUP(B253,'2B'!A1:I50,IF(Settings!$J$13="points",4,7),FALSE)</f>
        <v>28</v>
      </c>
      <c r="G253" s="29">
        <f>(M253*Settings!$B$2)+(N253*Settings!$B$3)+(O253*Settings!$B$4)+(P253*Settings!$B$5)+(Q253*Settings!$B$6)+(T253*Settings!$B$9)+(U253*Settings!$B$10)+(V253*Settings!$B$11)+(W253*Settings!$B$12)+(X253*Settings!$B$13)+(AA253*Settings!$B$16)</f>
        <v>330.10000000000031</v>
      </c>
      <c r="H253" s="30">
        <f>VLOOKUP(B253,'Standard Deviations'!$A1:$D651,4,FALSE)</f>
        <v>8.2608503859927074E-2</v>
      </c>
      <c r="I253" s="31">
        <f ca="1">IF(Settings!$J$16="no",VLOOKUP(B253,'2B'!A1:I50,IF(Settings!$J$13="points",6,9),FALSE),VLOOKUP(B253,'2B+SS'!$A1:$I94,IF(Settings!$J$13="points",6,9),FALSE))</f>
        <v>-2.2251279314582</v>
      </c>
      <c r="J253" s="30"/>
      <c r="K253" s="30">
        <f ca="1">J253-A253</f>
        <v>-383</v>
      </c>
      <c r="L253" s="30"/>
      <c r="M253" s="30">
        <f>VLOOKUP($B253,Hitters!$A1:$R401,4,FALSE)</f>
        <v>505</v>
      </c>
      <c r="N253" s="30">
        <f>VLOOKUP($B253,Hitters!$A1:$R401,5,FALSE)</f>
        <v>58.566666666666698</v>
      </c>
      <c r="O253" s="30">
        <f>VLOOKUP($B253,Hitters!$A1:$R401,6,FALSE)</f>
        <v>15.4333333333333</v>
      </c>
      <c r="P253" s="30">
        <f>VLOOKUP($B253,Hitters!$A1:$R401,7,FALSE)</f>
        <v>58.733333333333299</v>
      </c>
      <c r="Q253" s="30">
        <f>VLOOKUP($B253,Hitters!$A1:$R401,8,FALSE)</f>
        <v>2.93333333333333</v>
      </c>
      <c r="R253" s="32">
        <f>VLOOKUP($B253,Hitters!$A1:$R401,9,FALSE)</f>
        <v>0.244884488448845</v>
      </c>
      <c r="S253" s="32">
        <f>VLOOKUP($B253,Hitters!$A1:$R401,10,FALSE)</f>
        <v>0.27906832104984902</v>
      </c>
      <c r="T253" s="30">
        <f>VLOOKUP($B253,Hitters!$A1:$R401,11,FALSE)</f>
        <v>123.666666666667</v>
      </c>
      <c r="U253" s="30">
        <f>VLOOKUP($B253,Hitters!$A1:$R401,12,FALSE)</f>
        <v>22.8</v>
      </c>
      <c r="V253" s="30">
        <f>VLOOKUP($B253,Hitters!$A1:$R401,13,FALSE)</f>
        <v>1.8</v>
      </c>
      <c r="W253" s="30">
        <f>VLOOKUP($B253,Hitters!$A1:$R401,14,FALSE)</f>
        <v>25.9</v>
      </c>
      <c r="X253" s="30">
        <f>VLOOKUP($B253,Hitters!$A1:$R401,15,FALSE)</f>
        <v>110.73333333333299</v>
      </c>
      <c r="Y253" s="32">
        <f>VLOOKUP($B253,Hitters!$A1:$R401,16,FALSE)</f>
        <v>0.38884488448844901</v>
      </c>
      <c r="Z253" s="32">
        <f>VLOOKUP($B253,Hitters!$A1:$R401,17,FALSE)</f>
        <v>0.66791320553829803</v>
      </c>
      <c r="AA253" s="30">
        <f>VLOOKUP($B253,Hitters!$A1:$R401,18,FALSE)</f>
        <v>0</v>
      </c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</row>
    <row r="254" spans="1:44" ht="20.100000000000001" customHeight="1">
      <c r="A254" s="24">
        <f ca="1">RANK(I254,I$2:I$651)</f>
        <v>220</v>
      </c>
      <c r="B254" s="25" t="s">
        <v>318</v>
      </c>
      <c r="C254" s="26" t="s">
        <v>125</v>
      </c>
      <c r="D254" s="26" t="s">
        <v>75</v>
      </c>
      <c r="E254" s="27" t="s">
        <v>23</v>
      </c>
      <c r="F254" s="28">
        <f ca="1">VLOOKUP(B254,OF!A1:I139,IF(Settings!$J$13="points",4,7),FALSE)</f>
        <v>64</v>
      </c>
      <c r="G254" s="29">
        <f>(M254*Settings!$B$2)+(N254*Settings!$B$3)+(O254*Settings!$B$4)+(P254*Settings!$B$5)+(Q254*Settings!$B$6)+(T254*Settings!$B$9)+(U254*Settings!$B$10)+(V254*Settings!$B$11)+(W254*Settings!$B$12)+(X254*Settings!$B$13)+(AA254*Settings!$B$16)</f>
        <v>329.4</v>
      </c>
      <c r="H254" s="30">
        <f>VLOOKUP(B254,'Standard Deviations'!$A1:$D651,4,FALSE)</f>
        <v>0.33199171730693611</v>
      </c>
      <c r="I254" s="31">
        <f ca="1">VLOOKUP(B254,OF!A1:I139,IF(Settings!$J$13="points",6,9),FALSE)</f>
        <v>0.21327724929575931</v>
      </c>
      <c r="J254" s="30"/>
      <c r="K254" s="30">
        <f ca="1">J254-A254</f>
        <v>-220</v>
      </c>
      <c r="L254" s="30"/>
      <c r="M254" s="30">
        <f>VLOOKUP($B254,Hitters!$A1:$R401,4,FALSE)</f>
        <v>381</v>
      </c>
      <c r="N254" s="30">
        <f>VLOOKUP($B254,Hitters!$A1:$R401,5,FALSE)</f>
        <v>58.4</v>
      </c>
      <c r="O254" s="30">
        <f>VLOOKUP($B254,Hitters!$A1:$R401,6,FALSE)</f>
        <v>16.8</v>
      </c>
      <c r="P254" s="30">
        <f>VLOOKUP($B254,Hitters!$A1:$R401,7,FALSE)</f>
        <v>52.2</v>
      </c>
      <c r="Q254" s="30">
        <f>VLOOKUP($B254,Hitters!$A1:$R401,8,FALSE)</f>
        <v>5.85</v>
      </c>
      <c r="R254" s="32">
        <f>VLOOKUP($B254,Hitters!$A1:$R401,9,FALSE)</f>
        <v>0.243832020997375</v>
      </c>
      <c r="S254" s="32">
        <f>VLOOKUP($B254,Hitters!$A1:$R401,10,FALSE)</f>
        <v>0.333934194313878</v>
      </c>
      <c r="T254" s="30">
        <f>VLOOKUP($B254,Hitters!$A1:$R401,11,FALSE)</f>
        <v>92.9</v>
      </c>
      <c r="U254" s="30">
        <f>VLOOKUP($B254,Hitters!$A1:$R401,12,FALSE)</f>
        <v>17.399999999999999</v>
      </c>
      <c r="V254" s="30">
        <f>VLOOKUP($B254,Hitters!$A1:$R401,13,FALSE)</f>
        <v>2.0499999999999998</v>
      </c>
      <c r="W254" s="30">
        <f>VLOOKUP($B254,Hitters!$A1:$R401,14,FALSE)</f>
        <v>53.45</v>
      </c>
      <c r="X254" s="30">
        <f>VLOOKUP($B254,Hitters!$A1:$R401,15,FALSE)</f>
        <v>94.8</v>
      </c>
      <c r="Y254" s="32">
        <f>VLOOKUP($B254,Hitters!$A1:$R401,16,FALSE)</f>
        <v>0.43254593175853001</v>
      </c>
      <c r="Z254" s="32">
        <f>VLOOKUP($B254,Hitters!$A1:$R401,17,FALSE)</f>
        <v>0.76648012607240801</v>
      </c>
      <c r="AA254" s="30">
        <f>VLOOKUP($B254,Hitters!$A1:$R401,18,FALSE)</f>
        <v>0</v>
      </c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</row>
    <row r="255" spans="1:44" ht="18.600000000000001" customHeight="1">
      <c r="A255" s="24">
        <f ca="1">RANK(I255,I$2:I$651)</f>
        <v>306</v>
      </c>
      <c r="B255" s="25" t="s">
        <v>402</v>
      </c>
      <c r="C255" s="26" t="s">
        <v>309</v>
      </c>
      <c r="D255" s="26" t="s">
        <v>75</v>
      </c>
      <c r="E255" s="39" t="s">
        <v>7</v>
      </c>
      <c r="F255" s="40">
        <f ca="1">VLOOKUP(B255,'1B'!A1:I63,IF(Settings!$J$13="points",4,7),FALSE)</f>
        <v>26</v>
      </c>
      <c r="G255" s="29">
        <f>(M255*Settings!$B$2)+(N255*Settings!$B$3)+(O255*Settings!$B$4)+(P255*Settings!$B$5)+(Q255*Settings!$B$6)+(T255*Settings!$B$9)+(U255*Settings!$B$10)+(V255*Settings!$B$11)+(W255*Settings!$B$12)+(X255*Settings!$B$13)+(AA255*Settings!$B$16)</f>
        <v>328.6666666666664</v>
      </c>
      <c r="H255" s="30">
        <f>VLOOKUP(B255,'Standard Deviations'!$A1:$D651,4,FALSE)</f>
        <v>1.603996572269708</v>
      </c>
      <c r="I255" s="31">
        <f ca="1">IF(Settings!$J$15="no",VLOOKUP(B255,'1B'!A1:I63,IF(Settings!$J$13="points",6,9),FALSE),VLOOKUP(B255,'1B+3B'!$A1:$I104,IF(Settings!$J$13="points",6,9),FALSE))</f>
        <v>-0.97553189582200539</v>
      </c>
      <c r="J255" s="30"/>
      <c r="K255" s="30">
        <f ca="1">J255-A255</f>
        <v>-306</v>
      </c>
      <c r="L255" s="30"/>
      <c r="M255" s="30">
        <f>VLOOKUP($B255,Hitters!$A1:$R401,4,FALSE)</f>
        <v>406</v>
      </c>
      <c r="N255" s="30">
        <f>VLOOKUP($B255,Hitters!$A1:$R401,5,FALSE)</f>
        <v>53.8</v>
      </c>
      <c r="O255" s="30">
        <f>VLOOKUP($B255,Hitters!$A1:$R401,6,FALSE)</f>
        <v>18.8</v>
      </c>
      <c r="P255" s="30">
        <f>VLOOKUP($B255,Hitters!$A1:$R401,7,FALSE)</f>
        <v>59.3</v>
      </c>
      <c r="Q255" s="30">
        <f>VLOOKUP($B255,Hitters!$A1:$R401,8,FALSE)</f>
        <v>1.43333333333333</v>
      </c>
      <c r="R255" s="32">
        <f>VLOOKUP($B255,Hitters!$A1:$R401,9,FALSE)</f>
        <v>0.27594417077175698</v>
      </c>
      <c r="S255" s="32">
        <f>VLOOKUP($B255,Hitters!$A1:$R401,10,FALSE)</f>
        <v>0.31971878138600601</v>
      </c>
      <c r="T255" s="30">
        <f>VLOOKUP($B255,Hitters!$A1:$R401,11,FALSE)</f>
        <v>112.033333333333</v>
      </c>
      <c r="U255" s="30">
        <f>VLOOKUP($B255,Hitters!$A1:$R401,12,FALSE)</f>
        <v>22.566666666666698</v>
      </c>
      <c r="V255" s="30">
        <f>VLOOKUP($B255,Hitters!$A1:$R401,13,FALSE)</f>
        <v>0.73333333333333295</v>
      </c>
      <c r="W255" s="30">
        <f>VLOOKUP($B255,Hitters!$A1:$R401,14,FALSE)</f>
        <v>28.033333333333299</v>
      </c>
      <c r="X255" s="30">
        <f>VLOOKUP($B255,Hitters!$A1:$R401,15,FALSE)</f>
        <v>99.8</v>
      </c>
      <c r="Y255" s="32">
        <f>VLOOKUP($B255,Hitters!$A1:$R401,16,FALSE)</f>
        <v>0.47405582922824302</v>
      </c>
      <c r="Z255" s="32">
        <f>VLOOKUP($B255,Hitters!$A1:$R401,17,FALSE)</f>
        <v>0.79377461061424903</v>
      </c>
      <c r="AA255" s="30">
        <f>VLOOKUP($B255,Hitters!$A1:$R401,18,FALSE)</f>
        <v>0</v>
      </c>
      <c r="AB255" s="30"/>
      <c r="AC255" s="30"/>
      <c r="AD255" s="32"/>
      <c r="AE255" s="32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</row>
    <row r="256" spans="1:44" ht="18.600000000000001" customHeight="1">
      <c r="A256" s="24">
        <f ca="1">RANK(I256,I$2:I$651)</f>
        <v>143</v>
      </c>
      <c r="B256" s="25" t="s">
        <v>240</v>
      </c>
      <c r="C256" s="26" t="s">
        <v>105</v>
      </c>
      <c r="D256" s="26" t="s">
        <v>70</v>
      </c>
      <c r="E256" s="35" t="s">
        <v>31</v>
      </c>
      <c r="F256" s="36">
        <f ca="1">VLOOKUP(B256,SP!A1:I161,IF(Settings!$J$13="points",4,7),FALSE)</f>
        <v>45</v>
      </c>
      <c r="G256" s="29">
        <f>(AC256*Settings!$F$2)+(AF256*Settings!$F$5)+(AG256*Settings!$F$6)+(AH256*Settings!$F$7)+(AI256*Settings!$F$8)+(AJ256*Settings!$F$9)+(AK256*Settings!$F$10)+(AL256*Settings!$F$11)+(AM256*Settings!$F$12)+(AN256*Settings!$F$13)+(AO256*Settings!$F$14)+(AP256*Settings!$F$15)+(AQ256*Settings!$F$16)+(AR256*Settings!$F$17)</f>
        <v>327.44999999999993</v>
      </c>
      <c r="H256" s="30">
        <f>VLOOKUP(B256,'Standard Deviations'!$A1:$D651,4,FALSE)</f>
        <v>1.8242049921583388</v>
      </c>
      <c r="I256" s="31">
        <f ca="1">IF(Settings!$J$16="no",VLOOKUP(B256,SP!A1:I161,IF(Settings!$J$13="points",6,9),FALSE),VLOOKUP(B256,'SP+RP'!$A1:$I251,IF(Settings!$J$13="points",6,9),FALSE))</f>
        <v>1.6882196556251912</v>
      </c>
      <c r="J256" s="30"/>
      <c r="K256" s="30">
        <f ca="1">J256-A256</f>
        <v>-143</v>
      </c>
      <c r="L256" s="30"/>
      <c r="M256" s="30"/>
      <c r="N256" s="30"/>
      <c r="O256" s="30"/>
      <c r="P256" s="30"/>
      <c r="Q256" s="30"/>
      <c r="R256" s="32"/>
      <c r="S256" s="32"/>
      <c r="T256" s="30"/>
      <c r="U256" s="30"/>
      <c r="V256" s="30"/>
      <c r="W256" s="30"/>
      <c r="X256" s="30"/>
      <c r="Y256" s="32"/>
      <c r="Z256" s="32"/>
      <c r="AA256" s="30"/>
      <c r="AB256" s="30"/>
      <c r="AC256" s="30">
        <f>VLOOKUP($B256,Pitchers!$A1:$S251,4,FALSE)</f>
        <v>128.66666666666666</v>
      </c>
      <c r="AD256" s="32">
        <f>VLOOKUP($B256,Pitchers!$A1:$S251,5,FALSE)</f>
        <v>3.7049222797927466</v>
      </c>
      <c r="AE256" s="32">
        <f>VLOOKUP($B256,Pitchers!$A1:$S251,6,FALSE)</f>
        <v>1.1178756476683938</v>
      </c>
      <c r="AF256" s="30">
        <f>VLOOKUP($B256,Pitchers!$A1:$S251,7,FALSE)</f>
        <v>156.56666666666666</v>
      </c>
      <c r="AG256" s="30">
        <f>VLOOKUP($B256,Pitchers!$A1:$S251,8,FALSE)</f>
        <v>7.7333333333333334</v>
      </c>
      <c r="AH256" s="30">
        <f>VLOOKUP($B256,Pitchers!$A1:$S251,9,FALSE)</f>
        <v>0</v>
      </c>
      <c r="AI256" s="30">
        <f>VLOOKUP($B256,Pitchers!$A1:$S251,10,FALSE)</f>
        <v>52.966666666666669</v>
      </c>
      <c r="AJ256" s="30">
        <f>VLOOKUP($B256,Pitchers!$A1:$S251,11,FALSE)</f>
        <v>109.46666666666665</v>
      </c>
      <c r="AK256" s="30">
        <f>VLOOKUP($B256,Pitchers!$A1:$S251,12,FALSE)</f>
        <v>34.366666666666667</v>
      </c>
      <c r="AL256" s="30">
        <f>VLOOKUP($B256,Pitchers!$A1:$S251,13,FALSE)</f>
        <v>17</v>
      </c>
      <c r="AM256" s="30">
        <f>VLOOKUP($B256,Pitchers!$A1:$S251,14,FALSE)</f>
        <v>24.766666666666666</v>
      </c>
      <c r="AN256" s="30">
        <f>VLOOKUP($B256,Pitchers!$A1:$S251,15,FALSE)</f>
        <v>24.766666666666666</v>
      </c>
      <c r="AO256" s="30">
        <f>VLOOKUP($B256,Pitchers!$A1:$S251,16,FALSE)</f>
        <v>7.2333333333333334</v>
      </c>
      <c r="AP256" s="30">
        <f>VLOOKUP($B256,Pitchers!$A1:$S251,17,FALSE)</f>
        <v>14</v>
      </c>
      <c r="AQ256" s="30">
        <f>VLOOKUP($B256,Pitchers!$A1:$S251,18,FALSE)</f>
        <v>0</v>
      </c>
      <c r="AR256" s="30">
        <f>VLOOKUP($B256,Pitchers!$A1:$S251,19,FALSE)</f>
        <v>0</v>
      </c>
    </row>
    <row r="257" spans="1:44" ht="18.600000000000001" customHeight="1">
      <c r="A257" s="24">
        <f ca="1">RANK(I257,I$2:I$651)</f>
        <v>415</v>
      </c>
      <c r="B257" s="25" t="s">
        <v>512</v>
      </c>
      <c r="C257" s="26" t="s">
        <v>219</v>
      </c>
      <c r="D257" s="26" t="s">
        <v>75</v>
      </c>
      <c r="E257" s="37" t="s">
        <v>27</v>
      </c>
      <c r="F257" s="38">
        <f ca="1">VLOOKUP(B257,SS!A1:I45,IF(Settings!$J$13="points",4,7),FALSE)</f>
        <v>22</v>
      </c>
      <c r="G257" s="29">
        <f>(M257*Settings!$B$2)+(N257*Settings!$B$3)+(O257*Settings!$B$4)+(P257*Settings!$B$5)+(Q257*Settings!$B$6)+(T257*Settings!$B$9)+(U257*Settings!$B$10)+(V257*Settings!$B$11)+(W257*Settings!$B$12)+(X257*Settings!$B$13)+(AA257*Settings!$B$16)</f>
        <v>327.38333333333367</v>
      </c>
      <c r="H257" s="30">
        <f>VLOOKUP(B257,'Standard Deviations'!$A1:$D651,4,FALSE)</f>
        <v>0.33939970477234038</v>
      </c>
      <c r="I257" s="31">
        <f ca="1">IF(Settings!$J$16="no",VLOOKUP(B257,SS!A1:I45,IF(Settings!$J$13="points",6,9),FALSE),VLOOKUP(B257,'2B+SS'!$A1:$I94,IF(Settings!$J$13="points",6,9),FALSE))</f>
        <v>-2.6650208519305254</v>
      </c>
      <c r="J257" s="30"/>
      <c r="K257" s="30">
        <f ca="1">J257-A257</f>
        <v>-415</v>
      </c>
      <c r="L257" s="30"/>
      <c r="M257" s="30">
        <f>VLOOKUP($B257,Hitters!$A1:$R401,4,FALSE)</f>
        <v>434</v>
      </c>
      <c r="N257" s="30">
        <f>VLOOKUP($B257,Hitters!$A1:$R401,5,FALSE)</f>
        <v>56.266666666666701</v>
      </c>
      <c r="O257" s="30">
        <f>VLOOKUP($B257,Hitters!$A1:$R401,6,FALSE)</f>
        <v>13.9</v>
      </c>
      <c r="P257" s="30">
        <f>VLOOKUP($B257,Hitters!$A1:$R401,7,FALSE)</f>
        <v>58.1</v>
      </c>
      <c r="Q257" s="30">
        <f>VLOOKUP($B257,Hitters!$A1:$R401,8,FALSE)</f>
        <v>4.2</v>
      </c>
      <c r="R257" s="32">
        <f>VLOOKUP($B257,Hitters!$A1:$R401,9,FALSE)</f>
        <v>0.25291858678955498</v>
      </c>
      <c r="S257" s="32">
        <f>VLOOKUP($B257,Hitters!$A1:$R401,10,FALSE)</f>
        <v>0.31681013570646399</v>
      </c>
      <c r="T257" s="30">
        <f>VLOOKUP($B257,Hitters!$A1:$R401,11,FALSE)</f>
        <v>109.76666666666701</v>
      </c>
      <c r="U257" s="30">
        <f>VLOOKUP($B257,Hitters!$A1:$R401,12,FALSE)</f>
        <v>20.866666666666699</v>
      </c>
      <c r="V257" s="30">
        <f>VLOOKUP($B257,Hitters!$A1:$R401,13,FALSE)</f>
        <v>2</v>
      </c>
      <c r="W257" s="30">
        <f>VLOOKUP($B257,Hitters!$A1:$R401,14,FALSE)</f>
        <v>42.6</v>
      </c>
      <c r="X257" s="30">
        <f>VLOOKUP($B257,Hitters!$A1:$R401,15,FALSE)</f>
        <v>102.166666666667</v>
      </c>
      <c r="Y257" s="32">
        <f>VLOOKUP($B257,Hitters!$A1:$R401,16,FALSE)</f>
        <v>0.40629800307219699</v>
      </c>
      <c r="Z257" s="32">
        <f>VLOOKUP($B257,Hitters!$A1:$R401,17,FALSE)</f>
        <v>0.72310813877865998</v>
      </c>
      <c r="AA257" s="30">
        <f>VLOOKUP($B257,Hitters!$A1:$R401,18,FALSE)</f>
        <v>0</v>
      </c>
      <c r="AB257" s="30"/>
      <c r="AC257" s="30"/>
      <c r="AD257" s="32"/>
      <c r="AE257" s="32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</row>
    <row r="258" spans="1:44" ht="18.600000000000001" customHeight="1">
      <c r="A258" s="24">
        <f ca="1">RANK(I258,I$2:I$651)</f>
        <v>105</v>
      </c>
      <c r="B258" s="25" t="s">
        <v>199</v>
      </c>
      <c r="C258" s="26" t="s">
        <v>101</v>
      </c>
      <c r="D258" s="26" t="s">
        <v>70</v>
      </c>
      <c r="E258" s="41" t="s">
        <v>34</v>
      </c>
      <c r="F258" s="42">
        <f ca="1">VLOOKUP(B258,RP!A1:I91,IF(Settings!$J$13="points",4,7),FALSE)</f>
        <v>9</v>
      </c>
      <c r="G258" s="29">
        <f>(AC258*Settings!$F$2)+(AF258*Settings!$F$5)+(AG258*Settings!$F$6)+(AH258*Settings!$F$7)+(AI258*Settings!$F$8)+(AJ258*Settings!$F$9)+(AK258*Settings!$F$10)+(AL258*Settings!$F$11)+(AM258*Settings!$F$12)+(AN258*Settings!$F$13)+(AO258*Settings!$F$14)+(AP258*Settings!$F$15)+(AQ258*Settings!$F$16)+(AR258*Settings!$F$17)</f>
        <v>326.2166666666667</v>
      </c>
      <c r="H258" s="30">
        <f>VLOOKUP(B258,'Standard Deviations'!$A1:$D651,4,FALSE)</f>
        <v>4.4181059844995705</v>
      </c>
      <c r="I258" s="31">
        <f ca="1">IF(Settings!$J$16="no",VLOOKUP(B258,RP!A1:I91,IF(Settings!$J$13="points",6,9),FALSE),VLOOKUP(B258,'SP+RP'!$A1:$I251,IF(Settings!$J$13="points",6,9),FALSE))</f>
        <v>2.8470390288819321</v>
      </c>
      <c r="J258" s="30"/>
      <c r="K258" s="30">
        <f ca="1">J258-A258</f>
        <v>-105</v>
      </c>
      <c r="L258" s="30"/>
      <c r="M258" s="30"/>
      <c r="N258" s="30"/>
      <c r="O258" s="30"/>
      <c r="P258" s="30"/>
      <c r="Q258" s="30"/>
      <c r="R258" s="32"/>
      <c r="S258" s="32"/>
      <c r="T258" s="30"/>
      <c r="U258" s="30"/>
      <c r="V258" s="30"/>
      <c r="W258" s="30"/>
      <c r="X258" s="30"/>
      <c r="Y258" s="32"/>
      <c r="Z258" s="32"/>
      <c r="AA258" s="30"/>
      <c r="AB258" s="30"/>
      <c r="AC258" s="30">
        <f>VLOOKUP($B258,Pitchers!$A1:$S251,4,FALSE)</f>
        <v>66.333333333333329</v>
      </c>
      <c r="AD258" s="32">
        <f>VLOOKUP($B258,Pitchers!$A1:$S251,5,FALSE)</f>
        <v>2.7723618090452264</v>
      </c>
      <c r="AE258" s="32">
        <f>VLOOKUP($B258,Pitchers!$A1:$S251,6,FALSE)</f>
        <v>1.078894472361809</v>
      </c>
      <c r="AF258" s="30">
        <f>VLOOKUP($B258,Pitchers!$A1:$S251,7,FALSE)</f>
        <v>86.100000000000009</v>
      </c>
      <c r="AG258" s="30">
        <f>VLOOKUP($B258,Pitchers!$A1:$S251,8,FALSE)</f>
        <v>3.5</v>
      </c>
      <c r="AH258" s="30">
        <f>VLOOKUP($B258,Pitchers!$A1:$S251,9,FALSE)</f>
        <v>24</v>
      </c>
      <c r="AI258" s="30">
        <f>VLOOKUP($B258,Pitchers!$A1:$S251,10,FALSE)</f>
        <v>20.433333333333334</v>
      </c>
      <c r="AJ258" s="30">
        <f>VLOOKUP($B258,Pitchers!$A1:$S251,11,FALSE)</f>
        <v>45.333333333333336</v>
      </c>
      <c r="AK258" s="30">
        <f>VLOOKUP($B258,Pitchers!$A1:$S251,12,FALSE)</f>
        <v>26.233333333333334</v>
      </c>
      <c r="AL258" s="30">
        <f>VLOOKUP($B258,Pitchers!$A1:$S251,13,FALSE)</f>
        <v>7</v>
      </c>
      <c r="AM258" s="30">
        <f>VLOOKUP($B258,Pitchers!$A1:$S251,14,FALSE)</f>
        <v>67.266666666666666</v>
      </c>
      <c r="AN258" s="30">
        <f>VLOOKUP($B258,Pitchers!$A1:$S251,15,FALSE)</f>
        <v>0</v>
      </c>
      <c r="AO258" s="30">
        <f>VLOOKUP($B258,Pitchers!$A1:$S251,16,FALSE)</f>
        <v>3.2666666666666671</v>
      </c>
      <c r="AP258" s="30">
        <f>VLOOKUP($B258,Pitchers!$A1:$S251,17,FALSE)</f>
        <v>0</v>
      </c>
      <c r="AQ258" s="30">
        <f>VLOOKUP($B258,Pitchers!$A1:$S251,18,FALSE)</f>
        <v>3.5</v>
      </c>
      <c r="AR258" s="30">
        <f>VLOOKUP($B258,Pitchers!$A1:$S251,19,FALSE)</f>
        <v>4</v>
      </c>
    </row>
    <row r="259" spans="1:44" ht="20.100000000000001" customHeight="1">
      <c r="A259" s="24">
        <f ca="1">RANK(I259,I$2:I$651)</f>
        <v>308</v>
      </c>
      <c r="B259" s="25" t="s">
        <v>405</v>
      </c>
      <c r="C259" s="26" t="s">
        <v>97</v>
      </c>
      <c r="D259" s="26" t="s">
        <v>75</v>
      </c>
      <c r="E259" s="33" t="s">
        <v>15</v>
      </c>
      <c r="F259" s="34">
        <f ca="1">VLOOKUP(B259,'3B'!A1:I55,IF(Settings!$J$13="points",4,7),FALSE)</f>
        <v>24</v>
      </c>
      <c r="G259" s="29">
        <f>(M259*Settings!$B$2)+(N259*Settings!$B$3)+(O259*Settings!$B$4)+(P259*Settings!$B$5)+(Q259*Settings!$B$6)+(T259*Settings!$B$9)+(U259*Settings!$B$10)+(V259*Settings!$B$11)+(W259*Settings!$B$12)+(X259*Settings!$B$13)+(AA259*Settings!$B$16)</f>
        <v>325.50000000000006</v>
      </c>
      <c r="H259" s="30">
        <f>VLOOKUP(B259,'Standard Deviations'!$A1:$D651,4,FALSE)</f>
        <v>-0.30856337858712729</v>
      </c>
      <c r="I259" s="31">
        <f ca="1">IF(Settings!$J$15="no",VLOOKUP(B259,'3B'!A1:I55,IF(Settings!$J$13="points",6,9),FALSE),VLOOKUP(B259,'1B+3B'!$A1:$I104,IF(Settings!$J$13="points",6,9),FALSE))</f>
        <v>-1.0362387694151671</v>
      </c>
      <c r="J259" s="30"/>
      <c r="K259" s="30">
        <f ca="1">J259-A259</f>
        <v>-308</v>
      </c>
      <c r="L259" s="30"/>
      <c r="M259" s="30">
        <f>VLOOKUP($B259,Hitters!$A1:$R401,4,FALSE)</f>
        <v>440.33333333333297</v>
      </c>
      <c r="N259" s="30">
        <f>VLOOKUP($B259,Hitters!$A1:$R401,5,FALSE)</f>
        <v>54.966666666666697</v>
      </c>
      <c r="O259" s="30">
        <f>VLOOKUP($B259,Hitters!$A1:$R401,6,FALSE)</f>
        <v>17.100000000000001</v>
      </c>
      <c r="P259" s="30">
        <f>VLOOKUP($B259,Hitters!$A1:$R401,7,FALSE)</f>
        <v>60.033333333333303</v>
      </c>
      <c r="Q259" s="30">
        <f>VLOOKUP($B259,Hitters!$A1:$R401,8,FALSE)</f>
        <v>1.13333333333333</v>
      </c>
      <c r="R259" s="32">
        <f>VLOOKUP($B259,Hitters!$A1:$R401,9,FALSE)</f>
        <v>0.24027252081756201</v>
      </c>
      <c r="S259" s="32">
        <f>VLOOKUP($B259,Hitters!$A1:$R401,10,FALSE)</f>
        <v>0.29467054196349901</v>
      </c>
      <c r="T259" s="30">
        <f>VLOOKUP($B259,Hitters!$A1:$R401,11,FALSE)</f>
        <v>105.8</v>
      </c>
      <c r="U259" s="30">
        <f>VLOOKUP($B259,Hitters!$A1:$R401,12,FALSE)</f>
        <v>20.6666666666667</v>
      </c>
      <c r="V259" s="30">
        <f>VLOOKUP($B259,Hitters!$A1:$R401,13,FALSE)</f>
        <v>3.5</v>
      </c>
      <c r="W259" s="30">
        <f>VLOOKUP($B259,Hitters!$A1:$R401,14,FALSE)</f>
        <v>35.799999999999997</v>
      </c>
      <c r="X259" s="30">
        <f>VLOOKUP($B259,Hitters!$A1:$R401,15,FALSE)</f>
        <v>107.2</v>
      </c>
      <c r="Y259" s="32">
        <f>VLOOKUP($B259,Hitters!$A1:$R401,16,FALSE)</f>
        <v>0.41960635881907599</v>
      </c>
      <c r="Z259" s="32">
        <f>VLOOKUP($B259,Hitters!$A1:$R401,17,FALSE)</f>
        <v>0.714276900782576</v>
      </c>
      <c r="AA259" s="30">
        <f>VLOOKUP($B259,Hitters!$A1:$R401,18,FALSE)</f>
        <v>0</v>
      </c>
      <c r="AB259" s="30"/>
      <c r="AC259" s="30"/>
      <c r="AD259" s="32"/>
      <c r="AE259" s="32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</row>
    <row r="260" spans="1:44" ht="18.600000000000001" customHeight="1">
      <c r="A260" s="24">
        <f ca="1">RANK(I260,I$2:I$651)</f>
        <v>282</v>
      </c>
      <c r="B260" s="25" t="s">
        <v>381</v>
      </c>
      <c r="C260" s="26" t="s">
        <v>260</v>
      </c>
      <c r="D260" s="26" t="s">
        <v>70</v>
      </c>
      <c r="E260" s="35" t="s">
        <v>31</v>
      </c>
      <c r="F260" s="36">
        <f ca="1">VLOOKUP(B260,SP!A1:I161,IF(Settings!$J$13="points",4,7),FALSE)</f>
        <v>84</v>
      </c>
      <c r="G260" s="29">
        <f>(AC260*Settings!$F$2)+(AF260*Settings!$F$5)+(AG260*Settings!$F$6)+(AH260*Settings!$F$7)+(AI260*Settings!$F$8)+(AJ260*Settings!$F$9)+(AK260*Settings!$F$10)+(AL260*Settings!$F$11)+(AM260*Settings!$F$12)+(AN260*Settings!$F$13)+(AO260*Settings!$F$14)+(AP260*Settings!$F$15)+(AQ260*Settings!$F$16)+(AR260*Settings!$F$17)</f>
        <v>324.86866666666668</v>
      </c>
      <c r="H260" s="30">
        <f>VLOOKUP(B260,'Standard Deviations'!$A1:$D651,4,FALSE)</f>
        <v>-0.56029907255989619</v>
      </c>
      <c r="I260" s="31">
        <f ca="1">IF(Settings!$J$16="no",VLOOKUP(B260,SP!A1:I161,IF(Settings!$J$13="points",6,9),FALSE),VLOOKUP(B260,'SP+RP'!$A1:$I251,IF(Settings!$J$13="points",6,9),FALSE))</f>
        <v>-0.69627982655272425</v>
      </c>
      <c r="J260" s="30"/>
      <c r="K260" s="30">
        <f ca="1">J260-A260</f>
        <v>-282</v>
      </c>
      <c r="L260" s="30"/>
      <c r="M260" s="30"/>
      <c r="N260" s="30"/>
      <c r="O260" s="30"/>
      <c r="P260" s="30"/>
      <c r="Q260" s="30"/>
      <c r="R260" s="32"/>
      <c r="S260" s="32"/>
      <c r="T260" s="30"/>
      <c r="U260" s="30"/>
      <c r="V260" s="30"/>
      <c r="W260" s="30"/>
      <c r="X260" s="30"/>
      <c r="Y260" s="32"/>
      <c r="Z260" s="32"/>
      <c r="AA260" s="30"/>
      <c r="AB260" s="30"/>
      <c r="AC260" s="30">
        <f>VLOOKUP($B260,Pitchers!$A1:$S251,4,FALSE)</f>
        <v>149.03333333333333</v>
      </c>
      <c r="AD260" s="32">
        <f>VLOOKUP($B260,Pitchers!$A1:$S251,5,FALSE)</f>
        <v>4.0368955490941625</v>
      </c>
      <c r="AE260" s="32">
        <f>VLOOKUP($B260,Pitchers!$A1:$S251,6,FALSE)</f>
        <v>1.3093267725341089</v>
      </c>
      <c r="AF260" s="30">
        <f>VLOOKUP($B260,Pitchers!$A1:$S251,7,FALSE)</f>
        <v>138.03333333333333</v>
      </c>
      <c r="AG260" s="30">
        <f>VLOOKUP($B260,Pitchers!$A1:$S251,8,FALSE)</f>
        <v>9.7000000000000011</v>
      </c>
      <c r="AH260" s="30">
        <f>VLOOKUP($B260,Pitchers!$A1:$S251,9,FALSE)</f>
        <v>0</v>
      </c>
      <c r="AI260" s="30">
        <f>VLOOKUP($B260,Pitchers!$A1:$S251,10,FALSE)</f>
        <v>66.847999999999999</v>
      </c>
      <c r="AJ260" s="30">
        <f>VLOOKUP($B260,Pitchers!$A1:$S251,11,FALSE)</f>
        <v>145.76666666666668</v>
      </c>
      <c r="AK260" s="30">
        <f>VLOOKUP($B260,Pitchers!$A1:$S251,12,FALSE)</f>
        <v>49.366666666666667</v>
      </c>
      <c r="AL260" s="30">
        <f>VLOOKUP($B260,Pitchers!$A1:$S251,13,FALSE)</f>
        <v>20</v>
      </c>
      <c r="AM260" s="30">
        <f>VLOOKUP($B260,Pitchers!$A1:$S251,14,FALSE)</f>
        <v>28.066666666666666</v>
      </c>
      <c r="AN260" s="30">
        <f>VLOOKUP($B260,Pitchers!$A1:$S251,15,FALSE)</f>
        <v>28.066666666666666</v>
      </c>
      <c r="AO260" s="30">
        <f>VLOOKUP($B260,Pitchers!$A1:$S251,16,FALSE)</f>
        <v>8.4333333333333336</v>
      </c>
      <c r="AP260" s="30">
        <f>VLOOKUP($B260,Pitchers!$A1:$S251,17,FALSE)</f>
        <v>15</v>
      </c>
      <c r="AQ260" s="30">
        <f>VLOOKUP($B260,Pitchers!$A1:$S251,18,FALSE)</f>
        <v>0</v>
      </c>
      <c r="AR260" s="30">
        <f>VLOOKUP($B260,Pitchers!$A1:$S251,19,FALSE)</f>
        <v>0</v>
      </c>
    </row>
    <row r="261" spans="1:44" ht="18.600000000000001" customHeight="1">
      <c r="A261" s="24">
        <f ca="1">RANK(I261,I$2:I$651)</f>
        <v>330</v>
      </c>
      <c r="B261" s="25" t="s">
        <v>426</v>
      </c>
      <c r="C261" s="26" t="s">
        <v>69</v>
      </c>
      <c r="D261" s="26" t="s">
        <v>70</v>
      </c>
      <c r="E261" s="47" t="s">
        <v>11</v>
      </c>
      <c r="F261" s="48">
        <f ca="1">VLOOKUP(B261,'2B'!A1:I50,IF(Settings!$J$13="points",4,7),FALSE)</f>
        <v>26</v>
      </c>
      <c r="G261" s="29">
        <f>(M261*Settings!$B$2)+(N261*Settings!$B$3)+(O261*Settings!$B$4)+(P261*Settings!$B$5)+(Q261*Settings!$B$6)+(T261*Settings!$B$9)+(U261*Settings!$B$10)+(V261*Settings!$B$11)+(W261*Settings!$B$12)+(X261*Settings!$B$13)+(AA261*Settings!$B$16)</f>
        <v>323.80000000000024</v>
      </c>
      <c r="H261" s="30">
        <f>VLOOKUP(B261,'Standard Deviations'!$A1:$D651,4,FALSE)</f>
        <v>0.74233014947442422</v>
      </c>
      <c r="I261" s="31">
        <f ca="1">IF(Settings!$J$16="no",VLOOKUP(B261,'2B'!A1:I50,IF(Settings!$J$13="points",6,9),FALSE),VLOOKUP(B261,'2B+SS'!$A1:$I94,IF(Settings!$J$13="points",6,9),FALSE))</f>
        <v>-1.5654049744073282</v>
      </c>
      <c r="J261" s="30"/>
      <c r="K261" s="30">
        <f ca="1">J261-A261</f>
        <v>-330</v>
      </c>
      <c r="L261" s="30"/>
      <c r="M261" s="30">
        <f>VLOOKUP($B261,Hitters!$A1:$R401,4,FALSE)</f>
        <v>407</v>
      </c>
      <c r="N261" s="30">
        <f>VLOOKUP($B261,Hitters!$A1:$R401,5,FALSE)</f>
        <v>62.533333333333303</v>
      </c>
      <c r="O261" s="30">
        <f>VLOOKUP($B261,Hitters!$A1:$R401,6,FALSE)</f>
        <v>10.1</v>
      </c>
      <c r="P261" s="30">
        <f>VLOOKUP($B261,Hitters!$A1:$R401,7,FALSE)</f>
        <v>44.433333333333302</v>
      </c>
      <c r="Q261" s="30">
        <f>VLOOKUP($B261,Hitters!$A1:$R401,8,FALSE)</f>
        <v>4.0333333333333297</v>
      </c>
      <c r="R261" s="32">
        <f>VLOOKUP($B261,Hitters!$A1:$R401,9,FALSE)</f>
        <v>0.278542178542179</v>
      </c>
      <c r="S261" s="32">
        <f>VLOOKUP($B261,Hitters!$A1:$R401,10,FALSE)</f>
        <v>0.35240118627230599</v>
      </c>
      <c r="T261" s="30">
        <f>VLOOKUP($B261,Hitters!$A1:$R401,11,FALSE)</f>
        <v>113.366666666667</v>
      </c>
      <c r="U261" s="30">
        <f>VLOOKUP($B261,Hitters!$A1:$R401,12,FALSE)</f>
        <v>17.433333333333302</v>
      </c>
      <c r="V261" s="30">
        <f>VLOOKUP($B261,Hitters!$A1:$R401,13,FALSE)</f>
        <v>0.93333333333333302</v>
      </c>
      <c r="W261" s="30">
        <f>VLOOKUP($B261,Hitters!$A1:$R401,14,FALSE)</f>
        <v>48.633333333333297</v>
      </c>
      <c r="X261" s="30">
        <f>VLOOKUP($B261,Hitters!$A1:$R401,15,FALSE)</f>
        <v>62.6</v>
      </c>
      <c r="Y261" s="32">
        <f>VLOOKUP($B261,Hitters!$A1:$R401,16,FALSE)</f>
        <v>0.40040950040950002</v>
      </c>
      <c r="Z261" s="32">
        <f>VLOOKUP($B261,Hitters!$A1:$R401,17,FALSE)</f>
        <v>0.75281068668180695</v>
      </c>
      <c r="AA261" s="30">
        <f>VLOOKUP($B261,Hitters!$A1:$R401,18,FALSE)</f>
        <v>0</v>
      </c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</row>
    <row r="262" spans="1:44" ht="18.600000000000001" customHeight="1">
      <c r="A262" s="24">
        <f ca="1">RANK(I262,I$2:I$651)</f>
        <v>370</v>
      </c>
      <c r="B262" s="25" t="s">
        <v>468</v>
      </c>
      <c r="C262" s="26" t="s">
        <v>101</v>
      </c>
      <c r="D262" s="26" t="s">
        <v>70</v>
      </c>
      <c r="E262" s="35" t="s">
        <v>31</v>
      </c>
      <c r="F262" s="36">
        <f ca="1">VLOOKUP(B262,SP!A1:I161,IF(Settings!$J$13="points",4,7),FALSE)</f>
        <v>110</v>
      </c>
      <c r="G262" s="29">
        <f>(AC262*Settings!$F$2)+(AF262*Settings!$F$5)+(AG262*Settings!$F$6)+(AH262*Settings!$F$7)+(AI262*Settings!$F$8)+(AJ262*Settings!$F$9)+(AK262*Settings!$F$10)+(AL262*Settings!$F$11)+(AM262*Settings!$F$12)+(AN262*Settings!$F$13)+(AO262*Settings!$F$14)+(AP262*Settings!$F$15)+(AQ262*Settings!$F$16)+(AR262*Settings!$F$17)</f>
        <v>323.55066666666664</v>
      </c>
      <c r="H262" s="30">
        <f>VLOOKUP(B262,'Standard Deviations'!$A1:$D651,4,FALSE)</f>
        <v>-1.9236856249535232</v>
      </c>
      <c r="I262" s="31">
        <f ca="1">IF(Settings!$J$16="no",VLOOKUP(B262,SP!A1:I161,IF(Settings!$J$13="points",6,9),FALSE),VLOOKUP(B262,'SP+RP'!$A1:$I251,IF(Settings!$J$13="points",6,9),FALSE))</f>
        <v>-2.059672781970777</v>
      </c>
      <c r="J262" s="30"/>
      <c r="K262" s="30">
        <f ca="1">J262-A262</f>
        <v>-370</v>
      </c>
      <c r="L262" s="30"/>
      <c r="M262" s="30"/>
      <c r="N262" s="30"/>
      <c r="O262" s="30"/>
      <c r="P262" s="30"/>
      <c r="Q262" s="30"/>
      <c r="R262" s="32"/>
      <c r="S262" s="32"/>
      <c r="T262" s="30"/>
      <c r="U262" s="30"/>
      <c r="V262" s="30"/>
      <c r="W262" s="30"/>
      <c r="X262" s="30"/>
      <c r="Y262" s="32"/>
      <c r="Z262" s="32"/>
      <c r="AA262" s="30"/>
      <c r="AB262" s="30"/>
      <c r="AC262" s="30">
        <f>VLOOKUP($B262,Pitchers!$A1:$S251,4,FALSE)</f>
        <v>169.86666666666667</v>
      </c>
      <c r="AD262" s="32">
        <f>VLOOKUP($B262,Pitchers!$A1:$S251,5,FALSE)</f>
        <v>4.5202747252747253</v>
      </c>
      <c r="AE262" s="32">
        <f>VLOOKUP($B262,Pitchers!$A1:$S251,6,FALSE)</f>
        <v>1.3418367346938773</v>
      </c>
      <c r="AF262" s="30">
        <f>VLOOKUP($B262,Pitchers!$A1:$S251,7,FALSE)</f>
        <v>140.4</v>
      </c>
      <c r="AG262" s="30">
        <f>VLOOKUP($B262,Pitchers!$A1:$S251,8,FALSE)</f>
        <v>9.1666666666666661</v>
      </c>
      <c r="AH262" s="30">
        <f>VLOOKUP($B262,Pitchers!$A1:$S251,9,FALSE)</f>
        <v>0</v>
      </c>
      <c r="AI262" s="30">
        <f>VLOOKUP($B262,Pitchers!$A1:$S251,10,FALSE)</f>
        <v>85.316000000000003</v>
      </c>
      <c r="AJ262" s="30">
        <f>VLOOKUP($B262,Pitchers!$A1:$S251,11,FALSE)</f>
        <v>173.76666666666665</v>
      </c>
      <c r="AK262" s="30">
        <f>VLOOKUP($B262,Pitchers!$A1:$S251,12,FALSE)</f>
        <v>54.166666666666664</v>
      </c>
      <c r="AL262" s="30">
        <f>VLOOKUP($B262,Pitchers!$A1:$S251,13,FALSE)</f>
        <v>22</v>
      </c>
      <c r="AM262" s="30">
        <f>VLOOKUP($B262,Pitchers!$A1:$S251,14,FALSE)</f>
        <v>30.266666666666666</v>
      </c>
      <c r="AN262" s="30">
        <f>VLOOKUP($B262,Pitchers!$A1:$S251,15,FALSE)</f>
        <v>30.266666666666666</v>
      </c>
      <c r="AO262" s="30">
        <f>VLOOKUP($B262,Pitchers!$A1:$S251,16,FALSE)</f>
        <v>9.8333333333333339</v>
      </c>
      <c r="AP262" s="30">
        <f>VLOOKUP($B262,Pitchers!$A1:$S251,17,FALSE)</f>
        <v>14</v>
      </c>
      <c r="AQ262" s="30">
        <f>VLOOKUP($B262,Pitchers!$A1:$S251,18,FALSE)</f>
        <v>0</v>
      </c>
      <c r="AR262" s="30">
        <f>VLOOKUP($B262,Pitchers!$A1:$S251,19,FALSE)</f>
        <v>0</v>
      </c>
    </row>
    <row r="263" spans="1:44" ht="18.600000000000001" customHeight="1">
      <c r="A263" s="24">
        <f ca="1">RANK(I263,I$2:I$651)</f>
        <v>288</v>
      </c>
      <c r="B263" s="25" t="s">
        <v>387</v>
      </c>
      <c r="C263" s="26" t="s">
        <v>92</v>
      </c>
      <c r="D263" s="26" t="s">
        <v>75</v>
      </c>
      <c r="E263" s="35" t="s">
        <v>31</v>
      </c>
      <c r="F263" s="36">
        <f ca="1">VLOOKUP(B263,SP!A1:I161,IF(Settings!$J$13="points",4,7),FALSE)</f>
        <v>85</v>
      </c>
      <c r="G263" s="29">
        <f>(AC263*Settings!$F$2)+(AF263*Settings!$F$5)+(AG263*Settings!$F$6)+(AH263*Settings!$F$7)+(AI263*Settings!$F$8)+(AJ263*Settings!$F$9)+(AK263*Settings!$F$10)+(AL263*Settings!$F$11)+(AM263*Settings!$F$12)+(AN263*Settings!$F$13)+(AO263*Settings!$F$14)+(AP263*Settings!$F$15)+(AQ263*Settings!$F$16)+(AR263*Settings!$F$17)</f>
        <v>323.11466666666661</v>
      </c>
      <c r="H263" s="30">
        <f>VLOOKUP(B263,'Standard Deviations'!$A1:$D651,4,FALSE)</f>
        <v>-0.61366667119979035</v>
      </c>
      <c r="I263" s="31">
        <f ca="1">IF(Settings!$J$16="no",VLOOKUP(B263,SP!A1:I161,IF(Settings!$J$13="points",6,9),FALSE),VLOOKUP(B263,'SP+RP'!$A1:$I251,IF(Settings!$J$13="points",6,9),FALSE))</f>
        <v>-0.74964610999372727</v>
      </c>
      <c r="J263" s="30"/>
      <c r="K263" s="30">
        <f ca="1">J263-A263</f>
        <v>-288</v>
      </c>
      <c r="L263" s="30"/>
      <c r="M263" s="30"/>
      <c r="N263" s="30"/>
      <c r="O263" s="30"/>
      <c r="P263" s="30"/>
      <c r="Q263" s="30"/>
      <c r="R263" s="32"/>
      <c r="S263" s="32"/>
      <c r="T263" s="30"/>
      <c r="U263" s="30"/>
      <c r="V263" s="30"/>
      <c r="W263" s="30"/>
      <c r="X263" s="30"/>
      <c r="Y263" s="32"/>
      <c r="Z263" s="32"/>
      <c r="AA263" s="30"/>
      <c r="AB263" s="30"/>
      <c r="AC263" s="30">
        <f>VLOOKUP($B263,Pitchers!$A1:$S251,4,FALSE)</f>
        <v>148</v>
      </c>
      <c r="AD263" s="32">
        <f>VLOOKUP($B263,Pitchers!$A1:$S251,5,FALSE)</f>
        <v>3.7957297297297301</v>
      </c>
      <c r="AE263" s="32">
        <f>VLOOKUP($B263,Pitchers!$A1:$S251,6,FALSE)</f>
        <v>1.3281531531531532</v>
      </c>
      <c r="AF263" s="30">
        <f>VLOOKUP($B263,Pitchers!$A1:$S251,7,FALSE)</f>
        <v>125.26666666666667</v>
      </c>
      <c r="AG263" s="30">
        <f>VLOOKUP($B263,Pitchers!$A1:$S251,8,FALSE)</f>
        <v>9.4</v>
      </c>
      <c r="AH263" s="30">
        <f>VLOOKUP($B263,Pitchers!$A1:$S251,9,FALSE)</f>
        <v>0.33333333333333331</v>
      </c>
      <c r="AI263" s="30">
        <f>VLOOKUP($B263,Pitchers!$A1:$S251,10,FALSE)</f>
        <v>62.418666666666667</v>
      </c>
      <c r="AJ263" s="30">
        <f>VLOOKUP($B263,Pitchers!$A1:$S251,11,FALSE)</f>
        <v>143.36666666666667</v>
      </c>
      <c r="AK263" s="30">
        <f>VLOOKUP($B263,Pitchers!$A1:$S251,12,FALSE)</f>
        <v>53.199999999999996</v>
      </c>
      <c r="AL263" s="30">
        <f>VLOOKUP($B263,Pitchers!$A1:$S251,13,FALSE)</f>
        <v>19</v>
      </c>
      <c r="AM263" s="30">
        <f>VLOOKUP($B263,Pitchers!$A1:$S251,14,FALSE)</f>
        <v>30.266666666666666</v>
      </c>
      <c r="AN263" s="30">
        <f>VLOOKUP($B263,Pitchers!$A1:$S251,15,FALSE)</f>
        <v>26.266666666666666</v>
      </c>
      <c r="AO263" s="30">
        <f>VLOOKUP($B263,Pitchers!$A1:$S251,16,FALSE)</f>
        <v>7.5333333333333341</v>
      </c>
      <c r="AP263" s="30">
        <f>VLOOKUP($B263,Pitchers!$A1:$S251,17,FALSE)</f>
        <v>15</v>
      </c>
      <c r="AQ263" s="30">
        <f>VLOOKUP($B263,Pitchers!$A1:$S251,18,FALSE)</f>
        <v>0</v>
      </c>
      <c r="AR263" s="30">
        <f>VLOOKUP($B263,Pitchers!$A1:$S251,19,FALSE)</f>
        <v>0</v>
      </c>
    </row>
    <row r="264" spans="1:44" ht="18.600000000000001" customHeight="1">
      <c r="A264" s="24">
        <f ca="1">RANK(I264,I$2:I$651)</f>
        <v>201</v>
      </c>
      <c r="B264" s="25" t="s">
        <v>298</v>
      </c>
      <c r="C264" s="26" t="s">
        <v>158</v>
      </c>
      <c r="D264" s="26" t="s">
        <v>70</v>
      </c>
      <c r="E264" s="35" t="s">
        <v>31</v>
      </c>
      <c r="F264" s="36">
        <f ca="1">VLOOKUP(B264,SP!A1:I161,IF(Settings!$J$13="points",4,7),FALSE)</f>
        <v>60</v>
      </c>
      <c r="G264" s="29">
        <f>(AC264*Settings!$F$2)+(AF264*Settings!$F$5)+(AG264*Settings!$F$6)+(AH264*Settings!$F$7)+(AI264*Settings!$F$8)+(AJ264*Settings!$F$9)+(AK264*Settings!$F$10)+(AL264*Settings!$F$11)+(AM264*Settings!$F$12)+(AN264*Settings!$F$13)+(AO264*Settings!$F$14)+(AP264*Settings!$F$15)+(AQ264*Settings!$F$16)+(AR264*Settings!$F$17)</f>
        <v>322.43333333333339</v>
      </c>
      <c r="H264" s="30">
        <f>VLOOKUP(B264,'Standard Deviations'!$A1:$D651,4,FALSE)</f>
        <v>0.63965548722060783</v>
      </c>
      <c r="I264" s="31">
        <f ca="1">IF(Settings!$J$16="no",VLOOKUP(B264,SP!A1:I161,IF(Settings!$J$13="points",6,9),FALSE),VLOOKUP(B264,'SP+RP'!$A1:$I251,IF(Settings!$J$13="points",6,9),FALSE))</f>
        <v>0.50367509931820309</v>
      </c>
      <c r="J264" s="30"/>
      <c r="K264" s="30">
        <f ca="1">J264-A264</f>
        <v>-201</v>
      </c>
      <c r="L264" s="30"/>
      <c r="M264" s="30"/>
      <c r="N264" s="30"/>
      <c r="O264" s="30"/>
      <c r="P264" s="30"/>
      <c r="Q264" s="30"/>
      <c r="R264" s="32"/>
      <c r="S264" s="32"/>
      <c r="T264" s="30"/>
      <c r="U264" s="30"/>
      <c r="V264" s="30"/>
      <c r="W264" s="30"/>
      <c r="X264" s="30"/>
      <c r="Y264" s="32"/>
      <c r="Z264" s="32"/>
      <c r="AA264" s="30"/>
      <c r="AB264" s="30"/>
      <c r="AC264" s="30">
        <f>VLOOKUP($B264,Pitchers!$A1:$S251,4,FALSE)</f>
        <v>141.76666666666668</v>
      </c>
      <c r="AD264" s="32">
        <f>VLOOKUP($B264,Pitchers!$A1:$S251,5,FALSE)</f>
        <v>3.7434751939807196</v>
      </c>
      <c r="AE264" s="32">
        <f>VLOOKUP($B264,Pitchers!$A1:$S251,6,FALSE)</f>
        <v>1.2325417352457086</v>
      </c>
      <c r="AF264" s="30">
        <f>VLOOKUP($B264,Pitchers!$A1:$S251,7,FALSE)</f>
        <v>142.73333333333332</v>
      </c>
      <c r="AG264" s="30">
        <f>VLOOKUP($B264,Pitchers!$A1:$S251,8,FALSE)</f>
        <v>8.9</v>
      </c>
      <c r="AH264" s="30">
        <f>VLOOKUP($B264,Pitchers!$A1:$S251,9,FALSE)</f>
        <v>0</v>
      </c>
      <c r="AI264" s="30">
        <f>VLOOKUP($B264,Pitchers!$A1:$S251,10,FALSE)</f>
        <v>58.966666666666669</v>
      </c>
      <c r="AJ264" s="30">
        <f>VLOOKUP($B264,Pitchers!$A1:$S251,11,FALSE)</f>
        <v>126.89999999999999</v>
      </c>
      <c r="AK264" s="30">
        <f>VLOOKUP($B264,Pitchers!$A1:$S251,12,FALSE)</f>
        <v>47.833333333333336</v>
      </c>
      <c r="AL264" s="30">
        <f>VLOOKUP($B264,Pitchers!$A1:$S251,13,FALSE)</f>
        <v>17</v>
      </c>
      <c r="AM264" s="30">
        <f>VLOOKUP($B264,Pitchers!$A1:$S251,14,FALSE)</f>
        <v>28.066666666666666</v>
      </c>
      <c r="AN264" s="30">
        <f>VLOOKUP($B264,Pitchers!$A1:$S251,15,FALSE)</f>
        <v>28.066666666666666</v>
      </c>
      <c r="AO264" s="30">
        <f>VLOOKUP($B264,Pitchers!$A1:$S251,16,FALSE)</f>
        <v>7.7666666666666666</v>
      </c>
      <c r="AP264" s="30">
        <f>VLOOKUP($B264,Pitchers!$A1:$S251,17,FALSE)</f>
        <v>12</v>
      </c>
      <c r="AQ264" s="30">
        <f>VLOOKUP($B264,Pitchers!$A1:$S251,18,FALSE)</f>
        <v>0</v>
      </c>
      <c r="AR264" s="30">
        <f>VLOOKUP($B264,Pitchers!$A1:$S251,19,FALSE)</f>
        <v>0</v>
      </c>
    </row>
    <row r="265" spans="1:44" ht="20.100000000000001" customHeight="1">
      <c r="A265" s="24">
        <f ca="1">RANK(I265,I$2:I$651)</f>
        <v>231</v>
      </c>
      <c r="B265" s="25" t="s">
        <v>329</v>
      </c>
      <c r="C265" s="26" t="s">
        <v>105</v>
      </c>
      <c r="D265" s="26" t="s">
        <v>70</v>
      </c>
      <c r="E265" s="37" t="s">
        <v>27</v>
      </c>
      <c r="F265" s="38">
        <f ca="1">VLOOKUP(B265,SS!A1:I45,IF(Settings!$J$13="points",4,7),FALSE)</f>
        <v>17</v>
      </c>
      <c r="G265" s="29">
        <f>(M265*Settings!$B$2)+(N265*Settings!$B$3)+(O265*Settings!$B$4)+(P265*Settings!$B$5)+(Q265*Settings!$B$6)+(T265*Settings!$B$9)+(U265*Settings!$B$10)+(V265*Settings!$B$11)+(W265*Settings!$B$12)+(X265*Settings!$B$13)+(AA265*Settings!$B$16)</f>
        <v>321.46666666666636</v>
      </c>
      <c r="H265" s="30">
        <f>VLOOKUP(B265,'Standard Deviations'!$A1:$D651,4,FALSE)</f>
        <v>3.0448461478320659</v>
      </c>
      <c r="I265" s="31">
        <f ca="1">IF(Settings!$J$16="no",VLOOKUP(B265,SS!A1:I45,IF(Settings!$J$13="points",6,9),FALSE),VLOOKUP(B265,'2B+SS'!$A1:$I94,IF(Settings!$J$13="points",6,9),FALSE))</f>
        <v>4.0424873139852657E-2</v>
      </c>
      <c r="J265" s="30"/>
      <c r="K265" s="30">
        <f ca="1">J265-A265</f>
        <v>-231</v>
      </c>
      <c r="L265" s="30"/>
      <c r="M265" s="30">
        <f>VLOOKUP($B265,Hitters!$A1:$R401,4,FALSE)</f>
        <v>413.75</v>
      </c>
      <c r="N265" s="30">
        <f>VLOOKUP($B265,Hitters!$A1:$R401,5,FALSE)</f>
        <v>52.816666666666698</v>
      </c>
      <c r="O265" s="30">
        <f>VLOOKUP($B265,Hitters!$A1:$R401,6,FALSE)</f>
        <v>12.1833333333333</v>
      </c>
      <c r="P265" s="30">
        <f>VLOOKUP($B265,Hitters!$A1:$R401,7,FALSE)</f>
        <v>44.783333333333303</v>
      </c>
      <c r="Q265" s="30">
        <f>VLOOKUP($B265,Hitters!$A1:$R401,8,FALSE)</f>
        <v>35.316666666666698</v>
      </c>
      <c r="R265" s="32">
        <f>VLOOKUP($B265,Hitters!$A1:$R401,9,FALSE)</f>
        <v>0.23258811681772401</v>
      </c>
      <c r="S265" s="32">
        <f>VLOOKUP($B265,Hitters!$A1:$R401,10,FALSE)</f>
        <v>0.27134834112039302</v>
      </c>
      <c r="T265" s="30">
        <f>VLOOKUP($B265,Hitters!$A1:$R401,11,FALSE)</f>
        <v>96.233333333333306</v>
      </c>
      <c r="U265" s="30">
        <f>VLOOKUP($B265,Hitters!$A1:$R401,12,FALSE)</f>
        <v>20.100000000000001</v>
      </c>
      <c r="V265" s="30">
        <f>VLOOKUP($B265,Hitters!$A1:$R401,13,FALSE)</f>
        <v>3.5</v>
      </c>
      <c r="W265" s="30">
        <f>VLOOKUP($B265,Hitters!$A1:$R401,14,FALSE)</f>
        <v>23.55</v>
      </c>
      <c r="X265" s="30">
        <f>VLOOKUP($B265,Hitters!$A1:$R401,15,FALSE)</f>
        <v>131.96666666666701</v>
      </c>
      <c r="Y265" s="32">
        <f>VLOOKUP($B265,Hitters!$A1:$R401,16,FALSE)</f>
        <v>0.38642497482376598</v>
      </c>
      <c r="Z265" s="32">
        <f>VLOOKUP($B265,Hitters!$A1:$R401,17,FALSE)</f>
        <v>0.657773315944159</v>
      </c>
      <c r="AA265" s="30">
        <f>VLOOKUP($B265,Hitters!$A1:$R401,18,FALSE)</f>
        <v>0</v>
      </c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</row>
    <row r="266" spans="1:44" ht="18.600000000000001" customHeight="1">
      <c r="A266" s="24">
        <f ca="1">RANK(I266,I$2:I$651)</f>
        <v>408</v>
      </c>
      <c r="B266" s="25" t="s">
        <v>505</v>
      </c>
      <c r="C266" s="26" t="s">
        <v>136</v>
      </c>
      <c r="D266" s="26" t="s">
        <v>75</v>
      </c>
      <c r="E266" s="39" t="s">
        <v>7</v>
      </c>
      <c r="F266" s="40">
        <f ca="1">VLOOKUP(B266,'1B'!A1:I63,IF(Settings!$J$13="points",4,7),FALSE)</f>
        <v>32</v>
      </c>
      <c r="G266" s="29">
        <f>(M266*Settings!$B$2)+(N266*Settings!$B$3)+(O266*Settings!$B$4)+(P266*Settings!$B$5)+(Q266*Settings!$B$6)+(T266*Settings!$B$9)+(U266*Settings!$B$10)+(V266*Settings!$B$11)+(W266*Settings!$B$12)+(X266*Settings!$B$13)+(AA266*Settings!$B$16)</f>
        <v>319.23333333333386</v>
      </c>
      <c r="H266" s="30">
        <f>VLOOKUP(B266,'Standard Deviations'!$A1:$D651,4,FALSE)</f>
        <v>5.0388368018756347E-2</v>
      </c>
      <c r="I266" s="31">
        <f ca="1">IF(Settings!$J$15="no",VLOOKUP(B266,'1B'!A1:I63,IF(Settings!$J$13="points",6,9),FALSE),VLOOKUP(B266,'1B+3B'!$A1:$I104,IF(Settings!$J$13="points",6,9),FALSE))</f>
        <v>-2.5291460559041261</v>
      </c>
      <c r="J266" s="30"/>
      <c r="K266" s="30">
        <f ca="1">J266-A266</f>
        <v>-408</v>
      </c>
      <c r="L266" s="30"/>
      <c r="M266" s="30">
        <f>VLOOKUP($B266,Hitters!$A1:$R401,4,FALSE)</f>
        <v>435</v>
      </c>
      <c r="N266" s="30">
        <f>VLOOKUP($B266,Hitters!$A1:$R401,5,FALSE)</f>
        <v>52.933333333333302</v>
      </c>
      <c r="O266" s="30">
        <f>VLOOKUP($B266,Hitters!$A1:$R401,6,FALSE)</f>
        <v>13.1</v>
      </c>
      <c r="P266" s="30">
        <f>VLOOKUP($B266,Hitters!$A1:$R401,7,FALSE)</f>
        <v>58.5</v>
      </c>
      <c r="Q266" s="30">
        <f>VLOOKUP($B266,Hitters!$A1:$R401,8,FALSE)</f>
        <v>0.66666666666666696</v>
      </c>
      <c r="R266" s="32">
        <f>VLOOKUP($B266,Hitters!$A1:$R401,9,FALSE)</f>
        <v>0.26268199233716499</v>
      </c>
      <c r="S266" s="32">
        <f>VLOOKUP($B266,Hitters!$A1:$R401,10,FALSE)</f>
        <v>0.32864075999036202</v>
      </c>
      <c r="T266" s="30">
        <f>VLOOKUP($B266,Hitters!$A1:$R401,11,FALSE)</f>
        <v>114.26666666666701</v>
      </c>
      <c r="U266" s="30">
        <f>VLOOKUP($B266,Hitters!$A1:$R401,12,FALSE)</f>
        <v>25.9</v>
      </c>
      <c r="V266" s="30">
        <f>VLOOKUP($B266,Hitters!$A1:$R401,13,FALSE)</f>
        <v>1.8333333333333299</v>
      </c>
      <c r="W266" s="30">
        <f>VLOOKUP($B266,Hitters!$A1:$R401,14,FALSE)</f>
        <v>44.866666666666703</v>
      </c>
      <c r="X266" s="30">
        <f>VLOOKUP($B266,Hitters!$A1:$R401,15,FALSE)</f>
        <v>124.73333333333299</v>
      </c>
      <c r="Y266" s="32">
        <f>VLOOKUP($B266,Hitters!$A1:$R401,16,FALSE)</f>
        <v>0.42099616858237598</v>
      </c>
      <c r="Z266" s="32">
        <f>VLOOKUP($B266,Hitters!$A1:$R401,17,FALSE)</f>
        <v>0.749636928572738</v>
      </c>
      <c r="AA266" s="30">
        <f>VLOOKUP($B266,Hitters!$A1:$R401,18,FALSE)</f>
        <v>0</v>
      </c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</row>
    <row r="267" spans="1:44" ht="18.600000000000001" customHeight="1">
      <c r="A267" s="24">
        <f ca="1">RANK(I267,I$2:I$651)</f>
        <v>380</v>
      </c>
      <c r="B267" s="25" t="s">
        <v>479</v>
      </c>
      <c r="C267" s="26" t="s">
        <v>105</v>
      </c>
      <c r="D267" s="26" t="s">
        <v>70</v>
      </c>
      <c r="E267" s="35" t="s">
        <v>31</v>
      </c>
      <c r="F267" s="36">
        <f ca="1">VLOOKUP(B267,SP!A1:I161,IF(Settings!$J$13="points",4,7),FALSE)</f>
        <v>114</v>
      </c>
      <c r="G267" s="29">
        <f>(AC267*Settings!$F$2)+(AF267*Settings!$F$5)+(AG267*Settings!$F$6)+(AH267*Settings!$F$7)+(AI267*Settings!$F$8)+(AJ267*Settings!$F$9)+(AK267*Settings!$F$10)+(AL267*Settings!$F$11)+(AM267*Settings!$F$12)+(AN267*Settings!$F$13)+(AO267*Settings!$F$14)+(AP267*Settings!$F$15)+(AQ267*Settings!$F$16)+(AR267*Settings!$F$17)</f>
        <v>319.16666666666686</v>
      </c>
      <c r="H267" s="30">
        <f>VLOOKUP(B267,'Standard Deviations'!$A1:$D651,4,FALSE)</f>
        <v>-2.0507192546314874</v>
      </c>
      <c r="I267" s="31">
        <f ca="1">IF(Settings!$J$16="no",VLOOKUP(B267,SP!A1:I161,IF(Settings!$J$13="points",6,9),FALSE),VLOOKUP(B267,'SP+RP'!$A1:$I251,IF(Settings!$J$13="points",6,9),FALSE))</f>
        <v>-2.1867029717873327</v>
      </c>
      <c r="J267" s="30"/>
      <c r="K267" s="30">
        <f ca="1">J267-A267</f>
        <v>-380</v>
      </c>
      <c r="L267" s="30"/>
      <c r="M267" s="30"/>
      <c r="N267" s="30"/>
      <c r="O267" s="30"/>
      <c r="P267" s="30"/>
      <c r="Q267" s="30"/>
      <c r="R267" s="32"/>
      <c r="S267" s="32"/>
      <c r="T267" s="30"/>
      <c r="U267" s="30"/>
      <c r="V267" s="30"/>
      <c r="W267" s="30"/>
      <c r="X267" s="30"/>
      <c r="Y267" s="32"/>
      <c r="Z267" s="32"/>
      <c r="AA267" s="30"/>
      <c r="AB267" s="30"/>
      <c r="AC267" s="30">
        <f>VLOOKUP($B267,Pitchers!$A1:$S251,4,FALSE)</f>
        <v>163.86666666666667</v>
      </c>
      <c r="AD267" s="32">
        <f>VLOOKUP($B267,Pitchers!$A1:$S251,5,FALSE)</f>
        <v>4.7746135069161921</v>
      </c>
      <c r="AE267" s="32">
        <f>VLOOKUP($B267,Pitchers!$A1:$S251,6,FALSE)</f>
        <v>1.3645240032546786</v>
      </c>
      <c r="AF267" s="30">
        <f>VLOOKUP($B267,Pitchers!$A1:$S251,7,FALSE)</f>
        <v>159.13333333333333</v>
      </c>
      <c r="AG267" s="30">
        <f>VLOOKUP($B267,Pitchers!$A1:$S251,8,FALSE)</f>
        <v>9.7666666666666675</v>
      </c>
      <c r="AH267" s="30">
        <f>VLOOKUP($B267,Pitchers!$A1:$S251,9,FALSE)</f>
        <v>0</v>
      </c>
      <c r="AI267" s="30">
        <f>VLOOKUP($B267,Pitchers!$A1:$S251,10,FALSE)</f>
        <v>86.933333333333337</v>
      </c>
      <c r="AJ267" s="30">
        <f>VLOOKUP($B267,Pitchers!$A1:$S251,11,FALSE)</f>
        <v>159.26666666666668</v>
      </c>
      <c r="AK267" s="30">
        <f>VLOOKUP($B267,Pitchers!$A1:$S251,12,FALSE)</f>
        <v>64.333333333333329</v>
      </c>
      <c r="AL267" s="30">
        <f>VLOOKUP($B267,Pitchers!$A1:$S251,13,FALSE)</f>
        <v>27</v>
      </c>
      <c r="AM267" s="30">
        <f>VLOOKUP($B267,Pitchers!$A1:$S251,14,FALSE)</f>
        <v>30.266666666666666</v>
      </c>
      <c r="AN267" s="30">
        <f>VLOOKUP($B267,Pitchers!$A1:$S251,15,FALSE)</f>
        <v>29.599999999999998</v>
      </c>
      <c r="AO267" s="30">
        <f>VLOOKUP($B267,Pitchers!$A1:$S251,16,FALSE)</f>
        <v>9.7666666666666675</v>
      </c>
      <c r="AP267" s="30">
        <f>VLOOKUP($B267,Pitchers!$A1:$S251,17,FALSE)</f>
        <v>13</v>
      </c>
      <c r="AQ267" s="30">
        <f>VLOOKUP($B267,Pitchers!$A1:$S251,18,FALSE)</f>
        <v>0</v>
      </c>
      <c r="AR267" s="30">
        <f>VLOOKUP($B267,Pitchers!$A1:$S251,19,FALSE)</f>
        <v>0</v>
      </c>
    </row>
    <row r="268" spans="1:44" ht="18.600000000000001" customHeight="1">
      <c r="A268" s="24">
        <f ca="1">RANK(I268,I$2:I$651)</f>
        <v>337</v>
      </c>
      <c r="B268" s="25" t="s">
        <v>434</v>
      </c>
      <c r="C268" s="26" t="s">
        <v>72</v>
      </c>
      <c r="D268" s="26" t="s">
        <v>70</v>
      </c>
      <c r="E268" s="35" t="s">
        <v>31</v>
      </c>
      <c r="F268" s="36">
        <f ca="1">VLOOKUP(B268,SP!A1:I161,IF(Settings!$J$13="points",4,7),FALSE)</f>
        <v>98</v>
      </c>
      <c r="G268" s="29">
        <f>(AC268*Settings!$F$2)+(AF268*Settings!$F$5)+(AG268*Settings!$F$6)+(AH268*Settings!$F$7)+(AI268*Settings!$F$8)+(AJ268*Settings!$F$9)+(AK268*Settings!$F$10)+(AL268*Settings!$F$11)+(AM268*Settings!$F$12)+(AN268*Settings!$F$13)+(AO268*Settings!$F$14)+(AP268*Settings!$F$15)+(AQ268*Settings!$F$16)+(AR268*Settings!$F$17)</f>
        <v>319.06066666666658</v>
      </c>
      <c r="H268" s="30">
        <f>VLOOKUP(B268,'Standard Deviations'!$A1:$D651,4,FALSE)</f>
        <v>-1.5774945541760541</v>
      </c>
      <c r="I268" s="31">
        <f ca="1">IF(Settings!$J$16="no",VLOOKUP(B268,SP!A1:I161,IF(Settings!$J$13="points",6,9),FALSE),VLOOKUP(B268,'SP+RP'!$A1:$I251,IF(Settings!$J$13="points",6,9),FALSE))</f>
        <v>-1.7134731503114011</v>
      </c>
      <c r="J268" s="30"/>
      <c r="K268" s="30">
        <f ca="1">J268-A268</f>
        <v>-337</v>
      </c>
      <c r="L268" s="30"/>
      <c r="M268" s="30"/>
      <c r="N268" s="30"/>
      <c r="O268" s="30"/>
      <c r="P268" s="30"/>
      <c r="Q268" s="30"/>
      <c r="R268" s="32"/>
      <c r="S268" s="32"/>
      <c r="T268" s="30"/>
      <c r="U268" s="30"/>
      <c r="V268" s="30"/>
      <c r="W268" s="30"/>
      <c r="X268" s="30"/>
      <c r="Y268" s="32"/>
      <c r="Z268" s="32"/>
      <c r="AA268" s="30"/>
      <c r="AB268" s="30"/>
      <c r="AC268" s="30">
        <f>VLOOKUP($B268,Pitchers!$A1:$S251,4,FALSE)</f>
        <v>171.6</v>
      </c>
      <c r="AD268" s="32">
        <f>VLOOKUP($B268,Pitchers!$A1:$S251,5,FALSE)</f>
        <v>4.4181468531468528</v>
      </c>
      <c r="AE268" s="32">
        <f>VLOOKUP($B268,Pitchers!$A1:$S251,6,FALSE)</f>
        <v>1.3038073038073039</v>
      </c>
      <c r="AF268" s="30">
        <f>VLOOKUP($B268,Pitchers!$A1:$S251,7,FALSE)</f>
        <v>113</v>
      </c>
      <c r="AG268" s="30">
        <f>VLOOKUP($B268,Pitchers!$A1:$S251,8,FALSE)</f>
        <v>10.366666666666667</v>
      </c>
      <c r="AH268" s="30">
        <f>VLOOKUP($B268,Pitchers!$A1:$S251,9,FALSE)</f>
        <v>0</v>
      </c>
      <c r="AI268" s="30">
        <f>VLOOKUP($B268,Pitchers!$A1:$S251,10,FALSE)</f>
        <v>84.239333333333335</v>
      </c>
      <c r="AJ268" s="30">
        <f>VLOOKUP($B268,Pitchers!$A1:$S251,11,FALSE)</f>
        <v>178.20000000000002</v>
      </c>
      <c r="AK268" s="30">
        <f>VLOOKUP($B268,Pitchers!$A1:$S251,12,FALSE)</f>
        <v>45.533333333333331</v>
      </c>
      <c r="AL268" s="30">
        <f>VLOOKUP($B268,Pitchers!$A1:$S251,13,FALSE)</f>
        <v>27</v>
      </c>
      <c r="AM268" s="30">
        <f>VLOOKUP($B268,Pitchers!$A1:$S251,14,FALSE)</f>
        <v>29.599999999999998</v>
      </c>
      <c r="AN268" s="30">
        <f>VLOOKUP($B268,Pitchers!$A1:$S251,15,FALSE)</f>
        <v>29.599999999999998</v>
      </c>
      <c r="AO268" s="30">
        <f>VLOOKUP($B268,Pitchers!$A1:$S251,16,FALSE)</f>
        <v>10.566666666666666</v>
      </c>
      <c r="AP268" s="30">
        <f>VLOOKUP($B268,Pitchers!$A1:$S251,17,FALSE)</f>
        <v>12</v>
      </c>
      <c r="AQ268" s="30">
        <f>VLOOKUP($B268,Pitchers!$A1:$S251,18,FALSE)</f>
        <v>0</v>
      </c>
      <c r="AR268" s="30">
        <f>VLOOKUP($B268,Pitchers!$A1:$S251,19,FALSE)</f>
        <v>0</v>
      </c>
    </row>
    <row r="269" spans="1:44" ht="18.600000000000001" customHeight="1">
      <c r="A269" s="24">
        <f ca="1">RANK(I269,I$2:I$651)</f>
        <v>453</v>
      </c>
      <c r="B269" s="25" t="s">
        <v>550</v>
      </c>
      <c r="C269" s="26" t="s">
        <v>142</v>
      </c>
      <c r="D269" s="26" t="s">
        <v>70</v>
      </c>
      <c r="E269" s="47" t="s">
        <v>11</v>
      </c>
      <c r="F269" s="48">
        <f ca="1">VLOOKUP(B269,'2B'!A1:I50,IF(Settings!$J$13="points",4,7),FALSE)</f>
        <v>33</v>
      </c>
      <c r="G269" s="29">
        <f>(M269*Settings!$B$2)+(N269*Settings!$B$3)+(O269*Settings!$B$4)+(P269*Settings!$B$5)+(Q269*Settings!$B$6)+(T269*Settings!$B$9)+(U269*Settings!$B$10)+(V269*Settings!$B$11)+(W269*Settings!$B$12)+(X269*Settings!$B$13)+(AA269*Settings!$B$16)</f>
        <v>319.04999999999956</v>
      </c>
      <c r="H269" s="30">
        <f>VLOOKUP(B269,'Standard Deviations'!$A1:$D651,4,FALSE)</f>
        <v>-0.69632177971039999</v>
      </c>
      <c r="I269" s="31">
        <f ca="1">IF(Settings!$J$16="no",VLOOKUP(B269,'2B'!A1:I50,IF(Settings!$J$13="points",6,9),FALSE),VLOOKUP(B269,'2B+SS'!$A1:$I94,IF(Settings!$J$13="points",6,9),FALSE))</f>
        <v>-3.0040579031331385</v>
      </c>
      <c r="J269" s="30"/>
      <c r="K269" s="30">
        <f ca="1">J269-A269</f>
        <v>-453</v>
      </c>
      <c r="L269" s="30"/>
      <c r="M269" s="30">
        <f>VLOOKUP($B269,Hitters!$A1:$R401,4,FALSE)</f>
        <v>435.66666666666703</v>
      </c>
      <c r="N269" s="30">
        <f>VLOOKUP($B269,Hitters!$A1:$R401,5,FALSE)</f>
        <v>57.866666666666703</v>
      </c>
      <c r="O269" s="30">
        <f>VLOOKUP($B269,Hitters!$A1:$R401,6,FALSE)</f>
        <v>6.8</v>
      </c>
      <c r="P269" s="30">
        <f>VLOOKUP($B269,Hitters!$A1:$R401,7,FALSE)</f>
        <v>39.633333333333297</v>
      </c>
      <c r="Q269" s="30">
        <f>VLOOKUP($B269,Hitters!$A1:$R401,8,FALSE)</f>
        <v>9.5</v>
      </c>
      <c r="R269" s="32">
        <f>VLOOKUP($B269,Hitters!$A1:$R401,9,FALSE)</f>
        <v>0.249579188982402</v>
      </c>
      <c r="S269" s="32">
        <f>VLOOKUP($B269,Hitters!$A1:$R401,10,FALSE)</f>
        <v>0.320323879994803</v>
      </c>
      <c r="T269" s="30">
        <f>VLOOKUP($B269,Hitters!$A1:$R401,11,FALSE)</f>
        <v>108.73333333333299</v>
      </c>
      <c r="U269" s="30">
        <f>VLOOKUP($B269,Hitters!$A1:$R401,12,FALSE)</f>
        <v>22.8333333333333</v>
      </c>
      <c r="V269" s="30">
        <f>VLOOKUP($B269,Hitters!$A1:$R401,13,FALSE)</f>
        <v>2</v>
      </c>
      <c r="W269" s="30">
        <f>VLOOKUP($B269,Hitters!$A1:$R401,14,FALSE)</f>
        <v>47.4</v>
      </c>
      <c r="X269" s="30">
        <f>VLOOKUP($B269,Hitters!$A1:$R401,15,FALSE)</f>
        <v>64.900000000000006</v>
      </c>
      <c r="Y269" s="32">
        <f>VLOOKUP($B269,Hitters!$A1:$R401,16,FALSE)</f>
        <v>0.35799540933435298</v>
      </c>
      <c r="Z269" s="32">
        <f>VLOOKUP($B269,Hitters!$A1:$R401,17,FALSE)</f>
        <v>0.67831928932915597</v>
      </c>
      <c r="AA269" s="30">
        <f>VLOOKUP($B269,Hitters!$A1:$R401,18,FALSE)</f>
        <v>0</v>
      </c>
      <c r="AB269" s="30"/>
      <c r="AC269" s="30"/>
      <c r="AD269" s="32"/>
      <c r="AE269" s="32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</row>
    <row r="270" spans="1:44" ht="18.600000000000001" customHeight="1">
      <c r="A270" s="24">
        <f ca="1">RANK(I270,I$2:I$651)</f>
        <v>311</v>
      </c>
      <c r="B270" s="25" t="s">
        <v>407</v>
      </c>
      <c r="C270" s="26" t="s">
        <v>225</v>
      </c>
      <c r="D270" s="26" t="s">
        <v>75</v>
      </c>
      <c r="E270" s="33" t="s">
        <v>15</v>
      </c>
      <c r="F270" s="34">
        <f ca="1">VLOOKUP(B270,'3B'!A1:I55,IF(Settings!$J$13="points",4,7),FALSE)</f>
        <v>26</v>
      </c>
      <c r="G270" s="29">
        <f>(M270*Settings!$B$2)+(N270*Settings!$B$3)+(O270*Settings!$B$4)+(P270*Settings!$B$5)+(Q270*Settings!$B$6)+(T270*Settings!$B$9)+(U270*Settings!$B$10)+(V270*Settings!$B$11)+(W270*Settings!$B$12)+(X270*Settings!$B$13)+(AA270*Settings!$B$16)</f>
        <v>318.7500000000004</v>
      </c>
      <c r="H270" s="30">
        <f>VLOOKUP(B270,'Standard Deviations'!$A1:$D651,4,FALSE)</f>
        <v>-0.32529554257173376</v>
      </c>
      <c r="I270" s="31">
        <f ca="1">IF(Settings!$J$15="no",VLOOKUP(B270,'3B'!A1:I55,IF(Settings!$J$13="points",6,9),FALSE),VLOOKUP(B270,'1B+3B'!$A1:$I104,IF(Settings!$J$13="points",6,9),FALSE))</f>
        <v>-1.0529745132660948</v>
      </c>
      <c r="J270" s="30"/>
      <c r="K270" s="30">
        <f ca="1">J270-A270</f>
        <v>-311</v>
      </c>
      <c r="L270" s="30"/>
      <c r="M270" s="30">
        <f>VLOOKUP($B270,Hitters!$A1:$R401,4,FALSE)</f>
        <v>435.66666666666703</v>
      </c>
      <c r="N270" s="30">
        <f>VLOOKUP($B270,Hitters!$A1:$R401,5,FALSE)</f>
        <v>53.266666666666701</v>
      </c>
      <c r="O270" s="30">
        <f>VLOOKUP($B270,Hitters!$A1:$R401,6,FALSE)</f>
        <v>15.233333333333301</v>
      </c>
      <c r="P270" s="30">
        <f>VLOOKUP($B270,Hitters!$A1:$R401,7,FALSE)</f>
        <v>55.2</v>
      </c>
      <c r="Q270" s="30">
        <f>VLOOKUP($B270,Hitters!$A1:$R401,8,FALSE)</f>
        <v>3.4666666666666699</v>
      </c>
      <c r="R270" s="32">
        <f>VLOOKUP($B270,Hitters!$A1:$R401,9,FALSE)</f>
        <v>0.243687834736037</v>
      </c>
      <c r="S270" s="32">
        <f>VLOOKUP($B270,Hitters!$A1:$R401,10,FALSE)</f>
        <v>0.303241111118841</v>
      </c>
      <c r="T270" s="30">
        <f>VLOOKUP($B270,Hitters!$A1:$R401,11,FALSE)</f>
        <v>106.166666666667</v>
      </c>
      <c r="U270" s="30">
        <f>VLOOKUP($B270,Hitters!$A1:$R401,12,FALSE)</f>
        <v>23.466666666666701</v>
      </c>
      <c r="V270" s="30">
        <f>VLOOKUP($B270,Hitters!$A1:$R401,13,FALSE)</f>
        <v>1.1000000000000001</v>
      </c>
      <c r="W270" s="30">
        <f>VLOOKUP($B270,Hitters!$A1:$R401,14,FALSE)</f>
        <v>39.133333333333297</v>
      </c>
      <c r="X270" s="30">
        <f>VLOOKUP($B270,Hitters!$A1:$R401,15,FALSE)</f>
        <v>106.23333333333299</v>
      </c>
      <c r="Y270" s="32">
        <f>VLOOKUP($B270,Hitters!$A1:$R401,16,FALSE)</f>
        <v>0.40749808722264702</v>
      </c>
      <c r="Z270" s="32">
        <f>VLOOKUP($B270,Hitters!$A1:$R401,17,FALSE)</f>
        <v>0.71073919834148802</v>
      </c>
      <c r="AA270" s="30">
        <f>VLOOKUP($B270,Hitters!$A1:$R401,18,FALSE)</f>
        <v>0</v>
      </c>
      <c r="AB270" s="30"/>
      <c r="AC270" s="30"/>
      <c r="AD270" s="32"/>
      <c r="AE270" s="32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</row>
    <row r="271" spans="1:44" ht="20.100000000000001" customHeight="1">
      <c r="A271" s="24">
        <f ca="1">RANK(I271,I$2:I$651)</f>
        <v>289</v>
      </c>
      <c r="B271" s="25" t="s">
        <v>385</v>
      </c>
      <c r="C271" s="26" t="s">
        <v>178</v>
      </c>
      <c r="D271" s="26" t="s">
        <v>75</v>
      </c>
      <c r="E271" s="41" t="s">
        <v>34</v>
      </c>
      <c r="F271" s="42">
        <f ca="1">VLOOKUP(B271,RP!A1:I91,IF(Settings!$J$13="points",4,7),FALSE)</f>
        <v>25</v>
      </c>
      <c r="G271" s="29">
        <f>(AC271*Settings!$F$2)+(AF271*Settings!$F$5)+(AG271*Settings!$F$6)+(AH271*Settings!$F$7)+(AI271*Settings!$F$8)+(AJ271*Settings!$F$9)+(AK271*Settings!$F$10)+(AL271*Settings!$F$11)+(AM271*Settings!$F$12)+(AN271*Settings!$F$13)+(AO271*Settings!$F$14)+(AP271*Settings!$F$15)+(AQ271*Settings!$F$16)+(AR271*Settings!$F$17)</f>
        <v>317.39999999999998</v>
      </c>
      <c r="H271" s="30">
        <f>VLOOKUP(B271,'Standard Deviations'!$A1:$D651,4,FALSE)</f>
        <v>0.81639999853437006</v>
      </c>
      <c r="I271" s="31">
        <f ca="1">IF(Settings!$J$16="no",VLOOKUP(B271,RP!A1:I91,IF(Settings!$J$13="points",6,9),FALSE),VLOOKUP(B271,'SP+RP'!$A1:$I251,IF(Settings!$J$13="points",6,9),FALSE))</f>
        <v>-0.75466341453327002</v>
      </c>
      <c r="J271" s="30"/>
      <c r="K271" s="30">
        <f ca="1">J271-A271</f>
        <v>-289</v>
      </c>
      <c r="L271" s="30"/>
      <c r="M271" s="30"/>
      <c r="N271" s="30"/>
      <c r="O271" s="30"/>
      <c r="P271" s="30"/>
      <c r="Q271" s="30"/>
      <c r="R271" s="32"/>
      <c r="S271" s="32"/>
      <c r="T271" s="30"/>
      <c r="U271" s="30"/>
      <c r="V271" s="30"/>
      <c r="W271" s="30"/>
      <c r="X271" s="30"/>
      <c r="Y271" s="32"/>
      <c r="Z271" s="32"/>
      <c r="AA271" s="30"/>
      <c r="AB271" s="30"/>
      <c r="AC271" s="30">
        <f>VLOOKUP($B271,Pitchers!$A1:$S251,4,FALSE)</f>
        <v>64.233333333333334</v>
      </c>
      <c r="AD271" s="32">
        <f>VLOOKUP($B271,Pitchers!$A1:$S251,5,FALSE)</f>
        <v>3.7223663725998959</v>
      </c>
      <c r="AE271" s="32">
        <f>VLOOKUP($B271,Pitchers!$A1:$S251,6,FALSE)</f>
        <v>1.2963155163466529</v>
      </c>
      <c r="AF271" s="30">
        <f>VLOOKUP($B271,Pitchers!$A1:$S251,7,FALSE)</f>
        <v>72.399999999999991</v>
      </c>
      <c r="AG271" s="30">
        <f>VLOOKUP($B271,Pitchers!$A1:$S251,8,FALSE)</f>
        <v>4.833333333333333</v>
      </c>
      <c r="AH271" s="30">
        <f>VLOOKUP($B271,Pitchers!$A1:$S251,9,FALSE)</f>
        <v>26.333333333333332</v>
      </c>
      <c r="AI271" s="30">
        <f>VLOOKUP($B271,Pitchers!$A1:$S251,10,FALSE)</f>
        <v>26.566666666666666</v>
      </c>
      <c r="AJ271" s="30">
        <f>VLOOKUP($B271,Pitchers!$A1:$S251,11,FALSE)</f>
        <v>54.5</v>
      </c>
      <c r="AK271" s="30">
        <f>VLOOKUP($B271,Pitchers!$A1:$S251,12,FALSE)</f>
        <v>28.766666666666666</v>
      </c>
      <c r="AL271" s="30">
        <f>VLOOKUP($B271,Pitchers!$A1:$S251,13,FALSE)</f>
        <v>8</v>
      </c>
      <c r="AM271" s="30">
        <f>VLOOKUP($B271,Pitchers!$A1:$S251,14,FALSE)</f>
        <v>63.933333333333337</v>
      </c>
      <c r="AN271" s="30">
        <f>VLOOKUP($B271,Pitchers!$A1:$S251,15,FALSE)</f>
        <v>0</v>
      </c>
      <c r="AO271" s="30">
        <f>VLOOKUP($B271,Pitchers!$A1:$S251,16,FALSE)</f>
        <v>3.9666666666666668</v>
      </c>
      <c r="AP271" s="30">
        <f>VLOOKUP($B271,Pitchers!$A1:$S251,17,FALSE)</f>
        <v>0</v>
      </c>
      <c r="AQ271" s="30">
        <f>VLOOKUP($B271,Pitchers!$A1:$S251,18,FALSE)</f>
        <v>2.5</v>
      </c>
      <c r="AR271" s="30">
        <f>VLOOKUP($B271,Pitchers!$A1:$S251,19,FALSE)</f>
        <v>4</v>
      </c>
    </row>
    <row r="272" spans="1:44" ht="18.600000000000001" customHeight="1">
      <c r="A272" s="24">
        <f ca="1">RANK(I272,I$2:I$651)</f>
        <v>192</v>
      </c>
      <c r="B272" s="25" t="s">
        <v>289</v>
      </c>
      <c r="C272" s="26" t="s">
        <v>219</v>
      </c>
      <c r="D272" s="26" t="s">
        <v>75</v>
      </c>
      <c r="E272" s="41" t="s">
        <v>34</v>
      </c>
      <c r="F272" s="42">
        <f ca="1">VLOOKUP(B272,RP!A1:I91,IF(Settings!$J$13="points",4,7),FALSE)</f>
        <v>16</v>
      </c>
      <c r="G272" s="29">
        <f>(AC272*Settings!$F$2)+(AF272*Settings!$F$5)+(AG272*Settings!$F$6)+(AH272*Settings!$F$7)+(AI272*Settings!$F$8)+(AJ272*Settings!$F$9)+(AK272*Settings!$F$10)+(AL272*Settings!$F$11)+(AM272*Settings!$F$12)+(AN272*Settings!$F$13)+(AO272*Settings!$F$14)+(AP272*Settings!$F$15)+(AQ272*Settings!$F$16)+(AR272*Settings!$F$17)</f>
        <v>317.31666666666661</v>
      </c>
      <c r="H272" s="30">
        <f>VLOOKUP(B272,'Standard Deviations'!$A1:$D651,4,FALSE)</f>
        <v>2.2049312842669537</v>
      </c>
      <c r="I272" s="31">
        <f ca="1">IF(Settings!$J$16="no",VLOOKUP(B272,RP!A1:I91,IF(Settings!$J$13="points",6,9),FALSE),VLOOKUP(B272,'SP+RP'!$A1:$I251,IF(Settings!$J$13="points",6,9),FALSE))</f>
        <v>0.63386779040142671</v>
      </c>
      <c r="J272" s="30"/>
      <c r="K272" s="30">
        <f ca="1">J272-A272</f>
        <v>-192</v>
      </c>
      <c r="L272" s="30"/>
      <c r="M272" s="30"/>
      <c r="N272" s="30"/>
      <c r="O272" s="30"/>
      <c r="P272" s="30"/>
      <c r="Q272" s="30"/>
      <c r="R272" s="32"/>
      <c r="S272" s="32"/>
      <c r="T272" s="30"/>
      <c r="U272" s="30"/>
      <c r="V272" s="30"/>
      <c r="W272" s="30"/>
      <c r="X272" s="30"/>
      <c r="Y272" s="32"/>
      <c r="Z272" s="32"/>
      <c r="AA272" s="30"/>
      <c r="AB272" s="30"/>
      <c r="AC272" s="30">
        <f>VLOOKUP($B272,Pitchers!$A1:$S251,4,FALSE)</f>
        <v>61.833333333333336</v>
      </c>
      <c r="AD272" s="32">
        <f>VLOOKUP($B272,Pitchers!$A1:$S251,5,FALSE)</f>
        <v>3.1487870619946094</v>
      </c>
      <c r="AE272" s="32">
        <f>VLOOKUP($B272,Pitchers!$A1:$S251,6,FALSE)</f>
        <v>1.2560646900269543</v>
      </c>
      <c r="AF272" s="30">
        <f>VLOOKUP($B272,Pitchers!$A1:$S251,7,FALSE)</f>
        <v>73.7</v>
      </c>
      <c r="AG272" s="30">
        <f>VLOOKUP($B272,Pitchers!$A1:$S251,8,FALSE)</f>
        <v>4.8</v>
      </c>
      <c r="AH272" s="30">
        <f>VLOOKUP($B272,Pitchers!$A1:$S251,9,FALSE)</f>
        <v>25.333333333333332</v>
      </c>
      <c r="AI272" s="30">
        <f>VLOOKUP($B272,Pitchers!$A1:$S251,10,FALSE)</f>
        <v>21.633333333333336</v>
      </c>
      <c r="AJ272" s="30">
        <f>VLOOKUP($B272,Pitchers!$A1:$S251,11,FALSE)</f>
        <v>50.5</v>
      </c>
      <c r="AK272" s="30">
        <f>VLOOKUP($B272,Pitchers!$A1:$S251,12,FALSE)</f>
        <v>27.166666666666668</v>
      </c>
      <c r="AL272" s="30">
        <f>VLOOKUP($B272,Pitchers!$A1:$S251,13,FALSE)</f>
        <v>5</v>
      </c>
      <c r="AM272" s="30">
        <f>VLOOKUP($B272,Pitchers!$A1:$S251,14,FALSE)</f>
        <v>62.6</v>
      </c>
      <c r="AN272" s="30">
        <f>VLOOKUP($B272,Pitchers!$A1:$S251,15,FALSE)</f>
        <v>0</v>
      </c>
      <c r="AO272" s="30">
        <f>VLOOKUP($B272,Pitchers!$A1:$S251,16,FALSE)</f>
        <v>3.3333333333333335</v>
      </c>
      <c r="AP272" s="30">
        <f>VLOOKUP($B272,Pitchers!$A1:$S251,17,FALSE)</f>
        <v>0</v>
      </c>
      <c r="AQ272" s="30">
        <f>VLOOKUP($B272,Pitchers!$A1:$S251,18,FALSE)</f>
        <v>2</v>
      </c>
      <c r="AR272" s="30">
        <f>VLOOKUP($B272,Pitchers!$A1:$S251,19,FALSE)</f>
        <v>5</v>
      </c>
    </row>
    <row r="273" spans="1:44" ht="18.600000000000001" customHeight="1">
      <c r="A273" s="24">
        <f ca="1">RANK(I273,I$2:I$651)</f>
        <v>178</v>
      </c>
      <c r="B273" s="25" t="s">
        <v>276</v>
      </c>
      <c r="C273" s="26" t="s">
        <v>87</v>
      </c>
      <c r="D273" s="26" t="s">
        <v>70</v>
      </c>
      <c r="E273" s="35" t="s">
        <v>31</v>
      </c>
      <c r="F273" s="36">
        <f ca="1">VLOOKUP(B273,SP!A1:I161,IF(Settings!$J$13="points",4,7),FALSE)</f>
        <v>53</v>
      </c>
      <c r="G273" s="29">
        <f>(AC273*Settings!$F$2)+(AF273*Settings!$F$5)+(AG273*Settings!$F$6)+(AH273*Settings!$F$7)+(AI273*Settings!$F$8)+(AJ273*Settings!$F$9)+(AK273*Settings!$F$10)+(AL273*Settings!$F$11)+(AM273*Settings!$F$12)+(AN273*Settings!$F$13)+(AO273*Settings!$F$14)+(AP273*Settings!$F$15)+(AQ273*Settings!$F$16)+(AR273*Settings!$F$17)</f>
        <v>317.29999999999995</v>
      </c>
      <c r="H273" s="30">
        <f>VLOOKUP(B273,'Standard Deviations'!$A1:$D651,4,FALSE)</f>
        <v>1.0865861342668588</v>
      </c>
      <c r="I273" s="31">
        <f ca="1">IF(Settings!$J$16="no",VLOOKUP(B273,SP!A1:I161,IF(Settings!$J$13="points",6,9),FALSE),VLOOKUP(B273,'SP+RP'!$A1:$I251,IF(Settings!$J$13="points",6,9),FALSE))</f>
        <v>0.95060392521076698</v>
      </c>
      <c r="J273" s="30"/>
      <c r="K273" s="30">
        <f ca="1">J273-A273</f>
        <v>-178</v>
      </c>
      <c r="L273" s="30"/>
      <c r="M273" s="30"/>
      <c r="N273" s="30"/>
      <c r="O273" s="30"/>
      <c r="P273" s="30"/>
      <c r="Q273" s="30"/>
      <c r="R273" s="32"/>
      <c r="S273" s="32"/>
      <c r="T273" s="30"/>
      <c r="U273" s="30"/>
      <c r="V273" s="30"/>
      <c r="W273" s="30"/>
      <c r="X273" s="30"/>
      <c r="Y273" s="32"/>
      <c r="Z273" s="32"/>
      <c r="AA273" s="30"/>
      <c r="AB273" s="30"/>
      <c r="AC273" s="30">
        <f>VLOOKUP($B273,Pitchers!$A1:$S251,4,FALSE)</f>
        <v>131.73333333333332</v>
      </c>
      <c r="AD273" s="32">
        <f>VLOOKUP($B273,Pitchers!$A1:$S251,5,FALSE)</f>
        <v>3.8350202429149802</v>
      </c>
      <c r="AE273" s="32">
        <f>VLOOKUP($B273,Pitchers!$A1:$S251,6,FALSE)</f>
        <v>1.1606781376518218</v>
      </c>
      <c r="AF273" s="30">
        <f>VLOOKUP($B273,Pitchers!$A1:$S251,7,FALSE)</f>
        <v>157.73333333333332</v>
      </c>
      <c r="AG273" s="30">
        <f>VLOOKUP($B273,Pitchers!$A1:$S251,8,FALSE)</f>
        <v>7.4666666666666659</v>
      </c>
      <c r="AH273" s="30">
        <f>VLOOKUP($B273,Pitchers!$A1:$S251,9,FALSE)</f>
        <v>0</v>
      </c>
      <c r="AI273" s="30">
        <f>VLOOKUP($B273,Pitchers!$A1:$S251,10,FALSE)</f>
        <v>56.133333333333333</v>
      </c>
      <c r="AJ273" s="30">
        <f>VLOOKUP($B273,Pitchers!$A1:$S251,11,FALSE)</f>
        <v>116.39999999999999</v>
      </c>
      <c r="AK273" s="30">
        <f>VLOOKUP($B273,Pitchers!$A1:$S251,12,FALSE)</f>
        <v>36.5</v>
      </c>
      <c r="AL273" s="30">
        <f>VLOOKUP($B273,Pitchers!$A1:$S251,13,FALSE)</f>
        <v>19</v>
      </c>
      <c r="AM273" s="30">
        <f>VLOOKUP($B273,Pitchers!$A1:$S251,14,FALSE)</f>
        <v>26.166666666666668</v>
      </c>
      <c r="AN273" s="30">
        <f>VLOOKUP($B273,Pitchers!$A1:$S251,15,FALSE)</f>
        <v>26.166666666666668</v>
      </c>
      <c r="AO273" s="30">
        <f>VLOOKUP($B273,Pitchers!$A1:$S251,16,FALSE)</f>
        <v>7.8</v>
      </c>
      <c r="AP273" s="30">
        <f>VLOOKUP($B273,Pitchers!$A1:$S251,17,FALSE)</f>
        <v>13</v>
      </c>
      <c r="AQ273" s="30">
        <f>VLOOKUP($B273,Pitchers!$A1:$S251,18,FALSE)</f>
        <v>0</v>
      </c>
      <c r="AR273" s="30">
        <f>VLOOKUP($B273,Pitchers!$A1:$S251,19,FALSE)</f>
        <v>0</v>
      </c>
    </row>
    <row r="274" spans="1:44" ht="18.600000000000001" customHeight="1">
      <c r="A274" s="24">
        <f ca="1">RANK(I274,I$2:I$651)</f>
        <v>212</v>
      </c>
      <c r="B274" s="25" t="s">
        <v>312</v>
      </c>
      <c r="C274" s="26" t="s">
        <v>136</v>
      </c>
      <c r="D274" s="26" t="s">
        <v>75</v>
      </c>
      <c r="E274" s="35" t="s">
        <v>31</v>
      </c>
      <c r="F274" s="36">
        <f ca="1">VLOOKUP(B274,SP!A1:I161,IF(Settings!$J$13="points",4,7),FALSE)</f>
        <v>63</v>
      </c>
      <c r="G274" s="29">
        <f>(AC274*Settings!$F$2)+(AF274*Settings!$F$5)+(AG274*Settings!$F$6)+(AH274*Settings!$F$7)+(AI274*Settings!$F$8)+(AJ274*Settings!$F$9)+(AK274*Settings!$F$10)+(AL274*Settings!$F$11)+(AM274*Settings!$F$12)+(AN274*Settings!$F$13)+(AO274*Settings!$F$14)+(AP274*Settings!$F$15)+(AQ274*Settings!$F$16)+(AR274*Settings!$F$17)</f>
        <v>317.23333333333341</v>
      </c>
      <c r="H274" s="30">
        <f>VLOOKUP(B274,'Standard Deviations'!$A1:$D651,4,FALSE)</f>
        <v>0.45055236460819398</v>
      </c>
      <c r="I274" s="31">
        <f ca="1">IF(Settings!$J$16="no",VLOOKUP(B274,SP!A1:I161,IF(Settings!$J$13="points",6,9),FALSE),VLOOKUP(B274,'SP+RP'!$A1:$I251,IF(Settings!$J$13="points",6,9),FALSE))</f>
        <v>0.31457360031697401</v>
      </c>
      <c r="J274" s="30"/>
      <c r="K274" s="30">
        <f ca="1">J274-A274</f>
        <v>-212</v>
      </c>
      <c r="L274" s="30"/>
      <c r="M274" s="30"/>
      <c r="N274" s="30"/>
      <c r="O274" s="30"/>
      <c r="P274" s="30"/>
      <c r="Q274" s="30"/>
      <c r="R274" s="32"/>
      <c r="S274" s="32"/>
      <c r="T274" s="30"/>
      <c r="U274" s="30"/>
      <c r="V274" s="30"/>
      <c r="W274" s="30"/>
      <c r="X274" s="30"/>
      <c r="Y274" s="32"/>
      <c r="Z274" s="32"/>
      <c r="AA274" s="30"/>
      <c r="AB274" s="30"/>
      <c r="AC274" s="30">
        <f>VLOOKUP($B274,Pitchers!$A1:$S251,4,FALSE)</f>
        <v>138.46666666666667</v>
      </c>
      <c r="AD274" s="32">
        <f>VLOOKUP($B274,Pitchers!$A1:$S251,5,FALSE)</f>
        <v>3.8391911410688486</v>
      </c>
      <c r="AE274" s="32">
        <f>VLOOKUP($B274,Pitchers!$A1:$S251,6,FALSE)</f>
        <v>1.219547424169475</v>
      </c>
      <c r="AF274" s="30">
        <f>VLOOKUP($B274,Pitchers!$A1:$S251,7,FALSE)</f>
        <v>151.20000000000002</v>
      </c>
      <c r="AG274" s="30">
        <f>VLOOKUP($B274,Pitchers!$A1:$S251,8,FALSE)</f>
        <v>7.833333333333333</v>
      </c>
      <c r="AH274" s="30">
        <f>VLOOKUP($B274,Pitchers!$A1:$S251,9,FALSE)</f>
        <v>0</v>
      </c>
      <c r="AI274" s="30">
        <f>VLOOKUP($B274,Pitchers!$A1:$S251,10,FALSE)</f>
        <v>59.066666666666663</v>
      </c>
      <c r="AJ274" s="30">
        <f>VLOOKUP($B274,Pitchers!$A1:$S251,11,FALSE)</f>
        <v>119.96666666666665</v>
      </c>
      <c r="AK274" s="30">
        <f>VLOOKUP($B274,Pitchers!$A1:$S251,12,FALSE)</f>
        <v>48.9</v>
      </c>
      <c r="AL274" s="30">
        <f>VLOOKUP($B274,Pitchers!$A1:$S251,13,FALSE)</f>
        <v>18</v>
      </c>
      <c r="AM274" s="30">
        <f>VLOOKUP($B274,Pitchers!$A1:$S251,14,FALSE)</f>
        <v>25.3</v>
      </c>
      <c r="AN274" s="30">
        <f>VLOOKUP($B274,Pitchers!$A1:$S251,15,FALSE)</f>
        <v>25.3</v>
      </c>
      <c r="AO274" s="30">
        <f>VLOOKUP($B274,Pitchers!$A1:$S251,16,FALSE)</f>
        <v>7.9333333333333336</v>
      </c>
      <c r="AP274" s="30">
        <f>VLOOKUP($B274,Pitchers!$A1:$S251,17,FALSE)</f>
        <v>13</v>
      </c>
      <c r="AQ274" s="30">
        <f>VLOOKUP($B274,Pitchers!$A1:$S251,18,FALSE)</f>
        <v>0</v>
      </c>
      <c r="AR274" s="30">
        <f>VLOOKUP($B274,Pitchers!$A1:$S251,19,FALSE)</f>
        <v>0</v>
      </c>
    </row>
    <row r="275" spans="1:44" ht="18.600000000000001" customHeight="1">
      <c r="A275" s="24">
        <f ca="1">RANK(I275,I$2:I$651)</f>
        <v>294</v>
      </c>
      <c r="B275" s="25" t="s">
        <v>392</v>
      </c>
      <c r="C275" s="26" t="s">
        <v>99</v>
      </c>
      <c r="D275" s="26" t="s">
        <v>75</v>
      </c>
      <c r="E275" s="35" t="s">
        <v>31</v>
      </c>
      <c r="F275" s="36">
        <f ca="1">VLOOKUP(B275,SP!A1:I161,IF(Settings!$J$13="points",4,7),FALSE)</f>
        <v>88</v>
      </c>
      <c r="G275" s="29">
        <f>(AC275*Settings!$F$2)+(AF275*Settings!$F$5)+(AG275*Settings!$F$6)+(AH275*Settings!$F$7)+(AI275*Settings!$F$8)+(AJ275*Settings!$F$9)+(AK275*Settings!$F$10)+(AL275*Settings!$F$11)+(AM275*Settings!$F$12)+(AN275*Settings!$F$13)+(AO275*Settings!$F$14)+(AP275*Settings!$F$15)+(AQ275*Settings!$F$16)+(AR275*Settings!$F$17)</f>
        <v>315.95133333333325</v>
      </c>
      <c r="H275" s="30">
        <f>VLOOKUP(B275,'Standard Deviations'!$A1:$D651,4,FALSE)</f>
        <v>-0.66376604031612574</v>
      </c>
      <c r="I275" s="31">
        <f ca="1">IF(Settings!$J$16="no",VLOOKUP(B275,SP!A1:I161,IF(Settings!$J$13="points",6,9),FALSE),VLOOKUP(B275,'SP+RP'!$A1:$I251,IF(Settings!$J$13="points",6,9),FALSE))</f>
        <v>-0.79975110840859287</v>
      </c>
      <c r="J275" s="30"/>
      <c r="K275" s="30">
        <f ca="1">J275-A275</f>
        <v>-294</v>
      </c>
      <c r="L275" s="30"/>
      <c r="M275" s="30"/>
      <c r="N275" s="30"/>
      <c r="O275" s="30"/>
      <c r="P275" s="30"/>
      <c r="Q275" s="30"/>
      <c r="R275" s="32"/>
      <c r="S275" s="32"/>
      <c r="T275" s="30"/>
      <c r="U275" s="30"/>
      <c r="V275" s="30"/>
      <c r="W275" s="30"/>
      <c r="X275" s="30"/>
      <c r="Y275" s="32"/>
      <c r="Z275" s="32"/>
      <c r="AA275" s="30"/>
      <c r="AB275" s="30"/>
      <c r="AC275" s="30">
        <f>VLOOKUP($B275,Pitchers!$A1:$S251,4,FALSE)</f>
        <v>147.1</v>
      </c>
      <c r="AD275" s="32">
        <f>VLOOKUP($B275,Pitchers!$A1:$S251,5,FALSE)</f>
        <v>4.2184772263766144</v>
      </c>
      <c r="AE275" s="32">
        <f>VLOOKUP($B275,Pitchers!$A1:$S251,6,FALSE)</f>
        <v>1.2807613868116927</v>
      </c>
      <c r="AF275" s="30">
        <f>VLOOKUP($B275,Pitchers!$A1:$S251,7,FALSE)</f>
        <v>143.33333333333334</v>
      </c>
      <c r="AG275" s="30">
        <f>VLOOKUP($B275,Pitchers!$A1:$S251,8,FALSE)</f>
        <v>9.1666666666666661</v>
      </c>
      <c r="AH275" s="30">
        <f>VLOOKUP($B275,Pitchers!$A1:$S251,9,FALSE)</f>
        <v>0</v>
      </c>
      <c r="AI275" s="30">
        <f>VLOOKUP($B275,Pitchers!$A1:$S251,10,FALSE)</f>
        <v>68.948666666666668</v>
      </c>
      <c r="AJ275" s="30">
        <f>VLOOKUP($B275,Pitchers!$A1:$S251,11,FALSE)</f>
        <v>133.26666666666668</v>
      </c>
      <c r="AK275" s="30">
        <f>VLOOKUP($B275,Pitchers!$A1:$S251,12,FALSE)</f>
        <v>55.133333333333333</v>
      </c>
      <c r="AL275" s="30">
        <f>VLOOKUP($B275,Pitchers!$A1:$S251,13,FALSE)</f>
        <v>24</v>
      </c>
      <c r="AM275" s="30">
        <f>VLOOKUP($B275,Pitchers!$A1:$S251,14,FALSE)</f>
        <v>27.066666666666666</v>
      </c>
      <c r="AN275" s="30">
        <f>VLOOKUP($B275,Pitchers!$A1:$S251,15,FALSE)</f>
        <v>26.400000000000002</v>
      </c>
      <c r="AO275" s="30">
        <f>VLOOKUP($B275,Pitchers!$A1:$S251,16,FALSE)</f>
        <v>7.9666666666666659</v>
      </c>
      <c r="AP275" s="30">
        <f>VLOOKUP($B275,Pitchers!$A1:$S251,17,FALSE)</f>
        <v>12</v>
      </c>
      <c r="AQ275" s="30">
        <f>VLOOKUP($B275,Pitchers!$A1:$S251,18,FALSE)</f>
        <v>0.5</v>
      </c>
      <c r="AR275" s="30">
        <f>VLOOKUP($B275,Pitchers!$A1:$S251,19,FALSE)</f>
        <v>0</v>
      </c>
    </row>
    <row r="276" spans="1:44" ht="18.600000000000001" customHeight="1">
      <c r="A276" s="24">
        <f ca="1">RANK(I276,I$2:I$651)</f>
        <v>379</v>
      </c>
      <c r="B276" s="25" t="s">
        <v>477</v>
      </c>
      <c r="C276" s="26" t="s">
        <v>309</v>
      </c>
      <c r="D276" s="26" t="s">
        <v>75</v>
      </c>
      <c r="E276" s="37" t="s">
        <v>27</v>
      </c>
      <c r="F276" s="38">
        <f ca="1">VLOOKUP(B276,SS!A1:I45,IF(Settings!$J$13="points",4,7),FALSE)</f>
        <v>21</v>
      </c>
      <c r="G276" s="29">
        <f>(M276*Settings!$B$2)+(N276*Settings!$B$3)+(O276*Settings!$B$4)+(P276*Settings!$B$5)+(Q276*Settings!$B$6)+(T276*Settings!$B$9)+(U276*Settings!$B$10)+(V276*Settings!$B$11)+(W276*Settings!$B$12)+(X276*Settings!$B$13)+(AA276*Settings!$B$16)</f>
        <v>315.93333333333362</v>
      </c>
      <c r="H276" s="30">
        <f>VLOOKUP(B276,'Standard Deviations'!$A1:$D651,4,FALSE)</f>
        <v>0.82918347275651272</v>
      </c>
      <c r="I276" s="31">
        <f ca="1">IF(Settings!$J$16="no",VLOOKUP(B276,SS!A1:I45,IF(Settings!$J$13="points",6,9),FALSE),VLOOKUP(B276,'2B+SS'!$A1:$I94,IF(Settings!$J$13="points",6,9),FALSE))</f>
        <v>-2.1752378676261284</v>
      </c>
      <c r="J276" s="30"/>
      <c r="K276" s="30">
        <f ca="1">J276-A276</f>
        <v>-379</v>
      </c>
      <c r="L276" s="30"/>
      <c r="M276" s="30">
        <f>VLOOKUP($B276,Hitters!$A1:$R401,4,FALSE)</f>
        <v>471.66666666666703</v>
      </c>
      <c r="N276" s="30">
        <f>VLOOKUP($B276,Hitters!$A1:$R401,5,FALSE)</f>
        <v>57.566666666666698</v>
      </c>
      <c r="O276" s="30">
        <f>VLOOKUP($B276,Hitters!$A1:$R401,6,FALSE)</f>
        <v>7.5333333333333297</v>
      </c>
      <c r="P276" s="30">
        <f>VLOOKUP($B276,Hitters!$A1:$R401,7,FALSE)</f>
        <v>45.2</v>
      </c>
      <c r="Q276" s="30">
        <f>VLOOKUP($B276,Hitters!$A1:$R401,8,FALSE)</f>
        <v>14</v>
      </c>
      <c r="R276" s="32">
        <f>VLOOKUP($B276,Hitters!$A1:$R401,9,FALSE)</f>
        <v>0.26007067137809198</v>
      </c>
      <c r="S276" s="32">
        <f>VLOOKUP($B276,Hitters!$A1:$R401,10,FALSE)</f>
        <v>0.28269172271605802</v>
      </c>
      <c r="T276" s="30">
        <f>VLOOKUP($B276,Hitters!$A1:$R401,11,FALSE)</f>
        <v>122.666666666667</v>
      </c>
      <c r="U276" s="30">
        <f>VLOOKUP($B276,Hitters!$A1:$R401,12,FALSE)</f>
        <v>25.133333333333301</v>
      </c>
      <c r="V276" s="30">
        <f>VLOOKUP($B276,Hitters!$A1:$R401,13,FALSE)</f>
        <v>2.9666666666666699</v>
      </c>
      <c r="W276" s="30">
        <f>VLOOKUP($B276,Hitters!$A1:$R401,14,FALSE)</f>
        <v>16.733333333333299</v>
      </c>
      <c r="X276" s="30">
        <f>VLOOKUP($B276,Hitters!$A1:$R401,15,FALSE)</f>
        <v>87.066666666666706</v>
      </c>
      <c r="Y276" s="32">
        <f>VLOOKUP($B276,Hitters!$A1:$R401,16,FALSE)</f>
        <v>0.37385159010600699</v>
      </c>
      <c r="Z276" s="32">
        <f>VLOOKUP($B276,Hitters!$A1:$R401,17,FALSE)</f>
        <v>0.65654331282206502</v>
      </c>
      <c r="AA276" s="30">
        <f>VLOOKUP($B276,Hitters!$A1:$R401,18,FALSE)</f>
        <v>0</v>
      </c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</row>
    <row r="277" spans="1:44" ht="18.600000000000001" customHeight="1">
      <c r="A277" s="24">
        <f ca="1">RANK(I277,I$2:I$651)</f>
        <v>157</v>
      </c>
      <c r="B277" s="25" t="s">
        <v>254</v>
      </c>
      <c r="C277" s="26" t="s">
        <v>99</v>
      </c>
      <c r="D277" s="26" t="s">
        <v>75</v>
      </c>
      <c r="E277" s="35" t="s">
        <v>31</v>
      </c>
      <c r="F277" s="36">
        <f ca="1">VLOOKUP(B277,SP!A1:I161,IF(Settings!$J$13="points",4,7),FALSE)</f>
        <v>48</v>
      </c>
      <c r="G277" s="29">
        <f>(AC277*Settings!$F$2)+(AF277*Settings!$F$5)+(AG277*Settings!$F$6)+(AH277*Settings!$F$7)+(AI277*Settings!$F$8)+(AJ277*Settings!$F$9)+(AK277*Settings!$F$10)+(AL277*Settings!$F$11)+(AM277*Settings!$F$12)+(AN277*Settings!$F$13)+(AO277*Settings!$F$14)+(AP277*Settings!$F$15)+(AQ277*Settings!$F$16)+(AR277*Settings!$F$17)</f>
        <v>315.86666666666667</v>
      </c>
      <c r="H277" s="30">
        <f>VLOOKUP(B277,'Standard Deviations'!$A1:$D651,4,FALSE)</f>
        <v>1.4293617282168147</v>
      </c>
      <c r="I277" s="31">
        <f ca="1">IF(Settings!$J$16="no",VLOOKUP(B277,SP!A1:I161,IF(Settings!$J$13="points",6,9),FALSE),VLOOKUP(B277,'SP+RP'!$A1:$I251,IF(Settings!$J$13="points",6,9),FALSE))</f>
        <v>1.2933787843669378</v>
      </c>
      <c r="J277" s="30"/>
      <c r="K277" s="30">
        <f ca="1">J277-A277</f>
        <v>-157</v>
      </c>
      <c r="L277" s="30"/>
      <c r="M277" s="30"/>
      <c r="N277" s="30"/>
      <c r="O277" s="30"/>
      <c r="P277" s="30"/>
      <c r="Q277" s="30"/>
      <c r="R277" s="32"/>
      <c r="S277" s="32"/>
      <c r="T277" s="30"/>
      <c r="U277" s="30"/>
      <c r="V277" s="30"/>
      <c r="W277" s="30"/>
      <c r="X277" s="30"/>
      <c r="Y277" s="32"/>
      <c r="Z277" s="32"/>
      <c r="AA277" s="30"/>
      <c r="AB277" s="30"/>
      <c r="AC277" s="30">
        <f>VLOOKUP($B277,Pitchers!$A1:$S251,4,FALSE)</f>
        <v>127.66666666666667</v>
      </c>
      <c r="AD277" s="32">
        <f>VLOOKUP($B277,Pitchers!$A1:$S251,5,FALSE)</f>
        <v>3.7198433420365538</v>
      </c>
      <c r="AE277" s="32">
        <f>VLOOKUP($B277,Pitchers!$A1:$S251,6,FALSE)</f>
        <v>1.1446475195822454</v>
      </c>
      <c r="AF277" s="30">
        <f>VLOOKUP($B277,Pitchers!$A1:$S251,7,FALSE)</f>
        <v>145.73333333333332</v>
      </c>
      <c r="AG277" s="30">
        <f>VLOOKUP($B277,Pitchers!$A1:$S251,8,FALSE)</f>
        <v>8.2000000000000011</v>
      </c>
      <c r="AH277" s="30">
        <f>VLOOKUP($B277,Pitchers!$A1:$S251,9,FALSE)</f>
        <v>0</v>
      </c>
      <c r="AI277" s="30">
        <f>VLOOKUP($B277,Pitchers!$A1:$S251,10,FALSE)</f>
        <v>52.766666666666673</v>
      </c>
      <c r="AJ277" s="30">
        <f>VLOOKUP($B277,Pitchers!$A1:$S251,11,FALSE)</f>
        <v>98.633333333333326</v>
      </c>
      <c r="AK277" s="30">
        <f>VLOOKUP($B277,Pitchers!$A1:$S251,12,FALSE)</f>
        <v>47.5</v>
      </c>
      <c r="AL277" s="30">
        <f>VLOOKUP($B277,Pitchers!$A1:$S251,13,FALSE)</f>
        <v>20</v>
      </c>
      <c r="AM277" s="30">
        <f>VLOOKUP($B277,Pitchers!$A1:$S251,14,FALSE)</f>
        <v>25.099999999999998</v>
      </c>
      <c r="AN277" s="30">
        <f>VLOOKUP($B277,Pitchers!$A1:$S251,15,FALSE)</f>
        <v>25.099999999999998</v>
      </c>
      <c r="AO277" s="30">
        <f>VLOOKUP($B277,Pitchers!$A1:$S251,16,FALSE)</f>
        <v>6.3</v>
      </c>
      <c r="AP277" s="30">
        <f>VLOOKUP($B277,Pitchers!$A1:$S251,17,FALSE)</f>
        <v>11</v>
      </c>
      <c r="AQ277" s="30">
        <f>VLOOKUP($B277,Pitchers!$A1:$S251,18,FALSE)</f>
        <v>0</v>
      </c>
      <c r="AR277" s="30">
        <f>VLOOKUP($B277,Pitchers!$A1:$S251,19,FALSE)</f>
        <v>0</v>
      </c>
    </row>
    <row r="278" spans="1:44" ht="18.600000000000001" customHeight="1">
      <c r="A278" s="24">
        <f ca="1">RANK(I278,I$2:I$651)</f>
        <v>203</v>
      </c>
      <c r="B278" s="25" t="s">
        <v>300</v>
      </c>
      <c r="C278" s="26" t="s">
        <v>103</v>
      </c>
      <c r="D278" s="26" t="s">
        <v>70</v>
      </c>
      <c r="E278" s="27" t="s">
        <v>23</v>
      </c>
      <c r="F278" s="28">
        <f ca="1">VLOOKUP(B278,OF!A1:I139,IF(Settings!$J$13="points",4,7),FALSE)</f>
        <v>58</v>
      </c>
      <c r="G278" s="29">
        <f>(M278*Settings!$B$2)+(N278*Settings!$B$3)+(O278*Settings!$B$4)+(P278*Settings!$B$5)+(Q278*Settings!$B$6)+(T278*Settings!$B$9)+(U278*Settings!$B$10)+(V278*Settings!$B$11)+(W278*Settings!$B$12)+(X278*Settings!$B$13)+(AA278*Settings!$B$16)</f>
        <v>315.41666666666663</v>
      </c>
      <c r="H278" s="30">
        <f>VLOOKUP(B278,'Standard Deviations'!$A1:$D651,4,FALSE)</f>
        <v>0.59102580224649648</v>
      </c>
      <c r="I278" s="31">
        <f ca="1">VLOOKUP(B278,OF!A1:I139,IF(Settings!$J$13="points",6,9),FALSE)</f>
        <v>0.47231179890590297</v>
      </c>
      <c r="J278" s="30"/>
      <c r="K278" s="30">
        <f ca="1">J278-A278</f>
        <v>-203</v>
      </c>
      <c r="L278" s="30"/>
      <c r="M278" s="30">
        <f>VLOOKUP($B278,Hitters!$A1:$R401,4,FALSE)</f>
        <v>424.33333333333297</v>
      </c>
      <c r="N278" s="30">
        <f>VLOOKUP($B278,Hitters!$A1:$R401,5,FALSE)</f>
        <v>51.8</v>
      </c>
      <c r="O278" s="30">
        <f>VLOOKUP($B278,Hitters!$A1:$R401,6,FALSE)</f>
        <v>8.3666666666666707</v>
      </c>
      <c r="P278" s="30">
        <f>VLOOKUP($B278,Hitters!$A1:$R401,7,FALSE)</f>
        <v>49.766666666666701</v>
      </c>
      <c r="Q278" s="30">
        <f>VLOOKUP($B278,Hitters!$A1:$R401,8,FALSE)</f>
        <v>12.033333333333299</v>
      </c>
      <c r="R278" s="32">
        <f>VLOOKUP($B278,Hitters!$A1:$R401,9,FALSE)</f>
        <v>0.260172820109976</v>
      </c>
      <c r="S278" s="32">
        <f>VLOOKUP($B278,Hitters!$A1:$R401,10,FALSE)</f>
        <v>0.31305549358416201</v>
      </c>
      <c r="T278" s="30">
        <f>VLOOKUP($B278,Hitters!$A1:$R401,11,FALSE)</f>
        <v>110.4</v>
      </c>
      <c r="U278" s="30">
        <f>VLOOKUP($B278,Hitters!$A1:$R401,12,FALSE)</f>
        <v>22.133333333333301</v>
      </c>
      <c r="V278" s="30">
        <f>VLOOKUP($B278,Hitters!$A1:$R401,13,FALSE)</f>
        <v>2.4666666666666699</v>
      </c>
      <c r="W278" s="30">
        <f>VLOOKUP($B278,Hitters!$A1:$R401,14,FALSE)</f>
        <v>34.6</v>
      </c>
      <c r="X278" s="30">
        <f>VLOOKUP($B278,Hitters!$A1:$R401,15,FALSE)</f>
        <v>80.7</v>
      </c>
      <c r="Y278" s="32">
        <f>VLOOKUP($B278,Hitters!$A1:$R401,16,FALSE)</f>
        <v>0.383110761979576</v>
      </c>
      <c r="Z278" s="32">
        <f>VLOOKUP($B278,Hitters!$A1:$R401,17,FALSE)</f>
        <v>0.69616625556373701</v>
      </c>
      <c r="AA278" s="30">
        <f>VLOOKUP($B278,Hitters!$A1:$R401,18,FALSE)</f>
        <v>0</v>
      </c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</row>
    <row r="279" spans="1:44" ht="18.600000000000001" customHeight="1">
      <c r="A279" s="24">
        <f ca="1">RANK(I279,I$2:I$651)</f>
        <v>424</v>
      </c>
      <c r="B279" s="25" t="s">
        <v>520</v>
      </c>
      <c r="C279" s="26" t="s">
        <v>101</v>
      </c>
      <c r="D279" s="26" t="s">
        <v>70</v>
      </c>
      <c r="E279" s="47" t="s">
        <v>11</v>
      </c>
      <c r="F279" s="48">
        <f ca="1">VLOOKUP(B279,'2B'!A1:I50,IF(Settings!$J$13="points",4,7),FALSE)</f>
        <v>30</v>
      </c>
      <c r="G279" s="29">
        <f>(M279*Settings!$B$2)+(N279*Settings!$B$3)+(O279*Settings!$B$4)+(P279*Settings!$B$5)+(Q279*Settings!$B$6)+(T279*Settings!$B$9)+(U279*Settings!$B$10)+(V279*Settings!$B$11)+(W279*Settings!$B$12)+(X279*Settings!$B$13)+(AA279*Settings!$B$16)</f>
        <v>315.0500000000003</v>
      </c>
      <c r="H279" s="30">
        <f>VLOOKUP(B279,'Standard Deviations'!$A1:$D651,4,FALSE)</f>
        <v>-0.43335475134122559</v>
      </c>
      <c r="I279" s="31">
        <f ca="1">IF(Settings!$J$16="no",VLOOKUP(B279,'2B'!A1:I50,IF(Settings!$J$13="points",6,9),FALSE),VLOOKUP(B279,'2B+SS'!$A1:$I94,IF(Settings!$J$13="points",6,9),FALSE))</f>
        <v>-2.7410852135951118</v>
      </c>
      <c r="J279" s="30"/>
      <c r="K279" s="30">
        <f ca="1">J279-A279</f>
        <v>-424</v>
      </c>
      <c r="L279" s="30"/>
      <c r="M279" s="30">
        <f>VLOOKUP($B279,Hitters!$A1:$R401,4,FALSE)</f>
        <v>456</v>
      </c>
      <c r="N279" s="30">
        <f>VLOOKUP($B279,Hitters!$A1:$R401,5,FALSE)</f>
        <v>54.433333333333302</v>
      </c>
      <c r="O279" s="30">
        <f>VLOOKUP($B279,Hitters!$A1:$R401,6,FALSE)</f>
        <v>5.0333333333333297</v>
      </c>
      <c r="P279" s="30">
        <f>VLOOKUP($B279,Hitters!$A1:$R401,7,FALSE)</f>
        <v>40.866666666666703</v>
      </c>
      <c r="Q279" s="30">
        <f>VLOOKUP($B279,Hitters!$A1:$R401,8,FALSE)</f>
        <v>8.5</v>
      </c>
      <c r="R279" s="32">
        <f>VLOOKUP($B279,Hitters!$A1:$R401,9,FALSE)</f>
        <v>0.26461988304093598</v>
      </c>
      <c r="S279" s="32">
        <f>VLOOKUP($B279,Hitters!$A1:$R401,10,FALSE)</f>
        <v>0.31669659849358001</v>
      </c>
      <c r="T279" s="30">
        <f>VLOOKUP($B279,Hitters!$A1:$R401,11,FALSE)</f>
        <v>120.666666666667</v>
      </c>
      <c r="U279" s="30">
        <f>VLOOKUP($B279,Hitters!$A1:$R401,12,FALSE)</f>
        <v>23.133333333333301</v>
      </c>
      <c r="V279" s="30">
        <f>VLOOKUP($B279,Hitters!$A1:$R401,13,FALSE)</f>
        <v>3.2333333333333298</v>
      </c>
      <c r="W279" s="30">
        <f>VLOOKUP($B279,Hitters!$A1:$R401,14,FALSE)</f>
        <v>36.866666666666703</v>
      </c>
      <c r="X279" s="30">
        <f>VLOOKUP($B279,Hitters!$A1:$R401,15,FALSE)</f>
        <v>61.766666666666701</v>
      </c>
      <c r="Y279" s="32">
        <f>VLOOKUP($B279,Hitters!$A1:$R401,16,FALSE)</f>
        <v>0.36264619883040899</v>
      </c>
      <c r="Z279" s="32">
        <f>VLOOKUP($B279,Hitters!$A1:$R401,17,FALSE)</f>
        <v>0.67934279732399006</v>
      </c>
      <c r="AA279" s="30">
        <f>VLOOKUP($B279,Hitters!$A1:$R401,18,FALSE)</f>
        <v>0</v>
      </c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</row>
    <row r="280" spans="1:44" ht="18.600000000000001" customHeight="1">
      <c r="A280" s="24">
        <f ca="1">RANK(I280,I$2:I$651)</f>
        <v>198</v>
      </c>
      <c r="B280" s="25" t="s">
        <v>294</v>
      </c>
      <c r="C280" s="26" t="s">
        <v>136</v>
      </c>
      <c r="D280" s="26" t="s">
        <v>75</v>
      </c>
      <c r="E280" s="27" t="s">
        <v>23</v>
      </c>
      <c r="F280" s="28">
        <f ca="1">VLOOKUP(B280,OF!A1:I139,IF(Settings!$J$13="points",4,7),FALSE)</f>
        <v>55</v>
      </c>
      <c r="G280" s="29">
        <f>(M280*Settings!$B$2)+(N280*Settings!$B$3)+(O280*Settings!$B$4)+(P280*Settings!$B$5)+(Q280*Settings!$B$6)+(T280*Settings!$B$9)+(U280*Settings!$B$10)+(V280*Settings!$B$11)+(W280*Settings!$B$12)+(X280*Settings!$B$13)+(AA280*Settings!$B$16)</f>
        <v>315.03333333333308</v>
      </c>
      <c r="H280" s="30">
        <f>VLOOKUP(B280,'Standard Deviations'!$A1:$D651,4,FALSE)</f>
        <v>0.65303363231718292</v>
      </c>
      <c r="I280" s="31">
        <f ca="1">VLOOKUP(B280,OF!A1:I139,IF(Settings!$J$13="points",6,9),FALSE)</f>
        <v>0.53431409794495432</v>
      </c>
      <c r="J280" s="30"/>
      <c r="K280" s="30">
        <f ca="1">J280-A280</f>
        <v>-198</v>
      </c>
      <c r="L280" s="30"/>
      <c r="M280" s="30">
        <f>VLOOKUP($B280,Hitters!$A1:$R401,4,FALSE)</f>
        <v>478</v>
      </c>
      <c r="N280" s="30">
        <f>VLOOKUP($B280,Hitters!$A1:$R401,5,FALSE)</f>
        <v>54.733333333333299</v>
      </c>
      <c r="O280" s="30">
        <f>VLOOKUP($B280,Hitters!$A1:$R401,6,FALSE)</f>
        <v>16.633333333333301</v>
      </c>
      <c r="P280" s="30">
        <f>VLOOKUP($B280,Hitters!$A1:$R401,7,FALSE)</f>
        <v>61.4</v>
      </c>
      <c r="Q280" s="30">
        <f>VLOOKUP($B280,Hitters!$A1:$R401,8,FALSE)</f>
        <v>6.1</v>
      </c>
      <c r="R280" s="32">
        <f>VLOOKUP($B280,Hitters!$A1:$R401,9,FALSE)</f>
        <v>0.244769874476987</v>
      </c>
      <c r="S280" s="32">
        <f>VLOOKUP($B280,Hitters!$A1:$R401,10,FALSE)</f>
        <v>0.29095913778398103</v>
      </c>
      <c r="T280" s="30">
        <f>VLOOKUP($B280,Hitters!$A1:$R401,11,FALSE)</f>
        <v>117</v>
      </c>
      <c r="U280" s="30">
        <f>VLOOKUP($B280,Hitters!$A1:$R401,12,FALSE)</f>
        <v>17.899999999999999</v>
      </c>
      <c r="V280" s="30">
        <f>VLOOKUP($B280,Hitters!$A1:$R401,13,FALSE)</f>
        <v>0.6</v>
      </c>
      <c r="W280" s="30">
        <f>VLOOKUP($B280,Hitters!$A1:$R401,14,FALSE)</f>
        <v>33.1</v>
      </c>
      <c r="X280" s="30">
        <f>VLOOKUP($B280,Hitters!$A1:$R401,15,FALSE)</f>
        <v>135.066666666667</v>
      </c>
      <c r="Y280" s="32">
        <f>VLOOKUP($B280,Hitters!$A1:$R401,16,FALSE)</f>
        <v>0.38912133891213402</v>
      </c>
      <c r="Z280" s="32">
        <f>VLOOKUP($B280,Hitters!$A1:$R401,17,FALSE)</f>
        <v>0.68008047669611504</v>
      </c>
      <c r="AA280" s="30">
        <f>VLOOKUP($B280,Hitters!$A1:$R401,18,FALSE)</f>
        <v>0</v>
      </c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</row>
    <row r="281" spans="1:44" ht="18.600000000000001" customHeight="1">
      <c r="A281" s="24">
        <f ca="1">RANK(I281,I$2:I$651)</f>
        <v>209</v>
      </c>
      <c r="B281" s="25" t="s">
        <v>306</v>
      </c>
      <c r="C281" s="26" t="s">
        <v>225</v>
      </c>
      <c r="D281" s="26" t="s">
        <v>75</v>
      </c>
      <c r="E281" s="27" t="s">
        <v>23</v>
      </c>
      <c r="F281" s="28">
        <f ca="1">VLOOKUP(B281,OF!A1:I139,IF(Settings!$J$13="points",4,7),FALSE)</f>
        <v>59</v>
      </c>
      <c r="G281" s="29">
        <f>(M281*Settings!$B$2)+(N281*Settings!$B$3)+(O281*Settings!$B$4)+(P281*Settings!$B$5)+(Q281*Settings!$B$6)+(T281*Settings!$B$9)+(U281*Settings!$B$10)+(V281*Settings!$B$11)+(W281*Settings!$B$12)+(X281*Settings!$B$13)+(AA281*Settings!$B$16)</f>
        <v>314.98333333333346</v>
      </c>
      <c r="H281" s="30">
        <f>VLOOKUP(B281,'Standard Deviations'!$A1:$D651,4,FALSE)</f>
        <v>0.47774344646651723</v>
      </c>
      <c r="I281" s="31">
        <f ca="1">VLOOKUP(B281,OF!A1:I139,IF(Settings!$J$13="points",6,9),FALSE)</f>
        <v>0.35903234752332475</v>
      </c>
      <c r="J281" s="30"/>
      <c r="K281" s="30">
        <f ca="1">J281-A281</f>
        <v>-209</v>
      </c>
      <c r="L281" s="30"/>
      <c r="M281" s="30">
        <f>VLOOKUP($B281,Hitters!$A1:$R401,4,FALSE)</f>
        <v>399.66666666666703</v>
      </c>
      <c r="N281" s="30">
        <f>VLOOKUP($B281,Hitters!$A1:$R401,5,FALSE)</f>
        <v>55.1</v>
      </c>
      <c r="O281" s="30">
        <f>VLOOKUP($B281,Hitters!$A1:$R401,6,FALSE)</f>
        <v>12.633333333333301</v>
      </c>
      <c r="P281" s="30">
        <f>VLOOKUP($B281,Hitters!$A1:$R401,7,FALSE)</f>
        <v>45.7</v>
      </c>
      <c r="Q281" s="30">
        <f>VLOOKUP($B281,Hitters!$A1:$R401,8,FALSE)</f>
        <v>10.8333333333333</v>
      </c>
      <c r="R281" s="32">
        <f>VLOOKUP($B281,Hitters!$A1:$R401,9,FALSE)</f>
        <v>0.25137614678899101</v>
      </c>
      <c r="S281" s="32">
        <f>VLOOKUP($B281,Hitters!$A1:$R401,10,FALSE)</f>
        <v>0.31153732619835101</v>
      </c>
      <c r="T281" s="30">
        <f>VLOOKUP($B281,Hitters!$A1:$R401,11,FALSE)</f>
        <v>100.466666666667</v>
      </c>
      <c r="U281" s="30">
        <f>VLOOKUP($B281,Hitters!$A1:$R401,12,FALSE)</f>
        <v>15.9</v>
      </c>
      <c r="V281" s="30">
        <f>VLOOKUP($B281,Hitters!$A1:$R401,13,FALSE)</f>
        <v>4.2333333333333298</v>
      </c>
      <c r="W281" s="30">
        <f>VLOOKUP($B281,Hitters!$A1:$R401,14,FALSE)</f>
        <v>36.733333333333299</v>
      </c>
      <c r="X281" s="30">
        <f>VLOOKUP($B281,Hitters!$A1:$R401,15,FALSE)</f>
        <v>79.433333333333294</v>
      </c>
      <c r="Y281" s="32">
        <f>VLOOKUP($B281,Hitters!$A1:$R401,16,FALSE)</f>
        <v>0.40717264386989199</v>
      </c>
      <c r="Z281" s="32">
        <f>VLOOKUP($B281,Hitters!$A1:$R401,17,FALSE)</f>
        <v>0.718709970068243</v>
      </c>
      <c r="AA281" s="30">
        <f>VLOOKUP($B281,Hitters!$A1:$R401,18,FALSE)</f>
        <v>0</v>
      </c>
      <c r="AB281" s="30"/>
      <c r="AC281" s="30"/>
      <c r="AD281" s="32"/>
      <c r="AE281" s="32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</row>
    <row r="282" spans="1:44" ht="18.600000000000001" customHeight="1">
      <c r="A282" s="24">
        <f ca="1">RANK(I282,I$2:I$651)</f>
        <v>272</v>
      </c>
      <c r="B282" s="25" t="s">
        <v>370</v>
      </c>
      <c r="C282" s="26" t="s">
        <v>92</v>
      </c>
      <c r="D282" s="26" t="s">
        <v>75</v>
      </c>
      <c r="E282" s="43" t="s">
        <v>114</v>
      </c>
      <c r="F282" s="44">
        <f ca="1">VLOOKUP(B282,'1B'!A1:I63,IF(Settings!$J$13="points",4,7),FALSE)</f>
        <v>23</v>
      </c>
      <c r="G282" s="29">
        <f>(M282*Settings!$B$2)+(N282*Settings!$B$3)+(O282*Settings!$B$4)+(P282*Settings!$B$5)+(Q282*Settings!$B$6)+(T282*Settings!$B$9)+(U282*Settings!$B$10)+(V282*Settings!$B$11)+(W282*Settings!$B$12)+(X282*Settings!$B$13)+(AA282*Settings!$B$16)</f>
        <v>314.93333333333322</v>
      </c>
      <c r="H282" s="30">
        <f>VLOOKUP(B282,'Standard Deviations'!$A1:$D651,4,FALSE)</f>
        <v>2.0064653456399428</v>
      </c>
      <c r="I282" s="31">
        <f ca="1">VLOOKUP(B282,'1B'!A1:I63,IF(Settings!$J$13="points",6,9),FALSE)</f>
        <v>-0.57306841022654265</v>
      </c>
      <c r="J282" s="30"/>
      <c r="K282" s="30">
        <f ca="1">J282-A282</f>
        <v>-272</v>
      </c>
      <c r="L282" s="30"/>
      <c r="M282" s="30">
        <f>VLOOKUP($B282,Hitters!$A1:$R401,4,FALSE)</f>
        <v>282.66666666666703</v>
      </c>
      <c r="N282" s="30">
        <f>VLOOKUP($B282,Hitters!$A1:$R401,5,FALSE)</f>
        <v>50.866666666666703</v>
      </c>
      <c r="O282" s="30">
        <f>VLOOKUP($B282,Hitters!$A1:$R401,6,FALSE)</f>
        <v>16.5</v>
      </c>
      <c r="P282" s="30">
        <f>VLOOKUP($B282,Hitters!$A1:$R401,7,FALSE)</f>
        <v>48.8333333333333</v>
      </c>
      <c r="Q282" s="30">
        <f>VLOOKUP($B282,Hitters!$A1:$R401,8,FALSE)</f>
        <v>8.1333333333333293</v>
      </c>
      <c r="R282" s="32">
        <f>VLOOKUP($B282,Hitters!$A1:$R401,9,FALSE)</f>
        <v>0.28207547169811298</v>
      </c>
      <c r="S282" s="32">
        <f>VLOOKUP($B282,Hitters!$A1:$R401,10,FALSE)</f>
        <v>0.38215157945309702</v>
      </c>
      <c r="T282" s="30">
        <f>VLOOKUP($B282,Hitters!$A1:$R401,11,FALSE)</f>
        <v>79.733333333333306</v>
      </c>
      <c r="U282" s="30">
        <f>VLOOKUP($B282,Hitters!$A1:$R401,12,FALSE)</f>
        <v>19.1666666666667</v>
      </c>
      <c r="V282" s="30">
        <f>VLOOKUP($B282,Hitters!$A1:$R401,13,FALSE)</f>
        <v>0.9</v>
      </c>
      <c r="W282" s="30">
        <f>VLOOKUP($B282,Hitters!$A1:$R401,14,FALSE)</f>
        <v>47.533333333333303</v>
      </c>
      <c r="X282" s="30">
        <f>VLOOKUP($B282,Hitters!$A1:$R401,15,FALSE)</f>
        <v>70.6666666666667</v>
      </c>
      <c r="Y282" s="32">
        <f>VLOOKUP($B282,Hitters!$A1:$R401,16,FALSE)</f>
        <v>0.53136792452830195</v>
      </c>
      <c r="Z282" s="32">
        <f>VLOOKUP($B282,Hitters!$A1:$R401,17,FALSE)</f>
        <v>0.91351950398139903</v>
      </c>
      <c r="AA282" s="30">
        <f>VLOOKUP($B282,Hitters!$A1:$R401,18,FALSE)</f>
        <v>0</v>
      </c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</row>
    <row r="283" spans="1:44" ht="18.600000000000001" customHeight="1">
      <c r="A283" s="24">
        <f ca="1">RANK(I283,I$2:I$651)</f>
        <v>266</v>
      </c>
      <c r="B283" s="25" t="s">
        <v>364</v>
      </c>
      <c r="C283" s="26" t="s">
        <v>97</v>
      </c>
      <c r="D283" s="26" t="s">
        <v>75</v>
      </c>
      <c r="E283" s="35" t="s">
        <v>31</v>
      </c>
      <c r="F283" s="36">
        <f ca="1">VLOOKUP(B283,SP!A1:I161,IF(Settings!$J$13="points",4,7),FALSE)</f>
        <v>80</v>
      </c>
      <c r="G283" s="29">
        <f>(AC283*Settings!$F$2)+(AF283*Settings!$F$5)+(AG283*Settings!$F$6)+(AH283*Settings!$F$7)+(AI283*Settings!$F$8)+(AJ283*Settings!$F$9)+(AK283*Settings!$F$10)+(AL283*Settings!$F$11)+(AM283*Settings!$F$12)+(AN283*Settings!$F$13)+(AO283*Settings!$F$14)+(AP283*Settings!$F$15)+(AQ283*Settings!$F$16)+(AR283*Settings!$F$17)</f>
        <v>313.96600000000001</v>
      </c>
      <c r="H283" s="30">
        <f>VLOOKUP(B283,'Standard Deviations'!$A1:$D651,4,FALSE)</f>
        <v>-0.32797621438513069</v>
      </c>
      <c r="I283" s="31">
        <f ca="1">IF(Settings!$J$16="no",VLOOKUP(B283,SP!A1:I161,IF(Settings!$J$13="points",6,9),FALSE),VLOOKUP(B283,'SP+RP'!$A1:$I251,IF(Settings!$J$13="points",6,9),FALSE))</f>
        <v>-0.46395931335239071</v>
      </c>
      <c r="J283" s="30"/>
      <c r="K283" s="30">
        <f ca="1">J283-A283</f>
        <v>-266</v>
      </c>
      <c r="L283" s="30"/>
      <c r="M283" s="30"/>
      <c r="N283" s="30"/>
      <c r="O283" s="30"/>
      <c r="P283" s="30"/>
      <c r="Q283" s="30"/>
      <c r="R283" s="32"/>
      <c r="S283" s="32"/>
      <c r="T283" s="30"/>
      <c r="U283" s="30"/>
      <c r="V283" s="30"/>
      <c r="W283" s="30"/>
      <c r="X283" s="30"/>
      <c r="Y283" s="32"/>
      <c r="Z283" s="32"/>
      <c r="AA283" s="30"/>
      <c r="AB283" s="30"/>
      <c r="AC283" s="30">
        <f>VLOOKUP($B283,Pitchers!$A1:$S251,4,FALSE)</f>
        <v>142.96666666666667</v>
      </c>
      <c r="AD283" s="32">
        <f>VLOOKUP($B283,Pitchers!$A1:$S251,5,FALSE)</f>
        <v>4.0488878526463044</v>
      </c>
      <c r="AE283" s="32">
        <f>VLOOKUP($B283,Pitchers!$A1:$S251,6,FALSE)</f>
        <v>1.2902774539519701</v>
      </c>
      <c r="AF283" s="30">
        <f>VLOOKUP($B283,Pitchers!$A1:$S251,7,FALSE)</f>
        <v>139.96666666666667</v>
      </c>
      <c r="AG283" s="30">
        <f>VLOOKUP($B283,Pitchers!$A1:$S251,8,FALSE)</f>
        <v>9.7666666666666675</v>
      </c>
      <c r="AH283" s="30">
        <f>VLOOKUP($B283,Pitchers!$A1:$S251,9,FALSE)</f>
        <v>0</v>
      </c>
      <c r="AI283" s="30">
        <f>VLOOKUP($B283,Pitchers!$A1:$S251,10,FALSE)</f>
        <v>64.317333333333337</v>
      </c>
      <c r="AJ283" s="30">
        <f>VLOOKUP($B283,Pitchers!$A1:$S251,11,FALSE)</f>
        <v>142.43333333333334</v>
      </c>
      <c r="AK283" s="30">
        <f>VLOOKUP($B283,Pitchers!$A1:$S251,12,FALSE)</f>
        <v>42.033333333333331</v>
      </c>
      <c r="AL283" s="30">
        <f>VLOOKUP($B283,Pitchers!$A1:$S251,13,FALSE)</f>
        <v>19</v>
      </c>
      <c r="AM283" s="30">
        <f>VLOOKUP($B283,Pitchers!$A1:$S251,14,FALSE)</f>
        <v>27.066666666666666</v>
      </c>
      <c r="AN283" s="30">
        <f>VLOOKUP($B283,Pitchers!$A1:$S251,15,FALSE)</f>
        <v>27.066666666666666</v>
      </c>
      <c r="AO283" s="30">
        <f>VLOOKUP($B283,Pitchers!$A1:$S251,16,FALSE)</f>
        <v>8.1</v>
      </c>
      <c r="AP283" s="30">
        <f>VLOOKUP($B283,Pitchers!$A1:$S251,17,FALSE)</f>
        <v>12</v>
      </c>
      <c r="AQ283" s="30">
        <f>VLOOKUP($B283,Pitchers!$A1:$S251,18,FALSE)</f>
        <v>0</v>
      </c>
      <c r="AR283" s="30">
        <f>VLOOKUP($B283,Pitchers!$A1:$S251,19,FALSE)</f>
        <v>0</v>
      </c>
    </row>
    <row r="284" spans="1:44" ht="18.600000000000001" customHeight="1">
      <c r="A284" s="24">
        <f ca="1">RANK(I284,I$2:I$651)</f>
        <v>373</v>
      </c>
      <c r="B284" s="25" t="s">
        <v>470</v>
      </c>
      <c r="C284" s="26" t="s">
        <v>119</v>
      </c>
      <c r="D284" s="26" t="s">
        <v>70</v>
      </c>
      <c r="E284" s="47" t="s">
        <v>11</v>
      </c>
      <c r="F284" s="48">
        <f ca="1">VLOOKUP(B284,'2B'!A1:I50,IF(Settings!$J$13="points",4,7),FALSE)</f>
        <v>27</v>
      </c>
      <c r="G284" s="29">
        <f>(M284*Settings!$B$2)+(N284*Settings!$B$3)+(O284*Settings!$B$4)+(P284*Settings!$B$5)+(Q284*Settings!$B$6)+(T284*Settings!$B$9)+(U284*Settings!$B$10)+(V284*Settings!$B$11)+(W284*Settings!$B$12)+(X284*Settings!$B$13)+(AA284*Settings!$B$16)</f>
        <v>313.93333333333334</v>
      </c>
      <c r="H284" s="30">
        <f>VLOOKUP(B284,'Standard Deviations'!$A1:$D651,4,FALSE)</f>
        <v>0.21913658788613899</v>
      </c>
      <c r="I284" s="31">
        <f ca="1">IF(Settings!$J$16="no",VLOOKUP(B284,'2B'!A1:I50,IF(Settings!$J$13="points",6,9),FALSE),VLOOKUP(B284,'2B+SS'!$A1:$I94,IF(Settings!$J$13="points",6,9),FALSE))</f>
        <v>-2.0885980830857398</v>
      </c>
      <c r="J284" s="30"/>
      <c r="K284" s="30">
        <f ca="1">J284-A284</f>
        <v>-373</v>
      </c>
      <c r="L284" s="30"/>
      <c r="M284" s="30">
        <f>VLOOKUP($B284,Hitters!$A1:$R401,4,FALSE)</f>
        <v>461</v>
      </c>
      <c r="N284" s="30">
        <f>VLOOKUP($B284,Hitters!$A1:$R401,5,FALSE)</f>
        <v>52.066666666666698</v>
      </c>
      <c r="O284" s="30">
        <f>VLOOKUP($B284,Hitters!$A1:$R401,6,FALSE)</f>
        <v>13</v>
      </c>
      <c r="P284" s="30">
        <f>VLOOKUP($B284,Hitters!$A1:$R401,7,FALSE)</f>
        <v>51.6666666666667</v>
      </c>
      <c r="Q284" s="30">
        <f>VLOOKUP($B284,Hitters!$A1:$R401,8,FALSE)</f>
        <v>7.5333333333333297</v>
      </c>
      <c r="R284" s="32">
        <f>VLOOKUP($B284,Hitters!$A1:$R401,9,FALSE)</f>
        <v>0.25249457700650801</v>
      </c>
      <c r="S284" s="32">
        <f>VLOOKUP($B284,Hitters!$A1:$R401,10,FALSE)</f>
        <v>0.29186916582737898</v>
      </c>
      <c r="T284" s="30">
        <f>VLOOKUP($B284,Hitters!$A1:$R401,11,FALSE)</f>
        <v>116.4</v>
      </c>
      <c r="U284" s="30">
        <f>VLOOKUP($B284,Hitters!$A1:$R401,12,FALSE)</f>
        <v>25.4</v>
      </c>
      <c r="V284" s="30">
        <f>VLOOKUP($B284,Hitters!$A1:$R401,13,FALSE)</f>
        <v>1.6666666666666701</v>
      </c>
      <c r="W284" s="30">
        <f>VLOOKUP($B284,Hitters!$A1:$R401,14,FALSE)</f>
        <v>27.533333333333299</v>
      </c>
      <c r="X284" s="30">
        <f>VLOOKUP($B284,Hitters!$A1:$R401,15,FALSE)</f>
        <v>113.2</v>
      </c>
      <c r="Y284" s="32">
        <f>VLOOKUP($B284,Hitters!$A1:$R401,16,FALSE)</f>
        <v>0.39942154736080998</v>
      </c>
      <c r="Z284" s="32">
        <f>VLOOKUP($B284,Hitters!$A1:$R401,17,FALSE)</f>
        <v>0.69129071318818902</v>
      </c>
      <c r="AA284" s="30">
        <f>VLOOKUP($B284,Hitters!$A1:$R401,18,FALSE)</f>
        <v>0</v>
      </c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</row>
    <row r="285" spans="1:44" ht="18.600000000000001" customHeight="1">
      <c r="A285" s="24">
        <f ca="1">RANK(I285,I$2:I$651)</f>
        <v>230</v>
      </c>
      <c r="B285" s="25" t="s">
        <v>328</v>
      </c>
      <c r="C285" s="26" t="s">
        <v>309</v>
      </c>
      <c r="D285" s="26" t="s">
        <v>75</v>
      </c>
      <c r="E285" s="45" t="s">
        <v>19</v>
      </c>
      <c r="F285" s="46">
        <f ca="1">VLOOKUP(B285,'C'!A1:I54,IF(Settings!$J$13="points",4,7),FALSE)</f>
        <v>11</v>
      </c>
      <c r="G285" s="29">
        <f>(M285*Settings!$B$2)+(N285*Settings!$B$3)+(O285*Settings!$B$4)+(P285*Settings!$B$5)+(Q285*Settings!$B$6)+(T285*Settings!$B$9)+(U285*Settings!$B$10)+(V285*Settings!$B$11)+(W285*Settings!$B$12)+(X285*Settings!$B$13)+(AA285*Settings!$B$16)</f>
        <v>311.98333333333375</v>
      </c>
      <c r="H285" s="30">
        <f>VLOOKUP(B285,'Standard Deviations'!$A1:$D651,4,FALSE)</f>
        <v>-0.2685140552631281</v>
      </c>
      <c r="I285" s="31">
        <f ca="1">VLOOKUP(B285,'C'!A1:I54,IF(Settings!$J$13="points",6,9),FALSE)</f>
        <v>4.858319681584955E-2</v>
      </c>
      <c r="J285" s="30"/>
      <c r="K285" s="30">
        <f ca="1">J285-A285</f>
        <v>-230</v>
      </c>
      <c r="L285" s="30"/>
      <c r="M285" s="30">
        <f>VLOOKUP($B285,Hitters!$A1:$R401,4,FALSE)</f>
        <v>404</v>
      </c>
      <c r="N285" s="30">
        <f>VLOOKUP($B285,Hitters!$A1:$R401,5,FALSE)</f>
        <v>45.633333333333297</v>
      </c>
      <c r="O285" s="30">
        <f>VLOOKUP($B285,Hitters!$A1:$R401,6,FALSE)</f>
        <v>12.266666666666699</v>
      </c>
      <c r="P285" s="30">
        <f>VLOOKUP($B285,Hitters!$A1:$R401,7,FALSE)</f>
        <v>50.633333333333297</v>
      </c>
      <c r="Q285" s="30">
        <f>VLOOKUP($B285,Hitters!$A1:$R401,8,FALSE)</f>
        <v>4.6333333333333302</v>
      </c>
      <c r="R285" s="32">
        <f>VLOOKUP($B285,Hitters!$A1:$R401,9,FALSE)</f>
        <v>0.26031353135313501</v>
      </c>
      <c r="S285" s="32">
        <f>VLOOKUP($B285,Hitters!$A1:$R401,10,FALSE)</f>
        <v>0.31129672861777302</v>
      </c>
      <c r="T285" s="30">
        <f>VLOOKUP($B285,Hitters!$A1:$R401,11,FALSE)</f>
        <v>105.166666666667</v>
      </c>
      <c r="U285" s="30">
        <f>VLOOKUP($B285,Hitters!$A1:$R401,12,FALSE)</f>
        <v>22.866666666666699</v>
      </c>
      <c r="V285" s="30">
        <f>VLOOKUP($B285,Hitters!$A1:$R401,13,FALSE)</f>
        <v>0.53333333333333299</v>
      </c>
      <c r="W285" s="30">
        <f>VLOOKUP($B285,Hitters!$A1:$R401,14,FALSE)</f>
        <v>31.733333333333299</v>
      </c>
      <c r="X285" s="30">
        <f>VLOOKUP($B285,Hitters!$A1:$R401,15,FALSE)</f>
        <v>53.7</v>
      </c>
      <c r="Y285" s="32">
        <f>VLOOKUP($B285,Hitters!$A1:$R401,16,FALSE)</f>
        <v>0.41064356435643601</v>
      </c>
      <c r="Z285" s="32">
        <f>VLOOKUP($B285,Hitters!$A1:$R401,17,FALSE)</f>
        <v>0.72194029297420803</v>
      </c>
      <c r="AA285" s="30">
        <f>VLOOKUP($B285,Hitters!$A1:$R401,18,FALSE)</f>
        <v>0</v>
      </c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</row>
    <row r="286" spans="1:44" ht="18.600000000000001" customHeight="1">
      <c r="A286" s="24">
        <f ca="1">RANK(I286,I$2:I$651)</f>
        <v>335</v>
      </c>
      <c r="B286" s="25" t="s">
        <v>432</v>
      </c>
      <c r="C286" s="26" t="s">
        <v>158</v>
      </c>
      <c r="D286" s="26" t="s">
        <v>70</v>
      </c>
      <c r="E286" s="27" t="s">
        <v>23</v>
      </c>
      <c r="F286" s="28">
        <f ca="1">VLOOKUP(B286,OF!A1:I139,IF(Settings!$J$13="points",4,7),FALSE)</f>
        <v>94</v>
      </c>
      <c r="G286" s="29">
        <f>(M286*Settings!$B$2)+(N286*Settings!$B$3)+(O286*Settings!$B$4)+(P286*Settings!$B$5)+(Q286*Settings!$B$6)+(T286*Settings!$B$9)+(U286*Settings!$B$10)+(V286*Settings!$B$11)+(W286*Settings!$B$12)+(X286*Settings!$B$13)+(AA286*Settings!$B$16)</f>
        <v>311.04999999999978</v>
      </c>
      <c r="H286" s="30">
        <f>VLOOKUP(B286,'Standard Deviations'!$A1:$D651,4,FALSE)</f>
        <v>-1.5456717154710915</v>
      </c>
      <c r="I286" s="31">
        <f ca="1">VLOOKUP(B286,OF!A1:I139,IF(Settings!$J$13="points",6,9),FALSE)</f>
        <v>-1.6643835181112112</v>
      </c>
      <c r="J286" s="30"/>
      <c r="K286" s="30">
        <f ca="1">J286-A286</f>
        <v>-335</v>
      </c>
      <c r="L286" s="30"/>
      <c r="M286" s="30">
        <f>VLOOKUP($B286,Hitters!$A1:$R401,4,FALSE)</f>
        <v>408.66666666666703</v>
      </c>
      <c r="N286" s="30">
        <f>VLOOKUP($B286,Hitters!$A1:$R401,5,FALSE)</f>
        <v>59.2</v>
      </c>
      <c r="O286" s="30">
        <f>VLOOKUP($B286,Hitters!$A1:$R401,6,FALSE)</f>
        <v>23.633333333333301</v>
      </c>
      <c r="P286" s="30">
        <f>VLOOKUP($B286,Hitters!$A1:$R401,7,FALSE)</f>
        <v>58.233333333333299</v>
      </c>
      <c r="Q286" s="30">
        <f>VLOOKUP($B286,Hitters!$A1:$R401,8,FALSE)</f>
        <v>4.06666666666667</v>
      </c>
      <c r="R286" s="32">
        <f>VLOOKUP($B286,Hitters!$A1:$R401,9,FALSE)</f>
        <v>0.18686786296900501</v>
      </c>
      <c r="S286" s="32">
        <f>VLOOKUP($B286,Hitters!$A1:$R401,10,FALSE)</f>
        <v>0.30573213352046003</v>
      </c>
      <c r="T286" s="30">
        <f>VLOOKUP($B286,Hitters!$A1:$R401,11,FALSE)</f>
        <v>76.366666666666703</v>
      </c>
      <c r="U286" s="30">
        <f>VLOOKUP($B286,Hitters!$A1:$R401,12,FALSE)</f>
        <v>12.9</v>
      </c>
      <c r="V286" s="30">
        <f>VLOOKUP($B286,Hitters!$A1:$R401,13,FALSE)</f>
        <v>1.56666666666667</v>
      </c>
      <c r="W286" s="30">
        <f>VLOOKUP($B286,Hitters!$A1:$R401,14,FALSE)</f>
        <v>71.766666666666694</v>
      </c>
      <c r="X286" s="30">
        <f>VLOOKUP($B286,Hitters!$A1:$R401,15,FALSE)</f>
        <v>175.36666666666699</v>
      </c>
      <c r="Y286" s="32">
        <f>VLOOKUP($B286,Hitters!$A1:$R401,16,FALSE)</f>
        <v>0.399592169657423</v>
      </c>
      <c r="Z286" s="32">
        <f>VLOOKUP($B286,Hitters!$A1:$R401,17,FALSE)</f>
        <v>0.70532430317788297</v>
      </c>
      <c r="AA286" s="30">
        <f>VLOOKUP($B286,Hitters!$A1:$R401,18,FALSE)</f>
        <v>0</v>
      </c>
      <c r="AB286" s="30"/>
      <c r="AC286" s="30"/>
      <c r="AD286" s="32"/>
      <c r="AE286" s="32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</row>
    <row r="287" spans="1:44" ht="18.600000000000001" customHeight="1">
      <c r="A287" s="24">
        <f ca="1">RANK(I287,I$2:I$651)</f>
        <v>302</v>
      </c>
      <c r="B287" s="25" t="s">
        <v>399</v>
      </c>
      <c r="C287" s="26"/>
      <c r="D287" s="26" t="s">
        <v>70</v>
      </c>
      <c r="E287" s="27" t="s">
        <v>23</v>
      </c>
      <c r="F287" s="28">
        <f ca="1">VLOOKUP(B287,OF!A1:I139,IF(Settings!$J$13="points",4,7),FALSE)</f>
        <v>84</v>
      </c>
      <c r="G287" s="29">
        <f>(M287*Settings!$B$2)+(N287*Settings!$B$3)+(O287*Settings!$B$4)+(P287*Settings!$B$5)+(Q287*Settings!$B$6)+(T287*Settings!$B$9)+(U287*Settings!$B$10)+(V287*Settings!$B$11)+(W287*Settings!$B$12)+(X287*Settings!$B$13)+(AA287*Settings!$B$16)</f>
        <v>310.76666666666654</v>
      </c>
      <c r="H287" s="30">
        <f>VLOOKUP(B287,'Standard Deviations'!$A1:$D651,4,FALSE)</f>
        <v>-0.82239916600216012</v>
      </c>
      <c r="I287" s="31">
        <f ca="1">VLOOKUP(B287,OF!A1:I139,IF(Settings!$J$13="points",6,9),FALSE)</f>
        <v>-0.94111304083416114</v>
      </c>
      <c r="J287" s="30"/>
      <c r="K287" s="30">
        <f ca="1">J287-A287</f>
        <v>-302</v>
      </c>
      <c r="L287" s="30"/>
      <c r="M287" s="30">
        <f>VLOOKUP($B287,Hitters!$A1:$R401,4,FALSE)</f>
        <v>395.33333333333297</v>
      </c>
      <c r="N287" s="30">
        <f>VLOOKUP($B287,Hitters!$A1:$R401,5,FALSE)</f>
        <v>55.433333333333302</v>
      </c>
      <c r="O287" s="30">
        <f>VLOOKUP($B287,Hitters!$A1:$R401,6,FALSE)</f>
        <v>10.633333333333301</v>
      </c>
      <c r="P287" s="30">
        <f>VLOOKUP($B287,Hitters!$A1:$R401,7,FALSE)</f>
        <v>43.1666666666667</v>
      </c>
      <c r="Q287" s="30">
        <f>VLOOKUP($B287,Hitters!$A1:$R401,8,FALSE)</f>
        <v>6.6</v>
      </c>
      <c r="R287" s="32">
        <f>VLOOKUP($B287,Hitters!$A1:$R401,9,FALSE)</f>
        <v>0.24502529510961199</v>
      </c>
      <c r="S287" s="32">
        <f>VLOOKUP($B287,Hitters!$A1:$R401,10,FALSE)</f>
        <v>0.32317264222729503</v>
      </c>
      <c r="T287" s="30">
        <f>VLOOKUP($B287,Hitters!$A1:$R401,11,FALSE)</f>
        <v>96.866666666666703</v>
      </c>
      <c r="U287" s="30">
        <f>VLOOKUP($B287,Hitters!$A1:$R401,12,FALSE)</f>
        <v>21.3</v>
      </c>
      <c r="V287" s="30">
        <f>VLOOKUP($B287,Hitters!$A1:$R401,13,FALSE)</f>
        <v>1.6666666666666701</v>
      </c>
      <c r="W287" s="30">
        <f>VLOOKUP($B287,Hitters!$A1:$R401,14,FALSE)</f>
        <v>47.533333333333303</v>
      </c>
      <c r="X287" s="30">
        <f>VLOOKUP($B287,Hitters!$A1:$R401,15,FALSE)</f>
        <v>71.133333333333297</v>
      </c>
      <c r="Y287" s="32">
        <f>VLOOKUP($B287,Hitters!$A1:$R401,16,FALSE)</f>
        <v>0.38802698145025299</v>
      </c>
      <c r="Z287" s="32">
        <f>VLOOKUP($B287,Hitters!$A1:$R401,17,FALSE)</f>
        <v>0.71119962367754797</v>
      </c>
      <c r="AA287" s="30">
        <f>VLOOKUP($B287,Hitters!$A1:$R401,18,FALSE)</f>
        <v>0</v>
      </c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</row>
    <row r="288" spans="1:44" ht="18.600000000000001" customHeight="1">
      <c r="A288" s="24">
        <f ca="1">RANK(I288,I$2:I$651)</f>
        <v>232</v>
      </c>
      <c r="B288" s="25" t="s">
        <v>336</v>
      </c>
      <c r="C288" s="26" t="s">
        <v>160</v>
      </c>
      <c r="D288" s="26" t="s">
        <v>75</v>
      </c>
      <c r="E288" s="35" t="s">
        <v>31</v>
      </c>
      <c r="F288" s="36">
        <f ca="1">VLOOKUP(B288,SP!A1:I161,IF(Settings!$J$13="points",4,7),FALSE)</f>
        <v>67</v>
      </c>
      <c r="G288" s="29">
        <f>(AC288*Settings!$F$2)+(AF288*Settings!$F$5)+(AG288*Settings!$F$6)+(AH288*Settings!$F$7)+(AI288*Settings!$F$8)+(AJ288*Settings!$F$9)+(AK288*Settings!$F$10)+(AL288*Settings!$F$11)+(AM288*Settings!$F$12)+(AN288*Settings!$F$13)+(AO288*Settings!$F$14)+(AP288*Settings!$F$15)+(AQ288*Settings!$F$16)+(AR288*Settings!$F$17)</f>
        <v>309.9973333333333</v>
      </c>
      <c r="H288" s="30">
        <f>VLOOKUP(B288,'Standard Deviations'!$A1:$D651,4,FALSE)</f>
        <v>0.15108929836442136</v>
      </c>
      <c r="I288" s="31">
        <f ca="1">IF(Settings!$J$16="no",VLOOKUP(B288,SP!A1:I161,IF(Settings!$J$13="points",6,9),FALSE),VLOOKUP(B288,'SP+RP'!$A1:$I251,IF(Settings!$J$13="points",6,9),FALSE))</f>
        <v>1.5104210728358186E-2</v>
      </c>
      <c r="J288" s="30"/>
      <c r="K288" s="30">
        <f ca="1">J288-A288</f>
        <v>-232</v>
      </c>
      <c r="L288" s="30"/>
      <c r="M288" s="30"/>
      <c r="N288" s="30"/>
      <c r="O288" s="30"/>
      <c r="P288" s="30"/>
      <c r="Q288" s="30"/>
      <c r="R288" s="32"/>
      <c r="S288" s="32"/>
      <c r="T288" s="30"/>
      <c r="U288" s="30"/>
      <c r="V288" s="30"/>
      <c r="W288" s="30"/>
      <c r="X288" s="30"/>
      <c r="Y288" s="32"/>
      <c r="Z288" s="32"/>
      <c r="AA288" s="30"/>
      <c r="AB288" s="30"/>
      <c r="AC288" s="30">
        <f>VLOOKUP($B288,Pitchers!$A1:$S251,4,FALSE)</f>
        <v>142.16666666666666</v>
      </c>
      <c r="AD288" s="32">
        <f>VLOOKUP($B288,Pitchers!$A1:$S251,5,FALSE)</f>
        <v>3.6117749120750298</v>
      </c>
      <c r="AE288" s="32">
        <f>VLOOKUP($B288,Pitchers!$A1:$S251,6,FALSE)</f>
        <v>1.2532239155920284</v>
      </c>
      <c r="AF288" s="30">
        <f>VLOOKUP($B288,Pitchers!$A1:$S251,7,FALSE)</f>
        <v>138.23333333333332</v>
      </c>
      <c r="AG288" s="30">
        <f>VLOOKUP($B288,Pitchers!$A1:$S251,8,FALSE)</f>
        <v>7.4666666666666659</v>
      </c>
      <c r="AH288" s="30">
        <f>VLOOKUP($B288,Pitchers!$A1:$S251,9,FALSE)</f>
        <v>0</v>
      </c>
      <c r="AI288" s="30">
        <f>VLOOKUP($B288,Pitchers!$A1:$S251,10,FALSE)</f>
        <v>57.052666666666674</v>
      </c>
      <c r="AJ288" s="30">
        <f>VLOOKUP($B288,Pitchers!$A1:$S251,11,FALSE)</f>
        <v>123.03333333333335</v>
      </c>
      <c r="AK288" s="30">
        <f>VLOOKUP($B288,Pitchers!$A1:$S251,12,FALSE)</f>
        <v>55.133333333333333</v>
      </c>
      <c r="AL288" s="30">
        <f>VLOOKUP($B288,Pitchers!$A1:$S251,13,FALSE)</f>
        <v>15</v>
      </c>
      <c r="AM288" s="30">
        <f>VLOOKUP($B288,Pitchers!$A1:$S251,14,FALSE)</f>
        <v>27.966666666666669</v>
      </c>
      <c r="AN288" s="30">
        <f>VLOOKUP($B288,Pitchers!$A1:$S251,15,FALSE)</f>
        <v>25.966666666666669</v>
      </c>
      <c r="AO288" s="30">
        <f>VLOOKUP($B288,Pitchers!$A1:$S251,16,FALSE)</f>
        <v>7.7333333333333334</v>
      </c>
      <c r="AP288" s="30">
        <f>VLOOKUP($B288,Pitchers!$A1:$S251,17,FALSE)</f>
        <v>12</v>
      </c>
      <c r="AQ288" s="30">
        <f>VLOOKUP($B288,Pitchers!$A1:$S251,18,FALSE)</f>
        <v>0.5</v>
      </c>
      <c r="AR288" s="30">
        <f>VLOOKUP($B288,Pitchers!$A1:$S251,19,FALSE)</f>
        <v>0</v>
      </c>
    </row>
    <row r="289" spans="1:44" ht="20.100000000000001" customHeight="1">
      <c r="A289" s="24">
        <f ca="1">RANK(I289,I$2:I$651)</f>
        <v>435</v>
      </c>
      <c r="B289" s="25" t="s">
        <v>532</v>
      </c>
      <c r="C289" s="26" t="s">
        <v>85</v>
      </c>
      <c r="D289" s="26" t="s">
        <v>70</v>
      </c>
      <c r="E289" s="37" t="s">
        <v>27</v>
      </c>
      <c r="F289" s="38">
        <f ca="1">VLOOKUP(B289,SS!A1:I45,IF(Settings!$J$13="points",4,7),FALSE)</f>
        <v>23</v>
      </c>
      <c r="G289" s="29">
        <f>(M289*Settings!$B$2)+(N289*Settings!$B$3)+(O289*Settings!$B$4)+(P289*Settings!$B$5)+(Q289*Settings!$B$6)+(T289*Settings!$B$9)+(U289*Settings!$B$10)+(V289*Settings!$B$11)+(W289*Settings!$B$12)+(X289*Settings!$B$13)+(AA289*Settings!$B$16)</f>
        <v>309.71666666666681</v>
      </c>
      <c r="H289" s="30">
        <f>VLOOKUP(B289,'Standard Deviations'!$A1:$D651,4,FALSE)</f>
        <v>0.15436071670689072</v>
      </c>
      <c r="I289" s="31">
        <f ca="1">IF(Settings!$J$16="no",VLOOKUP(B289,SS!A1:I45,IF(Settings!$J$13="points",6,9),FALSE),VLOOKUP(B289,'2B+SS'!$A1:$I94,IF(Settings!$J$13="points",6,9),FALSE))</f>
        <v>-2.8500638693146731</v>
      </c>
      <c r="J289" s="30"/>
      <c r="K289" s="30">
        <f ca="1">J289-A289</f>
        <v>-435</v>
      </c>
      <c r="L289" s="30"/>
      <c r="M289" s="30">
        <f>VLOOKUP($B289,Hitters!$A1:$R401,4,FALSE)</f>
        <v>430.66666666666703</v>
      </c>
      <c r="N289" s="30">
        <f>VLOOKUP($B289,Hitters!$A1:$R401,5,FALSE)</f>
        <v>50.533333333333303</v>
      </c>
      <c r="O289" s="30">
        <f>VLOOKUP($B289,Hitters!$A1:$R401,6,FALSE)</f>
        <v>13.8333333333333</v>
      </c>
      <c r="P289" s="30">
        <f>VLOOKUP($B289,Hitters!$A1:$R401,7,FALSE)</f>
        <v>48.8</v>
      </c>
      <c r="Q289" s="30">
        <f>VLOOKUP($B289,Hitters!$A1:$R401,8,FALSE)</f>
        <v>7.43333333333333</v>
      </c>
      <c r="R289" s="32">
        <f>VLOOKUP($B289,Hitters!$A1:$R401,9,FALSE)</f>
        <v>0.25348297213622301</v>
      </c>
      <c r="S289" s="32">
        <f>VLOOKUP($B289,Hitters!$A1:$R401,10,FALSE)</f>
        <v>0.29122130208408897</v>
      </c>
      <c r="T289" s="30">
        <f>VLOOKUP($B289,Hitters!$A1:$R401,11,FALSE)</f>
        <v>109.166666666667</v>
      </c>
      <c r="U289" s="30">
        <f>VLOOKUP($B289,Hitters!$A1:$R401,12,FALSE)</f>
        <v>18.899999999999999</v>
      </c>
      <c r="V289" s="30">
        <f>VLOOKUP($B289,Hitters!$A1:$R401,13,FALSE)</f>
        <v>2.8666666666666698</v>
      </c>
      <c r="W289" s="30">
        <f>VLOOKUP($B289,Hitters!$A1:$R401,14,FALSE)</f>
        <v>24.7</v>
      </c>
      <c r="X289" s="30">
        <f>VLOOKUP($B289,Hitters!$A1:$R401,15,FALSE)</f>
        <v>80.1666666666667</v>
      </c>
      <c r="Y289" s="32">
        <f>VLOOKUP($B289,Hitters!$A1:$R401,16,FALSE)</f>
        <v>0.40704334365325101</v>
      </c>
      <c r="Z289" s="32">
        <f>VLOOKUP($B289,Hitters!$A1:$R401,17,FALSE)</f>
        <v>0.69826464573733904</v>
      </c>
      <c r="AA289" s="30">
        <f>VLOOKUP($B289,Hitters!$A1:$R401,18,FALSE)</f>
        <v>0</v>
      </c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</row>
    <row r="290" spans="1:44" ht="18.600000000000001" customHeight="1">
      <c r="A290" s="24">
        <f ca="1">RANK(I290,I$2:I$651)</f>
        <v>159</v>
      </c>
      <c r="B290" s="25" t="s">
        <v>255</v>
      </c>
      <c r="C290" s="26" t="s">
        <v>82</v>
      </c>
      <c r="D290" s="26" t="s">
        <v>75</v>
      </c>
      <c r="E290" s="35" t="s">
        <v>31</v>
      </c>
      <c r="F290" s="36">
        <f ca="1">VLOOKUP(B290,SP!A1:I161,IF(Settings!$J$13="points",4,7),FALSE)</f>
        <v>49</v>
      </c>
      <c r="G290" s="29">
        <f>(AC290*Settings!$F$2)+(AF290*Settings!$F$5)+(AG290*Settings!$F$6)+(AH290*Settings!$F$7)+(AI290*Settings!$F$8)+(AJ290*Settings!$F$9)+(AK290*Settings!$F$10)+(AL290*Settings!$F$11)+(AM290*Settings!$F$12)+(AN290*Settings!$F$13)+(AO290*Settings!$F$14)+(AP290*Settings!$F$15)+(AQ290*Settings!$F$16)+(AR290*Settings!$F$17)</f>
        <v>306.27500000000009</v>
      </c>
      <c r="H290" s="30">
        <f>VLOOKUP(B290,'Standard Deviations'!$A1:$D651,4,FALSE)</f>
        <v>1.4149465038094913</v>
      </c>
      <c r="I290" s="31">
        <f ca="1">IF(Settings!$J$16="no",VLOOKUP(B290,SP!A1:I161,IF(Settings!$J$13="points",6,9),FALSE),VLOOKUP(B290,'SP+RP'!$A1:$I251,IF(Settings!$J$13="points",6,9),FALSE))</f>
        <v>1.2789683110140628</v>
      </c>
      <c r="J290" s="30"/>
      <c r="K290" s="30">
        <f ca="1">J290-A290</f>
        <v>-159</v>
      </c>
      <c r="L290" s="30"/>
      <c r="M290" s="30"/>
      <c r="N290" s="30"/>
      <c r="O290" s="30"/>
      <c r="P290" s="30"/>
      <c r="Q290" s="30"/>
      <c r="R290" s="32"/>
      <c r="S290" s="32"/>
      <c r="T290" s="30"/>
      <c r="U290" s="30"/>
      <c r="V290" s="30"/>
      <c r="W290" s="30"/>
      <c r="X290" s="30"/>
      <c r="Y290" s="32"/>
      <c r="Z290" s="32"/>
      <c r="AA290" s="30"/>
      <c r="AB290" s="30"/>
      <c r="AC290" s="30">
        <f>VLOOKUP($B290,Pitchers!$A1:$S251,4,FALSE)</f>
        <v>124.4</v>
      </c>
      <c r="AD290" s="32">
        <f>VLOOKUP($B290,Pitchers!$A1:$S251,5,FALSE)</f>
        <v>3.5196945337620575</v>
      </c>
      <c r="AE290" s="32">
        <f>VLOOKUP($B290,Pitchers!$A1:$S251,6,FALSE)</f>
        <v>1.1768488745980707</v>
      </c>
      <c r="AF290" s="30">
        <f>VLOOKUP($B290,Pitchers!$A1:$S251,7,FALSE)</f>
        <v>133.15</v>
      </c>
      <c r="AG290" s="30">
        <f>VLOOKUP($B290,Pitchers!$A1:$S251,8,FALSE)</f>
        <v>8.65</v>
      </c>
      <c r="AH290" s="30">
        <f>VLOOKUP($B290,Pitchers!$A1:$S251,9,FALSE)</f>
        <v>0.5</v>
      </c>
      <c r="AI290" s="30">
        <f>VLOOKUP($B290,Pitchers!$A1:$S251,10,FALSE)</f>
        <v>48.65</v>
      </c>
      <c r="AJ290" s="30">
        <f>VLOOKUP($B290,Pitchers!$A1:$S251,11,FALSE)</f>
        <v>108.4</v>
      </c>
      <c r="AK290" s="30">
        <f>VLOOKUP($B290,Pitchers!$A1:$S251,12,FALSE)</f>
        <v>38</v>
      </c>
      <c r="AL290" s="30">
        <f>VLOOKUP($B290,Pitchers!$A1:$S251,13,FALSE)</f>
        <v>14</v>
      </c>
      <c r="AM290" s="30">
        <f>VLOOKUP($B290,Pitchers!$A1:$S251,14,FALSE)</f>
        <v>28.45</v>
      </c>
      <c r="AN290" s="30">
        <f>VLOOKUP($B290,Pitchers!$A1:$S251,15,FALSE)</f>
        <v>23.95</v>
      </c>
      <c r="AO290" s="30">
        <f>VLOOKUP($B290,Pitchers!$A1:$S251,16,FALSE)</f>
        <v>5.9</v>
      </c>
      <c r="AP290" s="30">
        <f>VLOOKUP($B290,Pitchers!$A1:$S251,17,FALSE)</f>
        <v>9</v>
      </c>
      <c r="AQ290" s="30">
        <f>VLOOKUP($B290,Pitchers!$A1:$S251,18,FALSE)</f>
        <v>0</v>
      </c>
      <c r="AR290" s="30">
        <f>VLOOKUP($B290,Pitchers!$A1:$S251,19,FALSE)</f>
        <v>0</v>
      </c>
    </row>
    <row r="291" spans="1:44" ht="18.600000000000001" customHeight="1">
      <c r="A291" s="24">
        <f ca="1">RANK(I291,I$2:I$651)</f>
        <v>357</v>
      </c>
      <c r="B291" s="25" t="s">
        <v>457</v>
      </c>
      <c r="C291" s="26" t="s">
        <v>139</v>
      </c>
      <c r="D291" s="26" t="s">
        <v>75</v>
      </c>
      <c r="E291" s="35" t="s">
        <v>31</v>
      </c>
      <c r="F291" s="36">
        <f ca="1">VLOOKUP(B291,SP!A1:I161,IF(Settings!$J$13="points",4,7),FALSE)</f>
        <v>106</v>
      </c>
      <c r="G291" s="29">
        <f>(AC291*Settings!$F$2)+(AF291*Settings!$F$5)+(AG291*Settings!$F$6)+(AH291*Settings!$F$7)+(AI291*Settings!$F$8)+(AJ291*Settings!$F$9)+(AK291*Settings!$F$10)+(AL291*Settings!$F$11)+(AM291*Settings!$F$12)+(AN291*Settings!$F$13)+(AO291*Settings!$F$14)+(AP291*Settings!$F$15)+(AQ291*Settings!$F$16)+(AR291*Settings!$F$17)</f>
        <v>305.42100000000005</v>
      </c>
      <c r="H291" s="30">
        <f>VLOOKUP(B291,'Standard Deviations'!$A1:$D651,4,FALSE)</f>
        <v>-1.8218831650436789</v>
      </c>
      <c r="I291" s="31">
        <f ca="1">IF(Settings!$J$16="no",VLOOKUP(B291,SP!A1:I161,IF(Settings!$J$13="points",6,9),FALSE),VLOOKUP(B291,'SP+RP'!$A1:$I251,IF(Settings!$J$13="points",6,9),FALSE))</f>
        <v>-1.9578636938187377</v>
      </c>
      <c r="J291" s="30"/>
      <c r="K291" s="30">
        <f ca="1">J291-A291</f>
        <v>-357</v>
      </c>
      <c r="L291" s="30"/>
      <c r="M291" s="30"/>
      <c r="N291" s="30"/>
      <c r="O291" s="30"/>
      <c r="P291" s="30"/>
      <c r="Q291" s="30"/>
      <c r="R291" s="32"/>
      <c r="S291" s="32"/>
      <c r="T291" s="30"/>
      <c r="U291" s="30"/>
      <c r="V291" s="30"/>
      <c r="W291" s="30"/>
      <c r="X291" s="30"/>
      <c r="Y291" s="32"/>
      <c r="Z291" s="32"/>
      <c r="AA291" s="30"/>
      <c r="AB291" s="30"/>
      <c r="AC291" s="30">
        <f>VLOOKUP($B291,Pitchers!$A1:$S251,4,FALSE)</f>
        <v>162.15</v>
      </c>
      <c r="AD291" s="32">
        <f>VLOOKUP($B291,Pitchers!$A1:$S251,5,FALSE)</f>
        <v>4.2004995374653094</v>
      </c>
      <c r="AE291" s="32">
        <f>VLOOKUP($B291,Pitchers!$A1:$S251,6,FALSE)</f>
        <v>1.3546099290780143</v>
      </c>
      <c r="AF291" s="30">
        <f>VLOOKUP($B291,Pitchers!$A1:$S251,7,FALSE)</f>
        <v>140.5</v>
      </c>
      <c r="AG291" s="30">
        <f>VLOOKUP($B291,Pitchers!$A1:$S251,8,FALSE)</f>
        <v>7.9</v>
      </c>
      <c r="AH291" s="30">
        <f>VLOOKUP($B291,Pitchers!$A1:$S251,9,FALSE)</f>
        <v>0</v>
      </c>
      <c r="AI291" s="30">
        <f>VLOOKUP($B291,Pitchers!$A1:$S251,10,FALSE)</f>
        <v>75.679000000000002</v>
      </c>
      <c r="AJ291" s="30">
        <f>VLOOKUP($B291,Pitchers!$A1:$S251,11,FALSE)</f>
        <v>158.75</v>
      </c>
      <c r="AK291" s="30">
        <f>VLOOKUP($B291,Pitchers!$A1:$S251,12,FALSE)</f>
        <v>60.9</v>
      </c>
      <c r="AL291" s="30">
        <f>VLOOKUP($B291,Pitchers!$A1:$S251,13,FALSE)</f>
        <v>19</v>
      </c>
      <c r="AM291" s="30">
        <f>VLOOKUP($B291,Pitchers!$A1:$S251,14,FALSE)</f>
        <v>29.1</v>
      </c>
      <c r="AN291" s="30">
        <f>VLOOKUP($B291,Pitchers!$A1:$S251,15,FALSE)</f>
        <v>29.1</v>
      </c>
      <c r="AO291" s="30">
        <f>VLOOKUP($B291,Pitchers!$A1:$S251,16,FALSE)</f>
        <v>10.050000000000001</v>
      </c>
      <c r="AP291" s="30">
        <f>VLOOKUP($B291,Pitchers!$A1:$S251,17,FALSE)</f>
        <v>13</v>
      </c>
      <c r="AQ291" s="30">
        <f>VLOOKUP($B291,Pitchers!$A1:$S251,18,FALSE)</f>
        <v>0</v>
      </c>
      <c r="AR291" s="30">
        <f>VLOOKUP($B291,Pitchers!$A1:$S251,19,FALSE)</f>
        <v>0</v>
      </c>
    </row>
    <row r="292" spans="1:44" ht="18.600000000000001" customHeight="1">
      <c r="A292" s="24">
        <f ca="1">RANK(I292,I$2:I$651)</f>
        <v>281</v>
      </c>
      <c r="B292" s="25" t="s">
        <v>377</v>
      </c>
      <c r="C292" s="26" t="s">
        <v>87</v>
      </c>
      <c r="D292" s="26" t="s">
        <v>70</v>
      </c>
      <c r="E292" s="33" t="s">
        <v>15</v>
      </c>
      <c r="F292" s="34">
        <f ca="1">VLOOKUP(B292,'3B'!A1:I55,IF(Settings!$J$13="points",4,7),FALSE)</f>
        <v>22</v>
      </c>
      <c r="G292" s="29">
        <f>(M292*Settings!$B$2)+(N292*Settings!$B$3)+(O292*Settings!$B$4)+(P292*Settings!$B$5)+(Q292*Settings!$B$6)+(T292*Settings!$B$9)+(U292*Settings!$B$10)+(V292*Settings!$B$11)+(W292*Settings!$B$12)+(X292*Settings!$B$13)+(AA292*Settings!$B$16)</f>
        <v>305.08333333333348</v>
      </c>
      <c r="H292" s="30">
        <f>VLOOKUP(B292,'Standard Deviations'!$A1:$D651,4,FALSE)</f>
        <v>4.1709558978143768E-2</v>
      </c>
      <c r="I292" s="31">
        <f ca="1">IF(Settings!$J$15="no",VLOOKUP(B292,'3B'!A1:I55,IF(Settings!$J$13="points",6,9),FALSE),VLOOKUP(B292,'1B+3B'!$A1:$I104,IF(Settings!$J$13="points",6,9),FALSE))</f>
        <v>-0.68596894837967082</v>
      </c>
      <c r="J292" s="30"/>
      <c r="K292" s="30">
        <f ca="1">J292-A292</f>
        <v>-281</v>
      </c>
      <c r="L292" s="30"/>
      <c r="M292" s="30">
        <f>VLOOKUP($B292,Hitters!$A1:$R401,4,FALSE)</f>
        <v>444.6</v>
      </c>
      <c r="N292" s="30">
        <f>VLOOKUP($B292,Hitters!$A1:$R401,5,FALSE)</f>
        <v>49.3</v>
      </c>
      <c r="O292" s="30">
        <f>VLOOKUP($B292,Hitters!$A1:$R401,6,FALSE)</f>
        <v>19.866666666666699</v>
      </c>
      <c r="P292" s="30">
        <f>VLOOKUP($B292,Hitters!$A1:$R401,7,FALSE)</f>
        <v>62.133333333333297</v>
      </c>
      <c r="Q292" s="30">
        <f>VLOOKUP($B292,Hitters!$A1:$R401,8,FALSE)</f>
        <v>6.4</v>
      </c>
      <c r="R292" s="32">
        <f>VLOOKUP($B292,Hitters!$A1:$R401,9,FALSE)</f>
        <v>0.22739541160593801</v>
      </c>
      <c r="S292" s="32">
        <f>VLOOKUP($B292,Hitters!$A1:$R401,10,FALSE)</f>
        <v>0.26806662468849402</v>
      </c>
      <c r="T292" s="30">
        <f>VLOOKUP($B292,Hitters!$A1:$R401,11,FALSE)</f>
        <v>101.1</v>
      </c>
      <c r="U292" s="30">
        <f>VLOOKUP($B292,Hitters!$A1:$R401,12,FALSE)</f>
        <v>19.733333333333299</v>
      </c>
      <c r="V292" s="30">
        <f>VLOOKUP($B292,Hitters!$A1:$R401,13,FALSE)</f>
        <v>2.8666666666666698</v>
      </c>
      <c r="W292" s="30">
        <f>VLOOKUP($B292,Hitters!$A1:$R401,14,FALSE)</f>
        <v>26.3333333333333</v>
      </c>
      <c r="X292" s="30">
        <f>VLOOKUP($B292,Hitters!$A1:$R401,15,FALSE)</f>
        <v>148.23333333333301</v>
      </c>
      <c r="Y292" s="32">
        <f>VLOOKUP($B292,Hitters!$A1:$R401,16,FALSE)</f>
        <v>0.41872844504423501</v>
      </c>
      <c r="Z292" s="32">
        <f>VLOOKUP($B292,Hitters!$A1:$R401,17,FALSE)</f>
        <v>0.68679506973272897</v>
      </c>
      <c r="AA292" s="30">
        <f>VLOOKUP($B292,Hitters!$A1:$R401,18,FALSE)</f>
        <v>0</v>
      </c>
      <c r="AB292" s="30"/>
      <c r="AC292" s="30"/>
      <c r="AD292" s="32"/>
      <c r="AE292" s="32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</row>
    <row r="293" spans="1:44" ht="18.600000000000001" customHeight="1">
      <c r="A293" s="24">
        <f ca="1">RANK(I293,I$2:I$651)</f>
        <v>460</v>
      </c>
      <c r="B293" s="25" t="s">
        <v>556</v>
      </c>
      <c r="C293" s="26"/>
      <c r="D293" s="26" t="s">
        <v>70</v>
      </c>
      <c r="E293" s="37" t="s">
        <v>27</v>
      </c>
      <c r="F293" s="38">
        <f ca="1">VLOOKUP(B293,SS!A1:I45,IF(Settings!$J$13="points",4,7),FALSE)</f>
        <v>24</v>
      </c>
      <c r="G293" s="29">
        <f>(M293*Settings!$B$2)+(N293*Settings!$B$3)+(O293*Settings!$B$4)+(P293*Settings!$B$5)+(Q293*Settings!$B$6)+(T293*Settings!$B$9)+(U293*Settings!$B$10)+(V293*Settings!$B$11)+(W293*Settings!$B$12)+(X293*Settings!$B$13)+(AA293*Settings!$B$16)</f>
        <v>305.08333333333337</v>
      </c>
      <c r="H293" s="30">
        <f>VLOOKUP(B293,'Standard Deviations'!$A1:$D651,4,FALSE)</f>
        <v>-5.0191080011770896E-2</v>
      </c>
      <c r="I293" s="31">
        <f ca="1">IF(Settings!$J$16="no",VLOOKUP(B293,SS!A1:I45,IF(Settings!$J$13="points",6,9),FALSE),VLOOKUP(B293,'2B+SS'!$A1:$I94,IF(Settings!$J$13="points",6,9),FALSE))</f>
        <v>-3.0546156677345384</v>
      </c>
      <c r="J293" s="30"/>
      <c r="K293" s="30">
        <f ca="1">J293-A293</f>
        <v>-460</v>
      </c>
      <c r="L293" s="30"/>
      <c r="M293" s="30">
        <f>VLOOKUP($B293,Hitters!$A1:$R401,4,FALSE)</f>
        <v>426.66666666666703</v>
      </c>
      <c r="N293" s="30">
        <f>VLOOKUP($B293,Hitters!$A1:$R401,5,FALSE)</f>
        <v>52.033333333333303</v>
      </c>
      <c r="O293" s="30">
        <f>VLOOKUP($B293,Hitters!$A1:$R401,6,FALSE)</f>
        <v>9.6</v>
      </c>
      <c r="P293" s="30">
        <f>VLOOKUP($B293,Hitters!$A1:$R401,7,FALSE)</f>
        <v>43.866666666666703</v>
      </c>
      <c r="Q293" s="30">
        <f>VLOOKUP($B293,Hitters!$A1:$R401,8,FALSE)</f>
        <v>12.0666666666667</v>
      </c>
      <c r="R293" s="32">
        <f>VLOOKUP($B293,Hitters!$A1:$R401,9,FALSE)</f>
        <v>0.249140625</v>
      </c>
      <c r="S293" s="32">
        <f>VLOOKUP($B293,Hitters!$A1:$R401,10,FALSE)</f>
        <v>0.29407074514352</v>
      </c>
      <c r="T293" s="30">
        <f>VLOOKUP($B293,Hitters!$A1:$R401,11,FALSE)</f>
        <v>106.3</v>
      </c>
      <c r="U293" s="30">
        <f>VLOOKUP($B293,Hitters!$A1:$R401,12,FALSE)</f>
        <v>22.8</v>
      </c>
      <c r="V293" s="30">
        <f>VLOOKUP($B293,Hitters!$A1:$R401,13,FALSE)</f>
        <v>0.86666666666666703</v>
      </c>
      <c r="W293" s="30">
        <f>VLOOKUP($B293,Hitters!$A1:$R401,14,FALSE)</f>
        <v>28.933333333333302</v>
      </c>
      <c r="X293" s="30">
        <f>VLOOKUP($B293,Hitters!$A1:$R401,15,FALSE)</f>
        <v>73.566666666666706</v>
      </c>
      <c r="Y293" s="32">
        <f>VLOOKUP($B293,Hitters!$A1:$R401,16,FALSE)</f>
        <v>0.374140625</v>
      </c>
      <c r="Z293" s="32">
        <f>VLOOKUP($B293,Hitters!$A1:$R401,17,FALSE)</f>
        <v>0.66821137014351994</v>
      </c>
      <c r="AA293" s="30">
        <f>VLOOKUP($B293,Hitters!$A1:$R401,18,FALSE)</f>
        <v>0</v>
      </c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</row>
    <row r="294" spans="1:44" ht="18.600000000000001" customHeight="1">
      <c r="A294" s="24">
        <f ca="1">RANK(I294,I$2:I$651)</f>
        <v>352</v>
      </c>
      <c r="B294" s="25" t="s">
        <v>453</v>
      </c>
      <c r="C294" s="26" t="s">
        <v>101</v>
      </c>
      <c r="D294" s="26" t="s">
        <v>70</v>
      </c>
      <c r="E294" s="35" t="s">
        <v>31</v>
      </c>
      <c r="F294" s="36">
        <f ca="1">VLOOKUP(B294,SP!A1:I161,IF(Settings!$J$13="points",4,7),FALSE)</f>
        <v>105</v>
      </c>
      <c r="G294" s="29">
        <f>(AC294*Settings!$F$2)+(AF294*Settings!$F$5)+(AG294*Settings!$F$6)+(AH294*Settings!$F$7)+(AI294*Settings!$F$8)+(AJ294*Settings!$F$9)+(AK294*Settings!$F$10)+(AL294*Settings!$F$11)+(AM294*Settings!$F$12)+(AN294*Settings!$F$13)+(AO294*Settings!$F$14)+(AP294*Settings!$F$15)+(AQ294*Settings!$F$16)+(AR294*Settings!$F$17)</f>
        <v>303.70066666666662</v>
      </c>
      <c r="H294" s="30">
        <f>VLOOKUP(B294,'Standard Deviations'!$A1:$D651,4,FALSE)</f>
        <v>-1.7658187317615557</v>
      </c>
      <c r="I294" s="31">
        <f ca="1">IF(Settings!$J$16="no",VLOOKUP(B294,SP!A1:I161,IF(Settings!$J$13="points",6,9),FALSE),VLOOKUP(B294,'SP+RP'!$A1:$I251,IF(Settings!$J$13="points",6,9),FALSE))</f>
        <v>-1.9018021750415102</v>
      </c>
      <c r="J294" s="30"/>
      <c r="K294" s="30">
        <f ca="1">J294-A294</f>
        <v>-352</v>
      </c>
      <c r="L294" s="30"/>
      <c r="M294" s="30"/>
      <c r="N294" s="30"/>
      <c r="O294" s="30"/>
      <c r="P294" s="30"/>
      <c r="Q294" s="30"/>
      <c r="R294" s="32"/>
      <c r="S294" s="32"/>
      <c r="T294" s="30"/>
      <c r="U294" s="30"/>
      <c r="V294" s="30"/>
      <c r="W294" s="30"/>
      <c r="X294" s="30"/>
      <c r="Y294" s="32"/>
      <c r="Z294" s="32"/>
      <c r="AA294" s="30"/>
      <c r="AB294" s="30"/>
      <c r="AC294" s="30">
        <f>VLOOKUP($B294,Pitchers!$A1:$S251,4,FALSE)</f>
        <v>164.70000000000002</v>
      </c>
      <c r="AD294" s="32">
        <f>VLOOKUP($B294,Pitchers!$A1:$S251,5,FALSE)</f>
        <v>4.428925318761384</v>
      </c>
      <c r="AE294" s="32">
        <f>VLOOKUP($B294,Pitchers!$A1:$S251,6,FALSE)</f>
        <v>1.2760574782432703</v>
      </c>
      <c r="AF294" s="30">
        <f>VLOOKUP($B294,Pitchers!$A1:$S251,7,FALSE)</f>
        <v>115.5</v>
      </c>
      <c r="AG294" s="30">
        <f>VLOOKUP($B294,Pitchers!$A1:$S251,8,FALSE)</f>
        <v>8.7000000000000011</v>
      </c>
      <c r="AH294" s="30">
        <f>VLOOKUP($B294,Pitchers!$A1:$S251,9,FALSE)</f>
        <v>0</v>
      </c>
      <c r="AI294" s="30">
        <f>VLOOKUP($B294,Pitchers!$A1:$S251,10,FALSE)</f>
        <v>81.049333333333337</v>
      </c>
      <c r="AJ294" s="30">
        <f>VLOOKUP($B294,Pitchers!$A1:$S251,11,FALSE)</f>
        <v>173</v>
      </c>
      <c r="AK294" s="30">
        <f>VLOOKUP($B294,Pitchers!$A1:$S251,12,FALSE)</f>
        <v>37.166666666666664</v>
      </c>
      <c r="AL294" s="30">
        <f>VLOOKUP($B294,Pitchers!$A1:$S251,13,FALSE)</f>
        <v>27</v>
      </c>
      <c r="AM294" s="30">
        <f>VLOOKUP($B294,Pitchers!$A1:$S251,14,FALSE)</f>
        <v>29.266666666666666</v>
      </c>
      <c r="AN294" s="30">
        <f>VLOOKUP($B294,Pitchers!$A1:$S251,15,FALSE)</f>
        <v>28.599999999999998</v>
      </c>
      <c r="AO294" s="30">
        <f>VLOOKUP($B294,Pitchers!$A1:$S251,16,FALSE)</f>
        <v>11.366666666666667</v>
      </c>
      <c r="AP294" s="30">
        <f>VLOOKUP($B294,Pitchers!$A1:$S251,17,FALSE)</f>
        <v>13</v>
      </c>
      <c r="AQ294" s="30">
        <f>VLOOKUP($B294,Pitchers!$A1:$S251,18,FALSE)</f>
        <v>0</v>
      </c>
      <c r="AR294" s="30">
        <f>VLOOKUP($B294,Pitchers!$A1:$S251,19,FALSE)</f>
        <v>0</v>
      </c>
    </row>
    <row r="295" spans="1:44" ht="18.600000000000001" customHeight="1">
      <c r="A295" s="24">
        <f ca="1">RANK(I295,I$2:I$651)</f>
        <v>226</v>
      </c>
      <c r="B295" s="25" t="s">
        <v>324</v>
      </c>
      <c r="C295" s="26" t="s">
        <v>77</v>
      </c>
      <c r="D295" s="26" t="s">
        <v>70</v>
      </c>
      <c r="E295" s="27" t="s">
        <v>23</v>
      </c>
      <c r="F295" s="28">
        <f ca="1">VLOOKUP(B295,OF!A1:I139,IF(Settings!$J$13="points",4,7),FALSE)</f>
        <v>66</v>
      </c>
      <c r="G295" s="29">
        <f>(M295*Settings!$B$2)+(N295*Settings!$B$3)+(O295*Settings!$B$4)+(P295*Settings!$B$5)+(Q295*Settings!$B$6)+(T295*Settings!$B$9)+(U295*Settings!$B$10)+(V295*Settings!$B$11)+(W295*Settings!$B$12)+(X295*Settings!$B$13)+(AA295*Settings!$B$16)</f>
        <v>303.11666666666656</v>
      </c>
      <c r="H295" s="30">
        <f>VLOOKUP(B295,'Standard Deviations'!$A1:$D651,4,FALSE)</f>
        <v>0.25693206456951423</v>
      </c>
      <c r="I295" s="31">
        <f ca="1">VLOOKUP(B295,OF!A1:I139,IF(Settings!$J$13="points",6,9),FALSE)</f>
        <v>0.13821920953825018</v>
      </c>
      <c r="J295" s="30"/>
      <c r="K295" s="30">
        <f ca="1">J295-A295</f>
        <v>-226</v>
      </c>
      <c r="L295" s="30"/>
      <c r="M295" s="30">
        <f>VLOOKUP($B295,Hitters!$A1:$R401,4,FALSE)</f>
        <v>437.66666666666703</v>
      </c>
      <c r="N295" s="30">
        <f>VLOOKUP($B295,Hitters!$A1:$R401,5,FALSE)</f>
        <v>57.066666666666698</v>
      </c>
      <c r="O295" s="30">
        <f>VLOOKUP($B295,Hitters!$A1:$R401,6,FALSE)</f>
        <v>1.7666666666666699</v>
      </c>
      <c r="P295" s="30">
        <f>VLOOKUP($B295,Hitters!$A1:$R401,7,FALSE)</f>
        <v>34.966666666666697</v>
      </c>
      <c r="Q295" s="30">
        <f>VLOOKUP($B295,Hitters!$A1:$R401,8,FALSE)</f>
        <v>21.766666666666701</v>
      </c>
      <c r="R295" s="32">
        <f>VLOOKUP($B295,Hitters!$A1:$R401,9,FALSE)</f>
        <v>0.24935262757044899</v>
      </c>
      <c r="S295" s="32">
        <f>VLOOKUP($B295,Hitters!$A1:$R401,10,FALSE)</f>
        <v>0.31800768899845</v>
      </c>
      <c r="T295" s="30">
        <f>VLOOKUP($B295,Hitters!$A1:$R401,11,FALSE)</f>
        <v>109.133333333333</v>
      </c>
      <c r="U295" s="30">
        <f>VLOOKUP($B295,Hitters!$A1:$R401,12,FALSE)</f>
        <v>20.466666666666701</v>
      </c>
      <c r="V295" s="30">
        <f>VLOOKUP($B295,Hitters!$A1:$R401,13,FALSE)</f>
        <v>1.86666666666667</v>
      </c>
      <c r="W295" s="30">
        <f>VLOOKUP($B295,Hitters!$A1:$R401,14,FALSE)</f>
        <v>46.1</v>
      </c>
      <c r="X295" s="30">
        <f>VLOOKUP($B295,Hitters!$A1:$R401,15,FALSE)</f>
        <v>82.566666666666706</v>
      </c>
      <c r="Y295" s="32">
        <f>VLOOKUP($B295,Hitters!$A1:$R401,16,FALSE)</f>
        <v>0.31675552170601701</v>
      </c>
      <c r="Z295" s="32">
        <f>VLOOKUP($B295,Hitters!$A1:$R401,17,FALSE)</f>
        <v>0.63476321070446695</v>
      </c>
      <c r="AA295" s="30">
        <f>VLOOKUP($B295,Hitters!$A1:$R401,18,FALSE)</f>
        <v>0</v>
      </c>
      <c r="AB295" s="30"/>
      <c r="AC295" s="30"/>
      <c r="AD295" s="32"/>
      <c r="AE295" s="32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</row>
    <row r="296" spans="1:44" ht="18.600000000000001" customHeight="1">
      <c r="A296" s="24">
        <f ca="1">RANK(I296,I$2:I$651)</f>
        <v>513</v>
      </c>
      <c r="B296" s="25" t="s">
        <v>610</v>
      </c>
      <c r="C296" s="26" t="s">
        <v>225</v>
      </c>
      <c r="D296" s="26" t="s">
        <v>75</v>
      </c>
      <c r="E296" s="39" t="s">
        <v>7</v>
      </c>
      <c r="F296" s="40">
        <f ca="1">VLOOKUP(B296,'1B'!A1:I63,IF(Settings!$J$13="points",4,7),FALSE)</f>
        <v>38</v>
      </c>
      <c r="G296" s="29">
        <f>(M296*Settings!$B$2)+(N296*Settings!$B$3)+(O296*Settings!$B$4)+(P296*Settings!$B$5)+(Q296*Settings!$B$6)+(T296*Settings!$B$9)+(U296*Settings!$B$10)+(V296*Settings!$B$11)+(W296*Settings!$B$12)+(X296*Settings!$B$13)+(AA296*Settings!$B$16)</f>
        <v>302.06666666666683</v>
      </c>
      <c r="H296" s="30">
        <f>VLOOKUP(B296,'Standard Deviations'!$A1:$D651,4,FALSE)</f>
        <v>-1.1760914728567813</v>
      </c>
      <c r="I296" s="31">
        <f ca="1">IF(Settings!$J$15="no",VLOOKUP(B296,'1B'!A1:I63,IF(Settings!$J$13="points",6,9),FALSE),VLOOKUP(B296,'1B+3B'!$A1:$I104,IF(Settings!$J$13="points",6,9),FALSE))</f>
        <v>-3.7556206812393897</v>
      </c>
      <c r="J296" s="30"/>
      <c r="K296" s="30">
        <f ca="1">J296-A296</f>
        <v>-513</v>
      </c>
      <c r="L296" s="30"/>
      <c r="M296" s="30">
        <f>VLOOKUP($B296,Hitters!$A1:$R401,4,FALSE)</f>
        <v>370.66666666666703</v>
      </c>
      <c r="N296" s="30">
        <f>VLOOKUP($B296,Hitters!$A1:$R401,5,FALSE)</f>
        <v>50.466666666666697</v>
      </c>
      <c r="O296" s="30">
        <f>VLOOKUP($B296,Hitters!$A1:$R401,6,FALSE)</f>
        <v>17.2</v>
      </c>
      <c r="P296" s="30">
        <f>VLOOKUP($B296,Hitters!$A1:$R401,7,FALSE)</f>
        <v>55.4</v>
      </c>
      <c r="Q296" s="30">
        <f>VLOOKUP($B296,Hitters!$A1:$R401,8,FALSE)</f>
        <v>0.63333333333333297</v>
      </c>
      <c r="R296" s="32">
        <f>VLOOKUP($B296,Hitters!$A1:$R401,9,FALSE)</f>
        <v>0.23237410071942399</v>
      </c>
      <c r="S296" s="32">
        <f>VLOOKUP($B296,Hitters!$A1:$R401,10,FALSE)</f>
        <v>0.325607150099047</v>
      </c>
      <c r="T296" s="30">
        <f>VLOOKUP($B296,Hitters!$A1:$R401,11,FALSE)</f>
        <v>86.133333333333297</v>
      </c>
      <c r="U296" s="30">
        <f>VLOOKUP($B296,Hitters!$A1:$R401,12,FALSE)</f>
        <v>18.066666666666698</v>
      </c>
      <c r="V296" s="30">
        <f>VLOOKUP($B296,Hitters!$A1:$R401,13,FALSE)</f>
        <v>1.4</v>
      </c>
      <c r="W296" s="30">
        <f>VLOOKUP($B296,Hitters!$A1:$R401,14,FALSE)</f>
        <v>53.033333333333303</v>
      </c>
      <c r="X296" s="30">
        <f>VLOOKUP($B296,Hitters!$A1:$R401,15,FALSE)</f>
        <v>106.73333333333299</v>
      </c>
      <c r="Y296" s="32">
        <f>VLOOKUP($B296,Hitters!$A1:$R401,16,FALSE)</f>
        <v>0.42787769784172702</v>
      </c>
      <c r="Z296" s="32">
        <f>VLOOKUP($B296,Hitters!$A1:$R401,17,FALSE)</f>
        <v>0.75348484794077397</v>
      </c>
      <c r="AA296" s="30">
        <f>VLOOKUP($B296,Hitters!$A1:$R401,18,FALSE)</f>
        <v>0</v>
      </c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</row>
    <row r="297" spans="1:44" ht="18.600000000000001" customHeight="1">
      <c r="A297" s="24">
        <f ca="1">RANK(I297,I$2:I$651)</f>
        <v>251</v>
      </c>
      <c r="B297" s="25" t="s">
        <v>349</v>
      </c>
      <c r="C297" s="26" t="s">
        <v>219</v>
      </c>
      <c r="D297" s="26" t="s">
        <v>75</v>
      </c>
      <c r="E297" s="35" t="s">
        <v>31</v>
      </c>
      <c r="F297" s="36">
        <f ca="1">VLOOKUP(B297,SP!A1:I161,IF(Settings!$J$13="points",4,7),FALSE)</f>
        <v>73</v>
      </c>
      <c r="G297" s="29">
        <f>(AC297*Settings!$F$2)+(AF297*Settings!$F$5)+(AG297*Settings!$F$6)+(AH297*Settings!$F$7)+(AI297*Settings!$F$8)+(AJ297*Settings!$F$9)+(AK297*Settings!$F$10)+(AL297*Settings!$F$11)+(AM297*Settings!$F$12)+(AN297*Settings!$F$13)+(AO297*Settings!$F$14)+(AP297*Settings!$F$15)+(AQ297*Settings!$F$16)+(AR297*Settings!$F$17)</f>
        <v>300.00333333333339</v>
      </c>
      <c r="H297" s="30">
        <f>VLOOKUP(B297,'Standard Deviations'!$A1:$D651,4,FALSE)</f>
        <v>-1.8940111080118061E-2</v>
      </c>
      <c r="I297" s="31">
        <f ca="1">IF(Settings!$J$16="no",VLOOKUP(B297,SP!A1:I161,IF(Settings!$J$13="points",6,9),FALSE),VLOOKUP(B297,'SP+RP'!$A1:$I251,IF(Settings!$J$13="points",6,9),FALSE))</f>
        <v>-0.15492563420139982</v>
      </c>
      <c r="J297" s="30"/>
      <c r="K297" s="30">
        <f ca="1">J297-A297</f>
        <v>-251</v>
      </c>
      <c r="L297" s="30"/>
      <c r="M297" s="30"/>
      <c r="N297" s="30"/>
      <c r="O297" s="30"/>
      <c r="P297" s="30"/>
      <c r="Q297" s="30"/>
      <c r="R297" s="32"/>
      <c r="S297" s="32"/>
      <c r="T297" s="30"/>
      <c r="U297" s="30"/>
      <c r="V297" s="30"/>
      <c r="W297" s="30"/>
      <c r="X297" s="30"/>
      <c r="Y297" s="32"/>
      <c r="Z297" s="32"/>
      <c r="AA297" s="30"/>
      <c r="AB297" s="30"/>
      <c r="AC297" s="30">
        <f>VLOOKUP($B297,Pitchers!$A1:$S251,4,FALSE)</f>
        <v>138.53333333333333</v>
      </c>
      <c r="AD297" s="32">
        <f>VLOOKUP($B297,Pitchers!$A1:$S251,5,FALSE)</f>
        <v>3.958397497593841</v>
      </c>
      <c r="AE297" s="32">
        <f>VLOOKUP($B297,Pitchers!$A1:$S251,6,FALSE)</f>
        <v>1.1638594802694899</v>
      </c>
      <c r="AF297" s="30">
        <f>VLOOKUP($B297,Pitchers!$A1:$S251,7,FALSE)</f>
        <v>114</v>
      </c>
      <c r="AG297" s="30">
        <f>VLOOKUP($B297,Pitchers!$A1:$S251,8,FALSE)</f>
        <v>7.7</v>
      </c>
      <c r="AH297" s="30">
        <f>VLOOKUP($B297,Pitchers!$A1:$S251,9,FALSE)</f>
        <v>0.33333333333333331</v>
      </c>
      <c r="AI297" s="30">
        <f>VLOOKUP($B297,Pitchers!$A1:$S251,10,FALSE)</f>
        <v>60.930000000000007</v>
      </c>
      <c r="AJ297" s="30">
        <f>VLOOKUP($B297,Pitchers!$A1:$S251,11,FALSE)</f>
        <v>130.20000000000002</v>
      </c>
      <c r="AK297" s="30">
        <f>VLOOKUP($B297,Pitchers!$A1:$S251,12,FALSE)</f>
        <v>31.033333333333331</v>
      </c>
      <c r="AL297" s="30">
        <f>VLOOKUP($B297,Pitchers!$A1:$S251,13,FALSE)</f>
        <v>20</v>
      </c>
      <c r="AM297" s="30">
        <f>VLOOKUP($B297,Pitchers!$A1:$S251,14,FALSE)</f>
        <v>29.733333333333334</v>
      </c>
      <c r="AN297" s="30">
        <f>VLOOKUP($B297,Pitchers!$A1:$S251,15,FALSE)</f>
        <v>24.733333333333334</v>
      </c>
      <c r="AO297" s="30">
        <f>VLOOKUP($B297,Pitchers!$A1:$S251,16,FALSE)</f>
        <v>7.333333333333333</v>
      </c>
      <c r="AP297" s="30">
        <f>VLOOKUP($B297,Pitchers!$A1:$S251,17,FALSE)</f>
        <v>10</v>
      </c>
      <c r="AQ297" s="30">
        <f>VLOOKUP($B297,Pitchers!$A1:$S251,18,FALSE)</f>
        <v>0</v>
      </c>
      <c r="AR297" s="30">
        <f>VLOOKUP($B297,Pitchers!$A1:$S251,19,FALSE)</f>
        <v>0</v>
      </c>
    </row>
    <row r="298" spans="1:44" ht="18.600000000000001" customHeight="1">
      <c r="A298" s="24">
        <f ca="1">RANK(I298,I$2:I$651)</f>
        <v>222</v>
      </c>
      <c r="B298" s="25" t="s">
        <v>320</v>
      </c>
      <c r="C298" s="26" t="s">
        <v>136</v>
      </c>
      <c r="D298" s="26" t="s">
        <v>75</v>
      </c>
      <c r="E298" s="27" t="s">
        <v>23</v>
      </c>
      <c r="F298" s="28">
        <f ca="1">VLOOKUP(B298,OF!A1:I139,IF(Settings!$J$13="points",4,7),FALSE)</f>
        <v>65</v>
      </c>
      <c r="G298" s="29">
        <f>(M298*Settings!$B$2)+(N298*Settings!$B$3)+(O298*Settings!$B$4)+(P298*Settings!$B$5)+(Q298*Settings!$B$6)+(T298*Settings!$B$9)+(U298*Settings!$B$10)+(V298*Settings!$B$11)+(W298*Settings!$B$12)+(X298*Settings!$B$13)+(AA298*Settings!$B$16)</f>
        <v>299.72500000000008</v>
      </c>
      <c r="H298" s="30">
        <f>VLOOKUP(B298,'Standard Deviations'!$A1:$D651,4,FALSE)</f>
        <v>0.30969678429997638</v>
      </c>
      <c r="I298" s="31">
        <f ca="1">VLOOKUP(B298,OF!A1:I139,IF(Settings!$J$13="points",6,9),FALSE)</f>
        <v>0.19098232330186077</v>
      </c>
      <c r="J298" s="30"/>
      <c r="K298" s="30">
        <f ca="1">J298-A298</f>
        <v>-222</v>
      </c>
      <c r="L298" s="30"/>
      <c r="M298" s="30">
        <f>VLOOKUP($B298,Hitters!$A1:$R401,4,FALSE)</f>
        <v>421</v>
      </c>
      <c r="N298" s="30">
        <f>VLOOKUP($B298,Hitters!$A1:$R401,5,FALSE)</f>
        <v>50.7</v>
      </c>
      <c r="O298" s="30">
        <f>VLOOKUP($B298,Hitters!$A1:$R401,6,FALSE)</f>
        <v>14.5</v>
      </c>
      <c r="P298" s="30">
        <f>VLOOKUP($B298,Hitters!$A1:$R401,7,FALSE)</f>
        <v>53.85</v>
      </c>
      <c r="Q298" s="30">
        <f>VLOOKUP($B298,Hitters!$A1:$R401,8,FALSE)</f>
        <v>4.05</v>
      </c>
      <c r="R298" s="32">
        <f>VLOOKUP($B298,Hitters!$A1:$R401,9,FALSE)</f>
        <v>0.260451306413302</v>
      </c>
      <c r="S298" s="32">
        <f>VLOOKUP($B298,Hitters!$A1:$R401,10,FALSE)</f>
        <v>0.305025767519711</v>
      </c>
      <c r="T298" s="30">
        <f>VLOOKUP($B298,Hitters!$A1:$R401,11,FALSE)</f>
        <v>109.65</v>
      </c>
      <c r="U298" s="30">
        <f>VLOOKUP($B298,Hitters!$A1:$R401,12,FALSE)</f>
        <v>21.55</v>
      </c>
      <c r="V298" s="30">
        <f>VLOOKUP($B298,Hitters!$A1:$R401,13,FALSE)</f>
        <v>1</v>
      </c>
      <c r="W298" s="30">
        <f>VLOOKUP($B298,Hitters!$A1:$R401,14,FALSE)</f>
        <v>28.85</v>
      </c>
      <c r="X298" s="30">
        <f>VLOOKUP($B298,Hitters!$A1:$R401,15,FALSE)</f>
        <v>111.05</v>
      </c>
      <c r="Y298" s="32">
        <f>VLOOKUP($B298,Hitters!$A1:$R401,16,FALSE)</f>
        <v>0.41971496437054601</v>
      </c>
      <c r="Z298" s="32">
        <f>VLOOKUP($B298,Hitters!$A1:$R401,17,FALSE)</f>
        <v>0.72474073189025701</v>
      </c>
      <c r="AA298" s="30">
        <f>VLOOKUP($B298,Hitters!$A1:$R401,18,FALSE)</f>
        <v>0</v>
      </c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</row>
    <row r="299" spans="1:44" ht="18.600000000000001" customHeight="1">
      <c r="A299" s="24">
        <f ca="1">RANK(I299,I$2:I$651)</f>
        <v>353</v>
      </c>
      <c r="B299" s="25" t="s">
        <v>450</v>
      </c>
      <c r="C299" s="26" t="s">
        <v>69</v>
      </c>
      <c r="D299" s="26" t="s">
        <v>70</v>
      </c>
      <c r="E299" s="33" t="s">
        <v>15</v>
      </c>
      <c r="F299" s="34">
        <f ca="1">VLOOKUP(B299,'3B'!A1:I55,IF(Settings!$J$13="points",4,7),FALSE)</f>
        <v>28</v>
      </c>
      <c r="G299" s="29">
        <f>(M299*Settings!$B$2)+(N299*Settings!$B$3)+(O299*Settings!$B$4)+(P299*Settings!$B$5)+(Q299*Settings!$B$6)+(T299*Settings!$B$9)+(U299*Settings!$B$10)+(V299*Settings!$B$11)+(W299*Settings!$B$12)+(X299*Settings!$B$13)+(AA299*Settings!$B$16)</f>
        <v>299.23333333333329</v>
      </c>
      <c r="H299" s="30">
        <f>VLOOKUP(B299,'Standard Deviations'!$A1:$D651,4,FALSE)</f>
        <v>-1.1749506231925486</v>
      </c>
      <c r="I299" s="31">
        <f ca="1">IF(Settings!$J$15="no",VLOOKUP(B299,'3B'!A1:I55,IF(Settings!$J$13="points",6,9),FALSE),VLOOKUP(B299,'1B+3B'!$A1:$I104,IF(Settings!$J$13="points",6,9),FALSE))</f>
        <v>-1.9026337800909174</v>
      </c>
      <c r="J299" s="30"/>
      <c r="K299" s="30">
        <f ca="1">J299-A299</f>
        <v>-353</v>
      </c>
      <c r="L299" s="30"/>
      <c r="M299" s="30">
        <f>VLOOKUP($B299,Hitters!$A1:$R401,4,FALSE)</f>
        <v>390.66666666666703</v>
      </c>
      <c r="N299" s="30">
        <f>VLOOKUP($B299,Hitters!$A1:$R401,5,FALSE)</f>
        <v>53.1</v>
      </c>
      <c r="O299" s="30">
        <f>VLOOKUP($B299,Hitters!$A1:$R401,6,FALSE)</f>
        <v>16.233333333333299</v>
      </c>
      <c r="P299" s="30">
        <f>VLOOKUP($B299,Hitters!$A1:$R401,7,FALSE)</f>
        <v>55.066666666666698</v>
      </c>
      <c r="Q299" s="30">
        <f>VLOOKUP($B299,Hitters!$A1:$R401,8,FALSE)</f>
        <v>1.2333333333333301</v>
      </c>
      <c r="R299" s="32">
        <f>VLOOKUP($B299,Hitters!$A1:$R401,9,FALSE)</f>
        <v>0.230887372013652</v>
      </c>
      <c r="S299" s="32">
        <f>VLOOKUP($B299,Hitters!$A1:$R401,10,FALSE)</f>
        <v>0.316383673224927</v>
      </c>
      <c r="T299" s="30">
        <f>VLOOKUP($B299,Hitters!$A1:$R401,11,FALSE)</f>
        <v>90.2</v>
      </c>
      <c r="U299" s="30">
        <f>VLOOKUP($B299,Hitters!$A1:$R401,12,FALSE)</f>
        <v>19.533333333333299</v>
      </c>
      <c r="V299" s="30">
        <f>VLOOKUP($B299,Hitters!$A1:$R401,13,FALSE)</f>
        <v>0.133333333333333</v>
      </c>
      <c r="W299" s="30">
        <f>VLOOKUP($B299,Hitters!$A1:$R401,14,FALSE)</f>
        <v>50.6666666666667</v>
      </c>
      <c r="X299" s="30">
        <f>VLOOKUP($B299,Hitters!$A1:$R401,15,FALSE)</f>
        <v>113.333333333333</v>
      </c>
      <c r="Y299" s="32">
        <f>VLOOKUP($B299,Hitters!$A1:$R401,16,FALSE)</f>
        <v>0.40622866894198001</v>
      </c>
      <c r="Z299" s="32">
        <f>VLOOKUP($B299,Hitters!$A1:$R401,17,FALSE)</f>
        <v>0.72261234216690695</v>
      </c>
      <c r="AA299" s="30">
        <f>VLOOKUP($B299,Hitters!$A1:$R401,18,FALSE)</f>
        <v>0</v>
      </c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</row>
    <row r="300" spans="1:44" ht="18.600000000000001" customHeight="1">
      <c r="A300" s="24">
        <f ca="1">RANK(I300,I$2:I$651)</f>
        <v>262</v>
      </c>
      <c r="B300" s="25" t="s">
        <v>360</v>
      </c>
      <c r="C300" s="26" t="s">
        <v>82</v>
      </c>
      <c r="D300" s="26" t="s">
        <v>75</v>
      </c>
      <c r="E300" s="27" t="s">
        <v>23</v>
      </c>
      <c r="F300" s="28">
        <f ca="1">VLOOKUP(B300,OF!A1:I139,IF(Settings!$J$13="points",4,7),FALSE)</f>
        <v>72</v>
      </c>
      <c r="G300" s="29">
        <f>(M300*Settings!$B$2)+(N300*Settings!$B$3)+(O300*Settings!$B$4)+(P300*Settings!$B$5)+(Q300*Settings!$B$6)+(T300*Settings!$B$9)+(U300*Settings!$B$10)+(V300*Settings!$B$11)+(W300*Settings!$B$12)+(X300*Settings!$B$13)+(AA300*Settings!$B$16)</f>
        <v>298.16666666666669</v>
      </c>
      <c r="H300" s="30">
        <f>VLOOKUP(B300,'Standard Deviations'!$A1:$D651,4,FALSE)</f>
        <v>-0.17168562770674423</v>
      </c>
      <c r="I300" s="31">
        <f ca="1">VLOOKUP(B300,OF!A1:I139,IF(Settings!$J$13="points",6,9),FALSE)</f>
        <v>-0.29039694979866687</v>
      </c>
      <c r="J300" s="30"/>
      <c r="K300" s="30">
        <f ca="1">J300-A300</f>
        <v>-262</v>
      </c>
      <c r="L300" s="30"/>
      <c r="M300" s="30">
        <f>VLOOKUP($B300,Hitters!$A1:$R401,4,FALSE)</f>
        <v>373</v>
      </c>
      <c r="N300" s="30">
        <f>VLOOKUP($B300,Hitters!$A1:$R401,5,FALSE)</f>
        <v>54.633333333333297</v>
      </c>
      <c r="O300" s="30">
        <f>VLOOKUP($B300,Hitters!$A1:$R401,6,FALSE)</f>
        <v>20.366666666666699</v>
      </c>
      <c r="P300" s="30">
        <f>VLOOKUP($B300,Hitters!$A1:$R401,7,FALSE)</f>
        <v>57.6666666666667</v>
      </c>
      <c r="Q300" s="30">
        <f>VLOOKUP($B300,Hitters!$A1:$R401,8,FALSE)</f>
        <v>6.8333333333333304</v>
      </c>
      <c r="R300" s="32">
        <f>VLOOKUP($B300,Hitters!$A1:$R401,9,FALSE)</f>
        <v>0.219660411081323</v>
      </c>
      <c r="S300" s="32">
        <f>VLOOKUP($B300,Hitters!$A1:$R401,10,FALSE)</f>
        <v>0.29631044168079002</v>
      </c>
      <c r="T300" s="30">
        <f>VLOOKUP($B300,Hitters!$A1:$R401,11,FALSE)</f>
        <v>81.933333333333294</v>
      </c>
      <c r="U300" s="30">
        <f>VLOOKUP($B300,Hitters!$A1:$R401,12,FALSE)</f>
        <v>17.899999999999999</v>
      </c>
      <c r="V300" s="30">
        <f>VLOOKUP($B300,Hitters!$A1:$R401,13,FALSE)</f>
        <v>1.0333333333333301</v>
      </c>
      <c r="W300" s="30">
        <f>VLOOKUP($B300,Hitters!$A1:$R401,14,FALSE)</f>
        <v>42.2</v>
      </c>
      <c r="X300" s="30">
        <f>VLOOKUP($B300,Hitters!$A1:$R401,15,FALSE)</f>
        <v>144.6</v>
      </c>
      <c r="Y300" s="32">
        <f>VLOOKUP($B300,Hitters!$A1:$R401,16,FALSE)</f>
        <v>0.436997319034853</v>
      </c>
      <c r="Z300" s="32">
        <f>VLOOKUP($B300,Hitters!$A1:$R401,17,FALSE)</f>
        <v>0.73330776071564197</v>
      </c>
      <c r="AA300" s="30">
        <f>VLOOKUP($B300,Hitters!$A1:$R401,18,FALSE)</f>
        <v>0</v>
      </c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</row>
    <row r="301" spans="1:44" ht="18.600000000000001" customHeight="1">
      <c r="A301" s="24">
        <f ca="1">RANK(I301,I$2:I$651)</f>
        <v>255</v>
      </c>
      <c r="B301" s="25" t="s">
        <v>354</v>
      </c>
      <c r="C301" s="26" t="s">
        <v>77</v>
      </c>
      <c r="D301" s="26" t="s">
        <v>70</v>
      </c>
      <c r="E301" s="35" t="s">
        <v>31</v>
      </c>
      <c r="F301" s="36">
        <f ca="1">VLOOKUP(B301,SP!A1:I161,IF(Settings!$J$13="points",4,7),FALSE)</f>
        <v>76</v>
      </c>
      <c r="G301" s="29">
        <f>(AC301*Settings!$F$2)+(AF301*Settings!$F$5)+(AG301*Settings!$F$6)+(AH301*Settings!$F$7)+(AI301*Settings!$F$8)+(AJ301*Settings!$F$9)+(AK301*Settings!$F$10)+(AL301*Settings!$F$11)+(AM301*Settings!$F$12)+(AN301*Settings!$F$13)+(AO301*Settings!$F$14)+(AP301*Settings!$F$15)+(AQ301*Settings!$F$16)+(AR301*Settings!$F$17)</f>
        <v>297.66333333333324</v>
      </c>
      <c r="H301" s="30">
        <f>VLOOKUP(B301,'Standard Deviations'!$A1:$D651,4,FALSE)</f>
        <v>-5.1168235703911991E-2</v>
      </c>
      <c r="I301" s="31">
        <f ca="1">IF(Settings!$J$16="no",VLOOKUP(B301,SP!A1:I161,IF(Settings!$J$13="points",6,9),FALSE),VLOOKUP(B301,'SP+RP'!$A1:$I251,IF(Settings!$J$13="points",6,9),FALSE))</f>
        <v>-0.18715121761554626</v>
      </c>
      <c r="J301" s="30"/>
      <c r="K301" s="30">
        <f ca="1">J301-A301</f>
        <v>-255</v>
      </c>
      <c r="L301" s="30"/>
      <c r="M301" s="30"/>
      <c r="N301" s="30"/>
      <c r="O301" s="30"/>
      <c r="P301" s="30"/>
      <c r="Q301" s="30"/>
      <c r="R301" s="32"/>
      <c r="S301" s="32"/>
      <c r="T301" s="30"/>
      <c r="U301" s="30"/>
      <c r="V301" s="30"/>
      <c r="W301" s="30"/>
      <c r="X301" s="30"/>
      <c r="Y301" s="32"/>
      <c r="Z301" s="32"/>
      <c r="AA301" s="30"/>
      <c r="AB301" s="30"/>
      <c r="AC301" s="30">
        <f>VLOOKUP($B301,Pitchers!$A1:$S251,4,FALSE)</f>
        <v>134.96666666666667</v>
      </c>
      <c r="AD301" s="32">
        <f>VLOOKUP($B301,Pitchers!$A1:$S251,5,FALSE)</f>
        <v>4.0045443319338112</v>
      </c>
      <c r="AE301" s="32">
        <f>VLOOKUP($B301,Pitchers!$A1:$S251,6,FALSE)</f>
        <v>1.169177574709805</v>
      </c>
      <c r="AF301" s="30">
        <f>VLOOKUP($B301,Pitchers!$A1:$S251,7,FALSE)</f>
        <v>121.56666666666666</v>
      </c>
      <c r="AG301" s="30">
        <f>VLOOKUP($B301,Pitchers!$A1:$S251,8,FALSE)</f>
        <v>7.666666666666667</v>
      </c>
      <c r="AH301" s="30">
        <f>VLOOKUP($B301,Pitchers!$A1:$S251,9,FALSE)</f>
        <v>0</v>
      </c>
      <c r="AI301" s="30">
        <f>VLOOKUP($B301,Pitchers!$A1:$S251,10,FALSE)</f>
        <v>60.053333333333335</v>
      </c>
      <c r="AJ301" s="30">
        <f>VLOOKUP($B301,Pitchers!$A1:$S251,11,FALSE)</f>
        <v>126.5</v>
      </c>
      <c r="AK301" s="30">
        <f>VLOOKUP($B301,Pitchers!$A1:$S251,12,FALSE)</f>
        <v>31.3</v>
      </c>
      <c r="AL301" s="30">
        <f>VLOOKUP($B301,Pitchers!$A1:$S251,13,FALSE)</f>
        <v>19</v>
      </c>
      <c r="AM301" s="30">
        <f>VLOOKUP($B301,Pitchers!$A1:$S251,14,FALSE)</f>
        <v>26.066666666666666</v>
      </c>
      <c r="AN301" s="30">
        <f>VLOOKUP($B301,Pitchers!$A1:$S251,15,FALSE)</f>
        <v>25.733333333333334</v>
      </c>
      <c r="AO301" s="30">
        <f>VLOOKUP($B301,Pitchers!$A1:$S251,16,FALSE)</f>
        <v>7.3666666666666671</v>
      </c>
      <c r="AP301" s="30">
        <f>VLOOKUP($B301,Pitchers!$A1:$S251,17,FALSE)</f>
        <v>11</v>
      </c>
      <c r="AQ301" s="30">
        <f>VLOOKUP($B301,Pitchers!$A1:$S251,18,FALSE)</f>
        <v>0</v>
      </c>
      <c r="AR301" s="30">
        <f>VLOOKUP($B301,Pitchers!$A1:$S251,19,FALSE)</f>
        <v>0</v>
      </c>
    </row>
    <row r="302" spans="1:44" ht="18.600000000000001" customHeight="1">
      <c r="A302" s="24">
        <f ca="1">RANK(I302,I$2:I$651)</f>
        <v>261</v>
      </c>
      <c r="B302" s="25" t="s">
        <v>359</v>
      </c>
      <c r="C302" s="26" t="s">
        <v>79</v>
      </c>
      <c r="D302" s="26" t="s">
        <v>70</v>
      </c>
      <c r="E302" s="35" t="s">
        <v>31</v>
      </c>
      <c r="F302" s="36">
        <f ca="1">VLOOKUP(B302,SP!A1:I161,IF(Settings!$J$13="points",4,7),FALSE)</f>
        <v>78</v>
      </c>
      <c r="G302" s="29">
        <f>(AC302*Settings!$F$2)+(AF302*Settings!$F$5)+(AG302*Settings!$F$6)+(AH302*Settings!$F$7)+(AI302*Settings!$F$8)+(AJ302*Settings!$F$9)+(AK302*Settings!$F$10)+(AL302*Settings!$F$11)+(AM302*Settings!$F$12)+(AN302*Settings!$F$13)+(AO302*Settings!$F$14)+(AP302*Settings!$F$15)+(AQ302*Settings!$F$16)+(AR302*Settings!$F$17)</f>
        <v>297.21666666666664</v>
      </c>
      <c r="H302" s="30">
        <f>VLOOKUP(B302,'Standard Deviations'!$A1:$D651,4,FALSE)</f>
        <v>-0.12375194446091353</v>
      </c>
      <c r="I302" s="31">
        <f ca="1">IF(Settings!$J$16="no",VLOOKUP(B302,SP!A1:I161,IF(Settings!$J$13="points",6,9),FALSE),VLOOKUP(B302,'SP+RP'!$A1:$I251,IF(Settings!$J$13="points",6,9),FALSE))</f>
        <v>-0.25973350965752917</v>
      </c>
      <c r="J302" s="30"/>
      <c r="K302" s="30">
        <f ca="1">J302-A302</f>
        <v>-261</v>
      </c>
      <c r="L302" s="30"/>
      <c r="M302" s="30"/>
      <c r="N302" s="30"/>
      <c r="O302" s="30"/>
      <c r="P302" s="30"/>
      <c r="Q302" s="30"/>
      <c r="R302" s="32"/>
      <c r="S302" s="32"/>
      <c r="T302" s="30"/>
      <c r="U302" s="30"/>
      <c r="V302" s="30"/>
      <c r="W302" s="30"/>
      <c r="X302" s="30"/>
      <c r="Y302" s="32"/>
      <c r="Z302" s="32"/>
      <c r="AA302" s="30"/>
      <c r="AB302" s="30"/>
      <c r="AC302" s="30">
        <f>VLOOKUP($B302,Pitchers!$A1:$S251,4,FALSE)</f>
        <v>124.23333333333333</v>
      </c>
      <c r="AD302" s="32">
        <f>VLOOKUP($B302,Pitchers!$A1:$S251,5,FALSE)</f>
        <v>3.6463643681244968</v>
      </c>
      <c r="AE302" s="32">
        <f>VLOOKUP($B302,Pitchers!$A1:$S251,6,FALSE)</f>
        <v>1.2903139254091764</v>
      </c>
      <c r="AF302" s="30">
        <f>VLOOKUP($B302,Pitchers!$A1:$S251,7,FALSE)</f>
        <v>126.03333333333335</v>
      </c>
      <c r="AG302" s="30">
        <f>VLOOKUP($B302,Pitchers!$A1:$S251,8,FALSE)</f>
        <v>8.9</v>
      </c>
      <c r="AH302" s="30">
        <f>VLOOKUP($B302,Pitchers!$A1:$S251,9,FALSE)</f>
        <v>0</v>
      </c>
      <c r="AI302" s="30">
        <f>VLOOKUP($B302,Pitchers!$A1:$S251,10,FALSE)</f>
        <v>50.333333333333336</v>
      </c>
      <c r="AJ302" s="30">
        <f>VLOOKUP($B302,Pitchers!$A1:$S251,11,FALSE)</f>
        <v>109.10000000000001</v>
      </c>
      <c r="AK302" s="30">
        <f>VLOOKUP($B302,Pitchers!$A1:$S251,12,FALSE)</f>
        <v>51.199999999999996</v>
      </c>
      <c r="AL302" s="30">
        <f>VLOOKUP($B302,Pitchers!$A1:$S251,13,FALSE)</f>
        <v>16</v>
      </c>
      <c r="AM302" s="30">
        <f>VLOOKUP($B302,Pitchers!$A1:$S251,14,FALSE)</f>
        <v>22.966666666666669</v>
      </c>
      <c r="AN302" s="30">
        <f>VLOOKUP($B302,Pitchers!$A1:$S251,15,FALSE)</f>
        <v>22.966666666666669</v>
      </c>
      <c r="AO302" s="30">
        <f>VLOOKUP($B302,Pitchers!$A1:$S251,16,FALSE)</f>
        <v>5.833333333333333</v>
      </c>
      <c r="AP302" s="30">
        <f>VLOOKUP($B302,Pitchers!$A1:$S251,17,FALSE)</f>
        <v>13</v>
      </c>
      <c r="AQ302" s="30">
        <f>VLOOKUP($B302,Pitchers!$A1:$S251,18,FALSE)</f>
        <v>0</v>
      </c>
      <c r="AR302" s="30">
        <f>VLOOKUP($B302,Pitchers!$A1:$S251,19,FALSE)</f>
        <v>0</v>
      </c>
    </row>
    <row r="303" spans="1:44" ht="18.600000000000001" customHeight="1">
      <c r="A303" s="24">
        <f ca="1">RANK(I303,I$2:I$651)</f>
        <v>368</v>
      </c>
      <c r="B303" s="25" t="s">
        <v>467</v>
      </c>
      <c r="C303" s="26" t="s">
        <v>139</v>
      </c>
      <c r="D303" s="26" t="s">
        <v>75</v>
      </c>
      <c r="E303" s="35" t="s">
        <v>31</v>
      </c>
      <c r="F303" s="36">
        <f ca="1">VLOOKUP(B303,SP!A1:I161,IF(Settings!$J$13="points",4,7),FALSE)</f>
        <v>109</v>
      </c>
      <c r="G303" s="29">
        <f>(AC303*Settings!$F$2)+(AF303*Settings!$F$5)+(AG303*Settings!$F$6)+(AH303*Settings!$F$7)+(AI303*Settings!$F$8)+(AJ303*Settings!$F$9)+(AK303*Settings!$F$10)+(AL303*Settings!$F$11)+(AM303*Settings!$F$12)+(AN303*Settings!$F$13)+(AO303*Settings!$F$14)+(AP303*Settings!$F$15)+(AQ303*Settings!$F$16)+(AR303*Settings!$F$17)</f>
        <v>296.62100000000004</v>
      </c>
      <c r="H303" s="30">
        <f>VLOOKUP(B303,'Standard Deviations'!$A1:$D651,4,FALSE)</f>
        <v>-1.9093907665979861</v>
      </c>
      <c r="I303" s="31">
        <f ca="1">IF(Settings!$J$16="no",VLOOKUP(B303,SP!A1:I161,IF(Settings!$J$13="points",6,9),FALSE),VLOOKUP(B303,'SP+RP'!$A1:$I251,IF(Settings!$J$13="points",6,9),FALSE))</f>
        <v>-2.0453769321459294</v>
      </c>
      <c r="J303" s="30"/>
      <c r="K303" s="30">
        <f ca="1">J303-A303</f>
        <v>-368</v>
      </c>
      <c r="L303" s="30"/>
      <c r="M303" s="30"/>
      <c r="N303" s="30"/>
      <c r="O303" s="30"/>
      <c r="P303" s="30"/>
      <c r="Q303" s="30"/>
      <c r="R303" s="32"/>
      <c r="S303" s="32"/>
      <c r="T303" s="30"/>
      <c r="U303" s="30"/>
      <c r="V303" s="30"/>
      <c r="W303" s="30"/>
      <c r="X303" s="30"/>
      <c r="Y303" s="32"/>
      <c r="Z303" s="32"/>
      <c r="AA303" s="30"/>
      <c r="AB303" s="30"/>
      <c r="AC303" s="30">
        <f>VLOOKUP($B303,Pitchers!$A1:$S251,4,FALSE)</f>
        <v>153.80000000000001</v>
      </c>
      <c r="AD303" s="32">
        <f>VLOOKUP($B303,Pitchers!$A1:$S251,5,FALSE)</f>
        <v>4.3246814044213258</v>
      </c>
      <c r="AE303" s="32">
        <f>VLOOKUP($B303,Pitchers!$A1:$S251,6,FALSE)</f>
        <v>1.3416775032509751</v>
      </c>
      <c r="AF303" s="30">
        <f>VLOOKUP($B303,Pitchers!$A1:$S251,7,FALSE)</f>
        <v>143.44999999999999</v>
      </c>
      <c r="AG303" s="30">
        <f>VLOOKUP($B303,Pitchers!$A1:$S251,8,FALSE)</f>
        <v>7.75</v>
      </c>
      <c r="AH303" s="30">
        <f>VLOOKUP($B303,Pitchers!$A1:$S251,9,FALSE)</f>
        <v>0</v>
      </c>
      <c r="AI303" s="30">
        <f>VLOOKUP($B303,Pitchers!$A1:$S251,10,FALSE)</f>
        <v>73.903999999999996</v>
      </c>
      <c r="AJ303" s="30">
        <f>VLOOKUP($B303,Pitchers!$A1:$S251,11,FALSE)</f>
        <v>153.94999999999999</v>
      </c>
      <c r="AK303" s="30">
        <f>VLOOKUP($B303,Pitchers!$A1:$S251,12,FALSE)</f>
        <v>52.4</v>
      </c>
      <c r="AL303" s="30">
        <f>VLOOKUP($B303,Pitchers!$A1:$S251,13,FALSE)</f>
        <v>22</v>
      </c>
      <c r="AM303" s="30">
        <f>VLOOKUP($B303,Pitchers!$A1:$S251,14,FALSE)</f>
        <v>29.1</v>
      </c>
      <c r="AN303" s="30">
        <f>VLOOKUP($B303,Pitchers!$A1:$S251,15,FALSE)</f>
        <v>29.1</v>
      </c>
      <c r="AO303" s="30">
        <f>VLOOKUP($B303,Pitchers!$A1:$S251,16,FALSE)</f>
        <v>9.9</v>
      </c>
      <c r="AP303" s="30">
        <f>VLOOKUP($B303,Pitchers!$A1:$S251,17,FALSE)</f>
        <v>13</v>
      </c>
      <c r="AQ303" s="30">
        <f>VLOOKUP($B303,Pitchers!$A1:$S251,18,FALSE)</f>
        <v>0</v>
      </c>
      <c r="AR303" s="30">
        <f>VLOOKUP($B303,Pitchers!$A1:$S251,19,FALSE)</f>
        <v>0</v>
      </c>
    </row>
    <row r="304" spans="1:44" ht="18.600000000000001" customHeight="1">
      <c r="A304" s="24">
        <f ca="1">RANK(I304,I$2:I$651)</f>
        <v>194</v>
      </c>
      <c r="B304" s="25" t="s">
        <v>291</v>
      </c>
      <c r="C304" s="26" t="s">
        <v>69</v>
      </c>
      <c r="D304" s="26" t="s">
        <v>70</v>
      </c>
      <c r="E304" s="41" t="s">
        <v>34</v>
      </c>
      <c r="F304" s="42">
        <f ca="1">VLOOKUP(B304,RP!A1:I91,IF(Settings!$J$13="points",4,7),FALSE)</f>
        <v>17</v>
      </c>
      <c r="G304" s="29">
        <f>(AC304*Settings!$F$2)+(AF304*Settings!$F$5)+(AG304*Settings!$F$6)+(AH304*Settings!$F$7)+(AI304*Settings!$F$8)+(AJ304*Settings!$F$9)+(AK304*Settings!$F$10)+(AL304*Settings!$F$11)+(AM304*Settings!$F$12)+(AN304*Settings!$F$13)+(AO304*Settings!$F$14)+(AP304*Settings!$F$15)+(AQ304*Settings!$F$16)+(AR304*Settings!$F$17)</f>
        <v>296.43333333333328</v>
      </c>
      <c r="H304" s="30">
        <f>VLOOKUP(B304,'Standard Deviations'!$A1:$D651,4,FALSE)</f>
        <v>2.1701106589860855</v>
      </c>
      <c r="I304" s="31">
        <f ca="1">IF(Settings!$J$16="no",VLOOKUP(B304,RP!A1:I91,IF(Settings!$J$13="points",6,9),FALSE),VLOOKUP(B304,'SP+RP'!$A1:$I251,IF(Settings!$J$13="points",6,9),FALSE))</f>
        <v>0.59904670677213523</v>
      </c>
      <c r="J304" s="30"/>
      <c r="K304" s="30">
        <f ca="1">J304-A304</f>
        <v>-194</v>
      </c>
      <c r="L304" s="30"/>
      <c r="M304" s="30"/>
      <c r="N304" s="30"/>
      <c r="O304" s="30"/>
      <c r="P304" s="30"/>
      <c r="Q304" s="30"/>
      <c r="R304" s="32"/>
      <c r="S304" s="32"/>
      <c r="T304" s="30"/>
      <c r="U304" s="30"/>
      <c r="V304" s="30"/>
      <c r="W304" s="30"/>
      <c r="X304" s="30"/>
      <c r="Y304" s="32"/>
      <c r="Z304" s="32"/>
      <c r="AA304" s="30"/>
      <c r="AB304" s="30"/>
      <c r="AC304" s="30">
        <f>VLOOKUP($B304,Pitchers!$A1:$S251,4,FALSE)</f>
        <v>61.166666666666664</v>
      </c>
      <c r="AD304" s="32">
        <f>VLOOKUP($B304,Pitchers!$A1:$S251,5,FALSE)</f>
        <v>3.1487738419618534</v>
      </c>
      <c r="AE304" s="32">
        <f>VLOOKUP($B304,Pitchers!$A1:$S251,6,FALSE)</f>
        <v>1.2010899182561308</v>
      </c>
      <c r="AF304" s="30">
        <f>VLOOKUP($B304,Pitchers!$A1:$S251,7,FALSE)</f>
        <v>64.13333333333334</v>
      </c>
      <c r="AG304" s="30">
        <f>VLOOKUP($B304,Pitchers!$A1:$S251,8,FALSE)</f>
        <v>4.8666666666666663</v>
      </c>
      <c r="AH304" s="30">
        <f>VLOOKUP($B304,Pitchers!$A1:$S251,9,FALSE)</f>
        <v>22.333333333333332</v>
      </c>
      <c r="AI304" s="30">
        <f>VLOOKUP($B304,Pitchers!$A1:$S251,10,FALSE)</f>
        <v>21.400000000000002</v>
      </c>
      <c r="AJ304" s="30">
        <f>VLOOKUP($B304,Pitchers!$A1:$S251,11,FALSE)</f>
        <v>50.866666666666667</v>
      </c>
      <c r="AK304" s="30">
        <f>VLOOKUP($B304,Pitchers!$A1:$S251,12,FALSE)</f>
        <v>22.599999999999998</v>
      </c>
      <c r="AL304" s="30">
        <f>VLOOKUP($B304,Pitchers!$A1:$S251,13,FALSE)</f>
        <v>5</v>
      </c>
      <c r="AM304" s="30">
        <f>VLOOKUP($B304,Pitchers!$A1:$S251,14,FALSE)</f>
        <v>60.266666666666673</v>
      </c>
      <c r="AN304" s="30">
        <f>VLOOKUP($B304,Pitchers!$A1:$S251,15,FALSE)</f>
        <v>0</v>
      </c>
      <c r="AO304" s="30">
        <f>VLOOKUP($B304,Pitchers!$A1:$S251,16,FALSE)</f>
        <v>2.9333333333333336</v>
      </c>
      <c r="AP304" s="30">
        <f>VLOOKUP($B304,Pitchers!$A1:$S251,17,FALSE)</f>
        <v>0</v>
      </c>
      <c r="AQ304" s="30">
        <f>VLOOKUP($B304,Pitchers!$A1:$S251,18,FALSE)</f>
        <v>3</v>
      </c>
      <c r="AR304" s="30">
        <f>VLOOKUP($B304,Pitchers!$A1:$S251,19,FALSE)</f>
        <v>11</v>
      </c>
    </row>
    <row r="305" spans="1:44" ht="18.600000000000001" customHeight="1">
      <c r="A305" s="24">
        <f ca="1">RANK(I305,I$2:I$651)</f>
        <v>260</v>
      </c>
      <c r="B305" s="25" t="s">
        <v>358</v>
      </c>
      <c r="C305" s="26" t="s">
        <v>119</v>
      </c>
      <c r="D305" s="26" t="s">
        <v>70</v>
      </c>
      <c r="E305" s="27" t="s">
        <v>23</v>
      </c>
      <c r="F305" s="28">
        <f ca="1">VLOOKUP(B305,OF!A1:I139,IF(Settings!$J$13="points",4,7),FALSE)</f>
        <v>71</v>
      </c>
      <c r="G305" s="29">
        <f>(M305*Settings!$B$2)+(N305*Settings!$B$3)+(O305*Settings!$B$4)+(P305*Settings!$B$5)+(Q305*Settings!$B$6)+(T305*Settings!$B$9)+(U305*Settings!$B$10)+(V305*Settings!$B$11)+(W305*Settings!$B$12)+(X305*Settings!$B$13)+(AA305*Settings!$B$16)</f>
        <v>295.2166666666667</v>
      </c>
      <c r="H305" s="30">
        <f>VLOOKUP(B305,'Standard Deviations'!$A1:$D651,4,FALSE)</f>
        <v>-0.12606462774792848</v>
      </c>
      <c r="I305" s="31">
        <f ca="1">VLOOKUP(B305,OF!A1:I139,IF(Settings!$J$13="points",6,9),FALSE)</f>
        <v>-0.24477847254758783</v>
      </c>
      <c r="J305" s="30"/>
      <c r="K305" s="30">
        <f ca="1">J305-A305</f>
        <v>-260</v>
      </c>
      <c r="L305" s="30"/>
      <c r="M305" s="30">
        <f>VLOOKUP($B305,Hitters!$A1:$R401,4,FALSE)</f>
        <v>387.33333333333297</v>
      </c>
      <c r="N305" s="30">
        <f>VLOOKUP($B305,Hitters!$A1:$R401,5,FALSE)</f>
        <v>51.1</v>
      </c>
      <c r="O305" s="30">
        <f>VLOOKUP($B305,Hitters!$A1:$R401,6,FALSE)</f>
        <v>14.466666666666701</v>
      </c>
      <c r="P305" s="30">
        <f>VLOOKUP($B305,Hitters!$A1:$R401,7,FALSE)</f>
        <v>53.6666666666667</v>
      </c>
      <c r="Q305" s="30">
        <f>VLOOKUP($B305,Hitters!$A1:$R401,8,FALSE)</f>
        <v>7.9666666666666703</v>
      </c>
      <c r="R305" s="32">
        <f>VLOOKUP($B305,Hitters!$A1:$R401,9,FALSE)</f>
        <v>0.23932874354561101</v>
      </c>
      <c r="S305" s="32">
        <f>VLOOKUP($B305,Hitters!$A1:$R401,10,FALSE)</f>
        <v>0.30827578748976497</v>
      </c>
      <c r="T305" s="30">
        <f>VLOOKUP($B305,Hitters!$A1:$R401,11,FALSE)</f>
        <v>92.7</v>
      </c>
      <c r="U305" s="30">
        <f>VLOOKUP($B305,Hitters!$A1:$R401,12,FALSE)</f>
        <v>21.3</v>
      </c>
      <c r="V305" s="30">
        <f>VLOOKUP($B305,Hitters!$A1:$R401,13,FALSE)</f>
        <v>3.4666666666666699</v>
      </c>
      <c r="W305" s="30">
        <f>VLOOKUP($B305,Hitters!$A1:$R401,14,FALSE)</f>
        <v>40.3333333333333</v>
      </c>
      <c r="X305" s="30">
        <f>VLOOKUP($B305,Hitters!$A1:$R401,15,FALSE)</f>
        <v>138.76666666666699</v>
      </c>
      <c r="Y305" s="32">
        <f>VLOOKUP($B305,Hitters!$A1:$R401,16,FALSE)</f>
        <v>0.42426850258175602</v>
      </c>
      <c r="Z305" s="32">
        <f>VLOOKUP($B305,Hitters!$A1:$R401,17,FALSE)</f>
        <v>0.732544290071521</v>
      </c>
      <c r="AA305" s="30">
        <f>VLOOKUP($B305,Hitters!$A1:$R401,18,FALSE)</f>
        <v>0</v>
      </c>
      <c r="AB305" s="30"/>
      <c r="AC305" s="30"/>
      <c r="AD305" s="32"/>
      <c r="AE305" s="32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</row>
    <row r="306" spans="1:44" ht="18.600000000000001" customHeight="1">
      <c r="A306" s="24">
        <f ca="1">RANK(I306,I$2:I$651)</f>
        <v>332</v>
      </c>
      <c r="B306" s="25" t="s">
        <v>429</v>
      </c>
      <c r="C306" s="26" t="s">
        <v>225</v>
      </c>
      <c r="D306" s="26" t="s">
        <v>75</v>
      </c>
      <c r="E306" s="37" t="s">
        <v>27</v>
      </c>
      <c r="F306" s="38">
        <f ca="1">VLOOKUP(B306,SS!A1:I45,IF(Settings!$J$13="points",4,7),FALSE)</f>
        <v>20</v>
      </c>
      <c r="G306" s="29">
        <f>(M306*Settings!$B$2)+(N306*Settings!$B$3)+(O306*Settings!$B$4)+(P306*Settings!$B$5)+(Q306*Settings!$B$6)+(T306*Settings!$B$9)+(U306*Settings!$B$10)+(V306*Settings!$B$11)+(W306*Settings!$B$12)+(X306*Settings!$B$13)+(AA306*Settings!$B$16)</f>
        <v>294.55</v>
      </c>
      <c r="H306" s="30">
        <f>VLOOKUP(B306,'Standard Deviations'!$A1:$D651,4,FALSE)</f>
        <v>1.4214531370639212</v>
      </c>
      <c r="I306" s="31">
        <f ca="1">IF(Settings!$J$16="no",VLOOKUP(B306,SS!A1:I45,IF(Settings!$J$13="points",6,9),FALSE),VLOOKUP(B306,'2B+SS'!$A1:$I94,IF(Settings!$J$13="points",6,9),FALSE))</f>
        <v>-1.5829676072240169</v>
      </c>
      <c r="J306" s="30"/>
      <c r="K306" s="30">
        <f ca="1">J306-A306</f>
        <v>-332</v>
      </c>
      <c r="L306" s="30"/>
      <c r="M306" s="30">
        <f>VLOOKUP($B306,Hitters!$A1:$R401,4,FALSE)</f>
        <v>358</v>
      </c>
      <c r="N306" s="30">
        <f>VLOOKUP($B306,Hitters!$A1:$R401,5,FALSE)</f>
        <v>47.4</v>
      </c>
      <c r="O306" s="30">
        <f>VLOOKUP($B306,Hitters!$A1:$R401,6,FALSE)</f>
        <v>15.5</v>
      </c>
      <c r="P306" s="30">
        <f>VLOOKUP($B306,Hitters!$A1:$R401,7,FALSE)</f>
        <v>50.9</v>
      </c>
      <c r="Q306" s="30">
        <f>VLOOKUP($B306,Hitters!$A1:$R401,8,FALSE)</f>
        <v>13.9</v>
      </c>
      <c r="R306" s="32">
        <f>VLOOKUP($B306,Hitters!$A1:$R401,9,FALSE)</f>
        <v>0.25614525139664801</v>
      </c>
      <c r="S306" s="32">
        <f>VLOOKUP($B306,Hitters!$A1:$R401,10,FALSE)</f>
        <v>0.29531568228105898</v>
      </c>
      <c r="T306" s="30">
        <f>VLOOKUP($B306,Hitters!$A1:$R401,11,FALSE)</f>
        <v>91.7</v>
      </c>
      <c r="U306" s="30">
        <f>VLOOKUP($B306,Hitters!$A1:$R401,12,FALSE)</f>
        <v>19.600000000000001</v>
      </c>
      <c r="V306" s="30">
        <f>VLOOKUP($B306,Hitters!$A1:$R401,13,FALSE)</f>
        <v>3.6</v>
      </c>
      <c r="W306" s="30">
        <f>VLOOKUP($B306,Hitters!$A1:$R401,14,FALSE)</f>
        <v>21.4</v>
      </c>
      <c r="X306" s="30">
        <f>VLOOKUP($B306,Hitters!$A1:$R401,15,FALSE)</f>
        <v>113.3</v>
      </c>
      <c r="Y306" s="32">
        <f>VLOOKUP($B306,Hitters!$A1:$R401,16,FALSE)</f>
        <v>0.460893854748603</v>
      </c>
      <c r="Z306" s="32">
        <f>VLOOKUP($B306,Hitters!$A1:$R401,17,FALSE)</f>
        <v>0.75620953702966198</v>
      </c>
      <c r="AA306" s="30">
        <f>VLOOKUP($B306,Hitters!$A1:$R401,18,FALSE)</f>
        <v>0</v>
      </c>
      <c r="AB306" s="30"/>
      <c r="AC306" s="30"/>
      <c r="AD306" s="32"/>
      <c r="AE306" s="32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</row>
    <row r="307" spans="1:44" ht="18.600000000000001" customHeight="1">
      <c r="A307" s="24">
        <f ca="1">RANK(I307,I$2:I$651)</f>
        <v>242</v>
      </c>
      <c r="B307" s="25" t="s">
        <v>340</v>
      </c>
      <c r="C307" s="26" t="s">
        <v>122</v>
      </c>
      <c r="D307" s="26" t="s">
        <v>75</v>
      </c>
      <c r="E307" s="35" t="s">
        <v>31</v>
      </c>
      <c r="F307" s="36">
        <f ca="1">VLOOKUP(B307,SP!A1:I161,IF(Settings!$J$13="points",4,7),FALSE)</f>
        <v>70</v>
      </c>
      <c r="G307" s="29">
        <f>(AC307*Settings!$F$2)+(AF307*Settings!$F$5)+(AG307*Settings!$F$6)+(AH307*Settings!$F$7)+(AI307*Settings!$F$8)+(AJ307*Settings!$F$9)+(AK307*Settings!$F$10)+(AL307*Settings!$F$11)+(AM307*Settings!$F$12)+(AN307*Settings!$F$13)+(AO307*Settings!$F$14)+(AP307*Settings!$F$15)+(AQ307*Settings!$F$16)+(AR307*Settings!$F$17)</f>
        <v>293.35100000000006</v>
      </c>
      <c r="H307" s="30">
        <f>VLOOKUP(B307,'Standard Deviations'!$A1:$D651,4,FALSE)</f>
        <v>0.10945939222041062</v>
      </c>
      <c r="I307" s="31">
        <f ca="1">IF(Settings!$J$16="no",VLOOKUP(B307,SP!A1:I161,IF(Settings!$J$13="points",6,9),FALSE),VLOOKUP(B307,'SP+RP'!$A1:$I251,IF(Settings!$J$13="points",6,9),FALSE))</f>
        <v>-2.651965509935876E-2</v>
      </c>
      <c r="J307" s="30"/>
      <c r="K307" s="30">
        <f ca="1">J307-A307</f>
        <v>-242</v>
      </c>
      <c r="L307" s="30"/>
      <c r="M307" s="30"/>
      <c r="N307" s="30"/>
      <c r="O307" s="30"/>
      <c r="P307" s="30"/>
      <c r="Q307" s="30"/>
      <c r="R307" s="32"/>
      <c r="S307" s="32"/>
      <c r="T307" s="30"/>
      <c r="U307" s="30"/>
      <c r="V307" s="30"/>
      <c r="W307" s="30"/>
      <c r="X307" s="30"/>
      <c r="Y307" s="32"/>
      <c r="Z307" s="32"/>
      <c r="AA307" s="30"/>
      <c r="AB307" s="30"/>
      <c r="AC307" s="30">
        <f>VLOOKUP($B307,Pitchers!$A1:$S251,4,FALSE)</f>
        <v>140.5</v>
      </c>
      <c r="AD307" s="32">
        <f>VLOOKUP($B307,Pitchers!$A1:$S251,5,FALSE)</f>
        <v>3.7536725978647691</v>
      </c>
      <c r="AE307" s="32">
        <f>VLOOKUP($B307,Pitchers!$A1:$S251,6,FALSE)</f>
        <v>1.1601423487544484</v>
      </c>
      <c r="AF307" s="30">
        <f>VLOOKUP($B307,Pitchers!$A1:$S251,7,FALSE)</f>
        <v>117.5</v>
      </c>
      <c r="AG307" s="30">
        <f>VLOOKUP($B307,Pitchers!$A1:$S251,8,FALSE)</f>
        <v>6.6</v>
      </c>
      <c r="AH307" s="30">
        <f>VLOOKUP($B307,Pitchers!$A1:$S251,9,FALSE)</f>
        <v>0</v>
      </c>
      <c r="AI307" s="30">
        <f>VLOOKUP($B307,Pitchers!$A1:$S251,10,FALSE)</f>
        <v>58.599000000000004</v>
      </c>
      <c r="AJ307" s="30">
        <f>VLOOKUP($B307,Pitchers!$A1:$S251,11,FALSE)</f>
        <v>119</v>
      </c>
      <c r="AK307" s="30">
        <f>VLOOKUP($B307,Pitchers!$A1:$S251,12,FALSE)</f>
        <v>44</v>
      </c>
      <c r="AL307" s="30">
        <f>VLOOKUP($B307,Pitchers!$A1:$S251,13,FALSE)</f>
        <v>18</v>
      </c>
      <c r="AM307" s="30">
        <f>VLOOKUP($B307,Pitchers!$A1:$S251,14,FALSE)</f>
        <v>22.35</v>
      </c>
      <c r="AN307" s="30">
        <f>VLOOKUP($B307,Pitchers!$A1:$S251,15,FALSE)</f>
        <v>22.35</v>
      </c>
      <c r="AO307" s="30">
        <f>VLOOKUP($B307,Pitchers!$A1:$S251,16,FALSE)</f>
        <v>7.7</v>
      </c>
      <c r="AP307" s="30">
        <f>VLOOKUP($B307,Pitchers!$A1:$S251,17,FALSE)</f>
        <v>9</v>
      </c>
      <c r="AQ307" s="30">
        <f>VLOOKUP($B307,Pitchers!$A1:$S251,18,FALSE)</f>
        <v>0</v>
      </c>
      <c r="AR307" s="30">
        <f>VLOOKUP($B307,Pitchers!$A1:$S251,19,FALSE)</f>
        <v>0</v>
      </c>
    </row>
    <row r="308" spans="1:44" ht="18.600000000000001" customHeight="1">
      <c r="A308" s="24">
        <f ca="1">RANK(I308,I$2:I$651)</f>
        <v>338</v>
      </c>
      <c r="B308" s="25" t="s">
        <v>435</v>
      </c>
      <c r="C308" s="26" t="s">
        <v>82</v>
      </c>
      <c r="D308" s="26" t="s">
        <v>75</v>
      </c>
      <c r="E308" s="35" t="s">
        <v>31</v>
      </c>
      <c r="F308" s="36">
        <f ca="1">VLOOKUP(B308,SP!A1:I161,IF(Settings!$J$13="points",4,7),FALSE)</f>
        <v>99</v>
      </c>
      <c r="G308" s="29">
        <f>(AC308*Settings!$F$2)+(AF308*Settings!$F$5)+(AG308*Settings!$F$6)+(AH308*Settings!$F$7)+(AI308*Settings!$F$8)+(AJ308*Settings!$F$9)+(AK308*Settings!$F$10)+(AL308*Settings!$F$11)+(AM308*Settings!$F$12)+(AN308*Settings!$F$13)+(AO308*Settings!$F$14)+(AP308*Settings!$F$15)+(AQ308*Settings!$F$16)+(AR308*Settings!$F$17)</f>
        <v>292.76266666666675</v>
      </c>
      <c r="H308" s="30">
        <f>VLOOKUP(B308,'Standard Deviations'!$A1:$D651,4,FALSE)</f>
        <v>-1.5818954828012741</v>
      </c>
      <c r="I308" s="31">
        <f ca="1">IF(Settings!$J$16="no",VLOOKUP(B308,SP!A1:I161,IF(Settings!$J$13="points",6,9),FALSE),VLOOKUP(B308,'SP+RP'!$A1:$I251,IF(Settings!$J$13="points",6,9),FALSE))</f>
        <v>-1.7178827233137985</v>
      </c>
      <c r="J308" s="30"/>
      <c r="K308" s="30">
        <f ca="1">J308-A308</f>
        <v>-338</v>
      </c>
      <c r="L308" s="30"/>
      <c r="M308" s="30"/>
      <c r="N308" s="30"/>
      <c r="O308" s="30"/>
      <c r="P308" s="30"/>
      <c r="Q308" s="30"/>
      <c r="R308" s="32"/>
      <c r="S308" s="32"/>
      <c r="T308" s="30"/>
      <c r="U308" s="30"/>
      <c r="V308" s="30"/>
      <c r="W308" s="30"/>
      <c r="X308" s="30"/>
      <c r="Y308" s="32"/>
      <c r="Z308" s="32"/>
      <c r="AA308" s="30"/>
      <c r="AB308" s="30"/>
      <c r="AC308" s="30">
        <f>VLOOKUP($B308,Pitchers!$A1:$S251,4,FALSE)</f>
        <v>144.79999999999998</v>
      </c>
      <c r="AD308" s="32">
        <f>VLOOKUP($B308,Pitchers!$A1:$S251,5,FALSE)</f>
        <v>4.4432734806629837</v>
      </c>
      <c r="AE308" s="32">
        <f>VLOOKUP($B308,Pitchers!$A1:$S251,6,FALSE)</f>
        <v>1.2879834254143647</v>
      </c>
      <c r="AF308" s="30">
        <f>VLOOKUP($B308,Pitchers!$A1:$S251,7,FALSE)</f>
        <v>115.5</v>
      </c>
      <c r="AG308" s="30">
        <f>VLOOKUP($B308,Pitchers!$A1:$S251,8,FALSE)</f>
        <v>9.7999999999999989</v>
      </c>
      <c r="AH308" s="30">
        <f>VLOOKUP($B308,Pitchers!$A1:$S251,9,FALSE)</f>
        <v>0</v>
      </c>
      <c r="AI308" s="30">
        <f>VLOOKUP($B308,Pitchers!$A1:$S251,10,FALSE)</f>
        <v>71.487333333333325</v>
      </c>
      <c r="AJ308" s="30">
        <f>VLOOKUP($B308,Pitchers!$A1:$S251,11,FALSE)</f>
        <v>150.73333333333332</v>
      </c>
      <c r="AK308" s="30">
        <f>VLOOKUP($B308,Pitchers!$A1:$S251,12,FALSE)</f>
        <v>35.766666666666666</v>
      </c>
      <c r="AL308" s="30">
        <f>VLOOKUP($B308,Pitchers!$A1:$S251,13,FALSE)</f>
        <v>24</v>
      </c>
      <c r="AM308" s="30">
        <f>VLOOKUP($B308,Pitchers!$A1:$S251,14,FALSE)</f>
        <v>26.766666666666666</v>
      </c>
      <c r="AN308" s="30">
        <f>VLOOKUP($B308,Pitchers!$A1:$S251,15,FALSE)</f>
        <v>26.433333333333334</v>
      </c>
      <c r="AO308" s="30">
        <f>VLOOKUP($B308,Pitchers!$A1:$S251,16,FALSE)</f>
        <v>8</v>
      </c>
      <c r="AP308" s="30">
        <f>VLOOKUP($B308,Pitchers!$A1:$S251,17,FALSE)</f>
        <v>10</v>
      </c>
      <c r="AQ308" s="30">
        <f>VLOOKUP($B308,Pitchers!$A1:$S251,18,FALSE)</f>
        <v>0</v>
      </c>
      <c r="AR308" s="30">
        <f>VLOOKUP($B308,Pitchers!$A1:$S251,19,FALSE)</f>
        <v>0</v>
      </c>
    </row>
    <row r="309" spans="1:44" ht="18.600000000000001" customHeight="1">
      <c r="A309" s="24">
        <f ca="1">RANK(I309,I$2:I$651)</f>
        <v>393</v>
      </c>
      <c r="B309" s="25" t="s">
        <v>351</v>
      </c>
      <c r="C309" s="26" t="s">
        <v>309</v>
      </c>
      <c r="D309" s="26" t="s">
        <v>75</v>
      </c>
      <c r="E309" s="47" t="s">
        <v>11</v>
      </c>
      <c r="F309" s="48">
        <f ca="1">VLOOKUP(B309,'2B'!A1:I50,IF(Settings!$J$13="points",4,7),FALSE)</f>
        <v>29</v>
      </c>
      <c r="G309" s="29">
        <f>(M309*Settings!$B$2)+(N309*Settings!$B$3)+(O309*Settings!$B$4)+(P309*Settings!$B$5)+(Q309*Settings!$B$6)+(T309*Settings!$B$9)+(U309*Settings!$B$10)+(V309*Settings!$B$11)+(W309*Settings!$B$12)+(X309*Settings!$B$13)+(AA309*Settings!$B$16)</f>
        <v>292.53333333333347</v>
      </c>
      <c r="H309" s="30">
        <f>VLOOKUP(B309,'Standard Deviations'!$A1:$D651,4,FALSE)</f>
        <v>-3.9699202977914405E-2</v>
      </c>
      <c r="I309" s="31">
        <f ca="1">IF(Settings!$J$16="no",VLOOKUP(B309,'2B'!A1:I50,IF(Settings!$J$13="points",6,9),FALSE),VLOOKUP(B309,'2B+SS'!$A1:$I94,IF(Settings!$J$13="points",6,9),FALSE))</f>
        <v>-2.3474338461345625</v>
      </c>
      <c r="J309" s="30"/>
      <c r="K309" s="30">
        <f ca="1">J309-A309</f>
        <v>-393</v>
      </c>
      <c r="L309" s="30"/>
      <c r="M309" s="30">
        <f>VLOOKUP($B309,Hitters!$A1:$R401,4,FALSE)</f>
        <v>410.33333333333297</v>
      </c>
      <c r="N309" s="30">
        <f>VLOOKUP($B309,Hitters!$A1:$R401,5,FALSE)</f>
        <v>47.466666666666697</v>
      </c>
      <c r="O309" s="30">
        <f>VLOOKUP($B309,Hitters!$A1:$R401,6,FALSE)</f>
        <v>11.1</v>
      </c>
      <c r="P309" s="30">
        <f>VLOOKUP($B309,Hitters!$A1:$R401,7,FALSE)</f>
        <v>49.966666666666697</v>
      </c>
      <c r="Q309" s="30">
        <f>VLOOKUP($B309,Hitters!$A1:$R401,8,FALSE)</f>
        <v>4.0999999999999996</v>
      </c>
      <c r="R309" s="32">
        <f>VLOOKUP($B309,Hitters!$A1:$R401,9,FALSE)</f>
        <v>0.26856214459788802</v>
      </c>
      <c r="S309" s="32">
        <f>VLOOKUP($B309,Hitters!$A1:$R401,10,FALSE)</f>
        <v>0.29905307539301601</v>
      </c>
      <c r="T309" s="30">
        <f>VLOOKUP($B309,Hitters!$A1:$R401,11,FALSE)</f>
        <v>110.2</v>
      </c>
      <c r="U309" s="30">
        <f>VLOOKUP($B309,Hitters!$A1:$R401,12,FALSE)</f>
        <v>24.066666666666698</v>
      </c>
      <c r="V309" s="30">
        <f>VLOOKUP($B309,Hitters!$A1:$R401,13,FALSE)</f>
        <v>2.7</v>
      </c>
      <c r="W309" s="30">
        <f>VLOOKUP($B309,Hitters!$A1:$R401,14,FALSE)</f>
        <v>19.600000000000001</v>
      </c>
      <c r="X309" s="30">
        <f>VLOOKUP($B309,Hitters!$A1:$R401,15,FALSE)</f>
        <v>87.066666666666706</v>
      </c>
      <c r="Y309" s="32">
        <f>VLOOKUP($B309,Hitters!$A1:$R401,16,FALSE)</f>
        <v>0.421527213647441</v>
      </c>
      <c r="Z309" s="32">
        <f>VLOOKUP($B309,Hitters!$A1:$R401,17,FALSE)</f>
        <v>0.72058028904045701</v>
      </c>
      <c r="AA309" s="30">
        <f>VLOOKUP($B309,Hitters!$A1:$R401,18,FALSE)</f>
        <v>0</v>
      </c>
      <c r="AB309" s="30"/>
      <c r="AC309" s="30"/>
      <c r="AD309" s="32"/>
      <c r="AE309" s="32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</row>
    <row r="310" spans="1:44" ht="18.600000000000001" customHeight="1">
      <c r="A310" s="24">
        <f ca="1">RANK(I310,I$2:I$651)</f>
        <v>315</v>
      </c>
      <c r="B310" s="25" t="s">
        <v>412</v>
      </c>
      <c r="C310" s="26" t="s">
        <v>72</v>
      </c>
      <c r="D310" s="26" t="s">
        <v>70</v>
      </c>
      <c r="E310" s="45" t="s">
        <v>19</v>
      </c>
      <c r="F310" s="46">
        <f ca="1">VLOOKUP(B310,'C'!A1:I54,IF(Settings!$J$13="points",4,7),FALSE)</f>
        <v>16</v>
      </c>
      <c r="G310" s="29">
        <f>(M310*Settings!$B$2)+(N310*Settings!$B$3)+(O310*Settings!$B$4)+(P310*Settings!$B$5)+(Q310*Settings!$B$6)+(T310*Settings!$B$9)+(U310*Settings!$B$10)+(V310*Settings!$B$11)+(W310*Settings!$B$12)+(X310*Settings!$B$13)+(AA310*Settings!$B$16)</f>
        <v>292.31666666666672</v>
      </c>
      <c r="H310" s="30">
        <f>VLOOKUP(B310,'Standard Deviations'!$A1:$D651,4,FALSE)</f>
        <v>-1.5058540269604199</v>
      </c>
      <c r="I310" s="31">
        <f ca="1">VLOOKUP(B310,'C'!A1:I54,IF(Settings!$J$13="points",6,9),FALSE)</f>
        <v>-1.1887571803518129</v>
      </c>
      <c r="J310" s="30"/>
      <c r="K310" s="30">
        <f ca="1">J310-A310</f>
        <v>-315</v>
      </c>
      <c r="L310" s="30"/>
      <c r="M310" s="30">
        <f>VLOOKUP($B310,Hitters!$A1:$R401,4,FALSE)</f>
        <v>386.33333333333297</v>
      </c>
      <c r="N310" s="30">
        <f>VLOOKUP($B310,Hitters!$A1:$R401,5,FALSE)</f>
        <v>45.8</v>
      </c>
      <c r="O310" s="30">
        <f>VLOOKUP($B310,Hitters!$A1:$R401,6,FALSE)</f>
        <v>20.566666666666698</v>
      </c>
      <c r="P310" s="30">
        <f>VLOOKUP($B310,Hitters!$A1:$R401,7,FALSE)</f>
        <v>57.6666666666667</v>
      </c>
      <c r="Q310" s="30">
        <f>VLOOKUP($B310,Hitters!$A1:$R401,8,FALSE)</f>
        <v>1.7333333333333301</v>
      </c>
      <c r="R310" s="32">
        <f>VLOOKUP($B310,Hitters!$A1:$R401,9,FALSE)</f>
        <v>0.215789473684211</v>
      </c>
      <c r="S310" s="32">
        <f>VLOOKUP($B310,Hitters!$A1:$R401,10,FALSE)</f>
        <v>0.27531314212834301</v>
      </c>
      <c r="T310" s="30">
        <f>VLOOKUP($B310,Hitters!$A1:$R401,11,FALSE)</f>
        <v>83.366666666666703</v>
      </c>
      <c r="U310" s="30">
        <f>VLOOKUP($B310,Hitters!$A1:$R401,12,FALSE)</f>
        <v>22.466666666666701</v>
      </c>
      <c r="V310" s="30">
        <f>VLOOKUP($B310,Hitters!$A1:$R401,13,FALSE)</f>
        <v>0.93333333333333302</v>
      </c>
      <c r="W310" s="30">
        <f>VLOOKUP($B310,Hitters!$A1:$R401,14,FALSE)</f>
        <v>33.200000000000003</v>
      </c>
      <c r="X310" s="30">
        <f>VLOOKUP($B310,Hitters!$A1:$R401,15,FALSE)</f>
        <v>122.366666666667</v>
      </c>
      <c r="Y310" s="32">
        <f>VLOOKUP($B310,Hitters!$A1:$R401,16,FALSE)</f>
        <v>0.43848144952545298</v>
      </c>
      <c r="Z310" s="32">
        <f>VLOOKUP($B310,Hitters!$A1:$R401,17,FALSE)</f>
        <v>0.713794591653796</v>
      </c>
      <c r="AA310" s="30">
        <f>VLOOKUP($B310,Hitters!$A1:$R401,18,FALSE)</f>
        <v>0</v>
      </c>
      <c r="AB310" s="30"/>
      <c r="AC310" s="30"/>
      <c r="AD310" s="32"/>
      <c r="AE310" s="32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</row>
    <row r="311" spans="1:44" ht="18.600000000000001" customHeight="1">
      <c r="A311" s="24">
        <f ca="1">RANK(I311,I$2:I$651)</f>
        <v>300</v>
      </c>
      <c r="B311" s="25" t="s">
        <v>397</v>
      </c>
      <c r="C311" s="26" t="s">
        <v>142</v>
      </c>
      <c r="D311" s="26" t="s">
        <v>70</v>
      </c>
      <c r="E311" s="45" t="s">
        <v>19</v>
      </c>
      <c r="F311" s="46">
        <f ca="1">VLOOKUP(B311,'C'!A1:I54,IF(Settings!$J$13="points",4,7),FALSE)</f>
        <v>15</v>
      </c>
      <c r="G311" s="29">
        <f>(M311*Settings!$B$2)+(N311*Settings!$B$3)+(O311*Settings!$B$4)+(P311*Settings!$B$5)+(Q311*Settings!$B$6)+(T311*Settings!$B$9)+(U311*Settings!$B$10)+(V311*Settings!$B$11)+(W311*Settings!$B$12)+(X311*Settings!$B$13)+(AA311*Settings!$B$16)</f>
        <v>291.92500000000007</v>
      </c>
      <c r="H311" s="30">
        <f>VLOOKUP(B311,'Standard Deviations'!$A1:$D651,4,FALSE)</f>
        <v>-1.221774201016895</v>
      </c>
      <c r="I311" s="31">
        <f ca="1">VLOOKUP(B311,'C'!A1:I54,IF(Settings!$J$13="points",6,9),FALSE)</f>
        <v>-0.90468480638145199</v>
      </c>
      <c r="J311" s="30"/>
      <c r="K311" s="30">
        <f ca="1">J311-A311</f>
        <v>-300</v>
      </c>
      <c r="L311" s="30"/>
      <c r="M311" s="30">
        <f>VLOOKUP($B311,Hitters!$A1:$R401,4,FALSE)</f>
        <v>420</v>
      </c>
      <c r="N311" s="30">
        <f>VLOOKUP($B311,Hitters!$A1:$R401,5,FALSE)</f>
        <v>48.1</v>
      </c>
      <c r="O311" s="30">
        <f>VLOOKUP($B311,Hitters!$A1:$R401,6,FALSE)</f>
        <v>17.350000000000001</v>
      </c>
      <c r="P311" s="30">
        <f>VLOOKUP($B311,Hitters!$A1:$R401,7,FALSE)</f>
        <v>54.5</v>
      </c>
      <c r="Q311" s="30">
        <f>VLOOKUP($B311,Hitters!$A1:$R401,8,FALSE)</f>
        <v>2.7</v>
      </c>
      <c r="R311" s="32">
        <f>VLOOKUP($B311,Hitters!$A1:$R401,9,FALSE)</f>
        <v>0.22773809523809499</v>
      </c>
      <c r="S311" s="32">
        <f>VLOOKUP($B311,Hitters!$A1:$R401,10,FALSE)</f>
        <v>0.28467232745482302</v>
      </c>
      <c r="T311" s="30">
        <f>VLOOKUP($B311,Hitters!$A1:$R401,11,FALSE)</f>
        <v>95.65</v>
      </c>
      <c r="U311" s="30">
        <f>VLOOKUP($B311,Hitters!$A1:$R401,12,FALSE)</f>
        <v>20.8</v>
      </c>
      <c r="V311" s="30">
        <f>VLOOKUP($B311,Hitters!$A1:$R401,13,FALSE)</f>
        <v>1.65</v>
      </c>
      <c r="W311" s="30">
        <f>VLOOKUP($B311,Hitters!$A1:$R401,14,FALSE)</f>
        <v>35.1</v>
      </c>
      <c r="X311" s="30">
        <f>VLOOKUP($B311,Hitters!$A1:$R401,15,FALSE)</f>
        <v>125.55</v>
      </c>
      <c r="Y311" s="32">
        <f>VLOOKUP($B311,Hitters!$A1:$R401,16,FALSE)</f>
        <v>0.40904761904761899</v>
      </c>
      <c r="Z311" s="32">
        <f>VLOOKUP($B311,Hitters!$A1:$R401,17,FALSE)</f>
        <v>0.69371994650244195</v>
      </c>
      <c r="AA311" s="30">
        <f>VLOOKUP($B311,Hitters!$A1:$R401,18,FALSE)</f>
        <v>0</v>
      </c>
      <c r="AB311" s="30"/>
      <c r="AC311" s="30"/>
      <c r="AD311" s="32"/>
      <c r="AE311" s="32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</row>
    <row r="312" spans="1:44" ht="18.600000000000001" customHeight="1">
      <c r="A312" s="24">
        <f ca="1">RANK(I312,I$2:I$651)</f>
        <v>301</v>
      </c>
      <c r="B312" s="25" t="s">
        <v>398</v>
      </c>
      <c r="C312" s="26" t="s">
        <v>72</v>
      </c>
      <c r="D312" s="26" t="s">
        <v>70</v>
      </c>
      <c r="E312" s="27" t="s">
        <v>23</v>
      </c>
      <c r="F312" s="28">
        <f ca="1">VLOOKUP(B312,OF!A1:I139,IF(Settings!$J$13="points",4,7),FALSE)</f>
        <v>83</v>
      </c>
      <c r="G312" s="29">
        <f>(M312*Settings!$B$2)+(N312*Settings!$B$3)+(O312*Settings!$B$4)+(P312*Settings!$B$5)+(Q312*Settings!$B$6)+(T312*Settings!$B$9)+(U312*Settings!$B$10)+(V312*Settings!$B$11)+(W312*Settings!$B$12)+(X312*Settings!$B$13)+(AA312*Settings!$B$16)</f>
        <v>290.36666666666662</v>
      </c>
      <c r="H312" s="30">
        <f>VLOOKUP(B312,'Standard Deviations'!$A1:$D651,4,FALSE)</f>
        <v>-0.81860319529702963</v>
      </c>
      <c r="I312" s="31">
        <f ca="1">VLOOKUP(B312,OF!A1:I139,IF(Settings!$J$13="points",6,9),FALSE)</f>
        <v>-0.93732357555563073</v>
      </c>
      <c r="J312" s="30"/>
      <c r="K312" s="30">
        <f ca="1">J312-A312</f>
        <v>-301</v>
      </c>
      <c r="L312" s="30"/>
      <c r="M312" s="30">
        <f>VLOOKUP($B312,Hitters!$A1:$R401,4,FALSE)</f>
        <v>388.66666666666703</v>
      </c>
      <c r="N312" s="30">
        <f>VLOOKUP($B312,Hitters!$A1:$R401,5,FALSE)</f>
        <v>49.133333333333297</v>
      </c>
      <c r="O312" s="30">
        <f>VLOOKUP($B312,Hitters!$A1:$R401,6,FALSE)</f>
        <v>16.266666666666701</v>
      </c>
      <c r="P312" s="30">
        <f>VLOOKUP($B312,Hitters!$A1:$R401,7,FALSE)</f>
        <v>49.133333333333297</v>
      </c>
      <c r="Q312" s="30">
        <f>VLOOKUP($B312,Hitters!$A1:$R401,8,FALSE)</f>
        <v>9.6</v>
      </c>
      <c r="R312" s="32">
        <f>VLOOKUP($B312,Hitters!$A1:$R401,9,FALSE)</f>
        <v>0.22161234991423701</v>
      </c>
      <c r="S312" s="32">
        <f>VLOOKUP($B312,Hitters!$A1:$R401,10,FALSE)</f>
        <v>0.28715220695430999</v>
      </c>
      <c r="T312" s="30">
        <f>VLOOKUP($B312,Hitters!$A1:$R401,11,FALSE)</f>
        <v>86.133333333333297</v>
      </c>
      <c r="U312" s="30">
        <f>VLOOKUP($B312,Hitters!$A1:$R401,12,FALSE)</f>
        <v>18.6666666666667</v>
      </c>
      <c r="V312" s="30">
        <f>VLOOKUP($B312,Hitters!$A1:$R401,13,FALSE)</f>
        <v>1.1000000000000001</v>
      </c>
      <c r="W312" s="30">
        <f>VLOOKUP($B312,Hitters!$A1:$R401,14,FALSE)</f>
        <v>37.299999999999997</v>
      </c>
      <c r="X312" s="30">
        <f>VLOOKUP($B312,Hitters!$A1:$R401,15,FALSE)</f>
        <v>112.466666666667</v>
      </c>
      <c r="Y312" s="32">
        <f>VLOOKUP($B312,Hitters!$A1:$R401,16,FALSE)</f>
        <v>0.400857632933105</v>
      </c>
      <c r="Z312" s="32">
        <f>VLOOKUP($B312,Hitters!$A1:$R401,17,FALSE)</f>
        <v>0.68800983988741504</v>
      </c>
      <c r="AA312" s="30">
        <f>VLOOKUP($B312,Hitters!$A1:$R401,18,FALSE)</f>
        <v>0</v>
      </c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</row>
    <row r="313" spans="1:44" ht="18.600000000000001" customHeight="1">
      <c r="A313" s="24">
        <f ca="1">RANK(I313,I$2:I$651)</f>
        <v>233</v>
      </c>
      <c r="B313" s="25" t="s">
        <v>330</v>
      </c>
      <c r="C313" s="26" t="s">
        <v>260</v>
      </c>
      <c r="D313" s="26" t="s">
        <v>70</v>
      </c>
      <c r="E313" s="27" t="s">
        <v>23</v>
      </c>
      <c r="F313" s="28">
        <f ca="1">VLOOKUP(B313,OF!A1:I139,IF(Settings!$J$13="points",4,7),FALSE)</f>
        <v>68</v>
      </c>
      <c r="G313" s="29">
        <f>(M313*Settings!$B$2)+(N313*Settings!$B$3)+(O313*Settings!$B$4)+(P313*Settings!$B$5)+(Q313*Settings!$B$6)+(T313*Settings!$B$9)+(U313*Settings!$B$10)+(V313*Settings!$B$11)+(W313*Settings!$B$12)+(X313*Settings!$B$13)+(AA313*Settings!$B$16)</f>
        <v>290.18333333333351</v>
      </c>
      <c r="H313" s="30">
        <f>VLOOKUP(B313,'Standard Deviations'!$A1:$D651,4,FALSE)</f>
        <v>0.1187143002661315</v>
      </c>
      <c r="I313" s="31">
        <f ca="1">VLOOKUP(B313,OF!A1:I139,IF(Settings!$J$13="points",6,9),FALSE)</f>
        <v>0</v>
      </c>
      <c r="J313" s="30"/>
      <c r="K313" s="30">
        <f ca="1">J313-A313</f>
        <v>-233</v>
      </c>
      <c r="L313" s="30"/>
      <c r="M313" s="30">
        <f>VLOOKUP($B313,Hitters!$A1:$R401,4,FALSE)</f>
        <v>386.33333333333297</v>
      </c>
      <c r="N313" s="30">
        <f>VLOOKUP($B313,Hitters!$A1:$R401,5,FALSE)</f>
        <v>50.566666666666698</v>
      </c>
      <c r="O313" s="30">
        <f>VLOOKUP($B313,Hitters!$A1:$R401,6,FALSE)</f>
        <v>9.2666666666666693</v>
      </c>
      <c r="P313" s="30">
        <f>VLOOKUP($B313,Hitters!$A1:$R401,7,FALSE)</f>
        <v>40.9</v>
      </c>
      <c r="Q313" s="30">
        <f>VLOOKUP($B313,Hitters!$A1:$R401,8,FALSE)</f>
        <v>17.8</v>
      </c>
      <c r="R313" s="32">
        <f>VLOOKUP($B313,Hitters!$A1:$R401,9,FALSE)</f>
        <v>0.239948231233822</v>
      </c>
      <c r="S313" s="32">
        <f>VLOOKUP($B313,Hitters!$A1:$R401,10,FALSE)</f>
        <v>0.31404437817522202</v>
      </c>
      <c r="T313" s="30">
        <f>VLOOKUP($B313,Hitters!$A1:$R401,11,FALSE)</f>
        <v>92.7</v>
      </c>
      <c r="U313" s="30">
        <f>VLOOKUP($B313,Hitters!$A1:$R401,12,FALSE)</f>
        <v>15.133333333333301</v>
      </c>
      <c r="V313" s="30">
        <f>VLOOKUP($B313,Hitters!$A1:$R401,13,FALSE)</f>
        <v>5.0999999999999996</v>
      </c>
      <c r="W313" s="30">
        <f>VLOOKUP($B313,Hitters!$A1:$R401,14,FALSE)</f>
        <v>43.5</v>
      </c>
      <c r="X313" s="30">
        <f>VLOOKUP($B313,Hitters!$A1:$R401,15,FALSE)</f>
        <v>111.433333333333</v>
      </c>
      <c r="Y313" s="32">
        <f>VLOOKUP($B313,Hitters!$A1:$R401,16,FALSE)</f>
        <v>0.37748058671268298</v>
      </c>
      <c r="Z313" s="32">
        <f>VLOOKUP($B313,Hitters!$A1:$R401,17,FALSE)</f>
        <v>0.69152496488790605</v>
      </c>
      <c r="AA313" s="30">
        <f>VLOOKUP($B313,Hitters!$A1:$R401,18,FALSE)</f>
        <v>0</v>
      </c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</row>
    <row r="314" spans="1:44" ht="20.100000000000001" customHeight="1">
      <c r="A314" s="24">
        <f ca="1">RANK(I314,I$2:I$651)</f>
        <v>297</v>
      </c>
      <c r="B314" s="25" t="s">
        <v>394</v>
      </c>
      <c r="C314" s="26" t="s">
        <v>64</v>
      </c>
      <c r="D314" s="26" t="s">
        <v>75</v>
      </c>
      <c r="E314" s="35" t="s">
        <v>31</v>
      </c>
      <c r="F314" s="36">
        <f ca="1">VLOOKUP(B314,SP!A1:I161,IF(Settings!$J$13="points",4,7),FALSE)</f>
        <v>89</v>
      </c>
      <c r="G314" s="29">
        <f>(AC314*Settings!$F$2)+(AF314*Settings!$F$5)+(AG314*Settings!$F$6)+(AH314*Settings!$F$7)+(AI314*Settings!$F$8)+(AJ314*Settings!$F$9)+(AK314*Settings!$F$10)+(AL314*Settings!$F$11)+(AM314*Settings!$F$12)+(AN314*Settings!$F$13)+(AO314*Settings!$F$14)+(AP314*Settings!$F$15)+(AQ314*Settings!$F$16)+(AR314*Settings!$F$17)</f>
        <v>288.53333333333342</v>
      </c>
      <c r="H314" s="30">
        <f>VLOOKUP(B314,'Standard Deviations'!$A1:$D651,4,FALSE)</f>
        <v>-0.70673011914586792</v>
      </c>
      <c r="I314" s="31">
        <f ca="1">IF(Settings!$J$16="no",VLOOKUP(B314,SP!A1:I161,IF(Settings!$J$13="points",6,9),FALSE),VLOOKUP(B314,'SP+RP'!$A1:$I251,IF(Settings!$J$13="points",6,9),FALSE))</f>
        <v>-0.84271127487279107</v>
      </c>
      <c r="J314" s="30"/>
      <c r="K314" s="30">
        <f ca="1">J314-A314</f>
        <v>-297</v>
      </c>
      <c r="L314" s="30"/>
      <c r="M314" s="30"/>
      <c r="N314" s="30"/>
      <c r="O314" s="30"/>
      <c r="P314" s="30"/>
      <c r="Q314" s="30"/>
      <c r="R314" s="32"/>
      <c r="S314" s="32"/>
      <c r="T314" s="30"/>
      <c r="U314" s="30"/>
      <c r="V314" s="30"/>
      <c r="W314" s="30"/>
      <c r="X314" s="30"/>
      <c r="Y314" s="32"/>
      <c r="Z314" s="32"/>
      <c r="AA314" s="30"/>
      <c r="AB314" s="30"/>
      <c r="AC314" s="30">
        <f>VLOOKUP($B314,Pitchers!$A1:$S251,4,FALSE)</f>
        <v>134.83333333333334</v>
      </c>
      <c r="AD314" s="32">
        <f>VLOOKUP($B314,Pitchers!$A1:$S251,5,FALSE)</f>
        <v>4.0538936959208893</v>
      </c>
      <c r="AE314" s="32">
        <f>VLOOKUP($B314,Pitchers!$A1:$S251,6,FALSE)</f>
        <v>1.2093943139678613</v>
      </c>
      <c r="AF314" s="30">
        <f>VLOOKUP($B314,Pitchers!$A1:$S251,7,FALSE)</f>
        <v>118.33333333333333</v>
      </c>
      <c r="AG314" s="30">
        <f>VLOOKUP($B314,Pitchers!$A1:$S251,8,FALSE)</f>
        <v>6.5</v>
      </c>
      <c r="AH314" s="30">
        <f>VLOOKUP($B314,Pitchers!$A1:$S251,9,FALSE)</f>
        <v>2</v>
      </c>
      <c r="AI314" s="30">
        <f>VLOOKUP($B314,Pitchers!$A1:$S251,10,FALSE)</f>
        <v>60.733333333333327</v>
      </c>
      <c r="AJ314" s="30">
        <f>VLOOKUP($B314,Pitchers!$A1:$S251,11,FALSE)</f>
        <v>119.66666666666667</v>
      </c>
      <c r="AK314" s="30">
        <f>VLOOKUP($B314,Pitchers!$A1:$S251,12,FALSE)</f>
        <v>43.4</v>
      </c>
      <c r="AL314" s="30">
        <f>VLOOKUP($B314,Pitchers!$A1:$S251,13,FALSE)</f>
        <v>16</v>
      </c>
      <c r="AM314" s="30">
        <f>VLOOKUP($B314,Pitchers!$A1:$S251,14,FALSE)</f>
        <v>30.900000000000002</v>
      </c>
      <c r="AN314" s="30">
        <f>VLOOKUP($B314,Pitchers!$A1:$S251,15,FALSE)</f>
        <v>18.900000000000002</v>
      </c>
      <c r="AO314" s="30">
        <f>VLOOKUP($B314,Pitchers!$A1:$S251,16,FALSE)</f>
        <v>6.3666666666666671</v>
      </c>
      <c r="AP314" s="30">
        <f>VLOOKUP($B314,Pitchers!$A1:$S251,17,FALSE)</f>
        <v>7</v>
      </c>
      <c r="AQ314" s="30">
        <f>VLOOKUP($B314,Pitchers!$A1:$S251,18,FALSE)</f>
        <v>2</v>
      </c>
      <c r="AR314" s="30">
        <f>VLOOKUP($B314,Pitchers!$A1:$S251,19,FALSE)</f>
        <v>0</v>
      </c>
    </row>
    <row r="315" spans="1:44" ht="18.600000000000001" customHeight="1">
      <c r="A315" s="24">
        <f ca="1">RANK(I315,I$2:I$651)</f>
        <v>268</v>
      </c>
      <c r="B315" s="25" t="s">
        <v>366</v>
      </c>
      <c r="C315" s="26" t="s">
        <v>74</v>
      </c>
      <c r="D315" s="26" t="s">
        <v>75</v>
      </c>
      <c r="E315" s="27" t="s">
        <v>23</v>
      </c>
      <c r="F315" s="28">
        <f ca="1">VLOOKUP(B315,OF!A1:I139,IF(Settings!$J$13="points",4,7),FALSE)</f>
        <v>73</v>
      </c>
      <c r="G315" s="29">
        <f>(M315*Settings!$B$2)+(N315*Settings!$B$3)+(O315*Settings!$B$4)+(P315*Settings!$B$5)+(Q315*Settings!$B$6)+(T315*Settings!$B$9)+(U315*Settings!$B$10)+(V315*Settings!$B$11)+(W315*Settings!$B$12)+(X315*Settings!$B$13)+(AA315*Settings!$B$16)</f>
        <v>287.72500000000002</v>
      </c>
      <c r="H315" s="30">
        <f>VLOOKUP(B315,'Standard Deviations'!$A1:$D651,4,FALSE)</f>
        <v>-0.42109639423258138</v>
      </c>
      <c r="I315" s="31">
        <f ca="1">VLOOKUP(B315,OF!A1:I139,IF(Settings!$J$13="points",6,9),FALSE)</f>
        <v>-0.53980936059996054</v>
      </c>
      <c r="J315" s="30"/>
      <c r="K315" s="30">
        <f ca="1">J315-A315</f>
        <v>-268</v>
      </c>
      <c r="L315" s="30"/>
      <c r="M315" s="30">
        <f>VLOOKUP($B315,Hitters!$A1:$R401,4,FALSE)</f>
        <v>374.5</v>
      </c>
      <c r="N315" s="30">
        <f>VLOOKUP($B315,Hitters!$A1:$R401,5,FALSE)</f>
        <v>50.1</v>
      </c>
      <c r="O315" s="30">
        <f>VLOOKUP($B315,Hitters!$A1:$R401,6,FALSE)</f>
        <v>17.149999999999999</v>
      </c>
      <c r="P315" s="30">
        <f>VLOOKUP($B315,Hitters!$A1:$R401,7,FALSE)</f>
        <v>54.05</v>
      </c>
      <c r="Q315" s="30">
        <f>VLOOKUP($B315,Hitters!$A1:$R401,8,FALSE)</f>
        <v>1.95</v>
      </c>
      <c r="R315" s="32">
        <f>VLOOKUP($B315,Hitters!$A1:$R401,9,FALSE)</f>
        <v>0.245527369826435</v>
      </c>
      <c r="S315" s="32">
        <f>VLOOKUP($B315,Hitters!$A1:$R401,10,FALSE)</f>
        <v>0.30459442062691999</v>
      </c>
      <c r="T315" s="30">
        <f>VLOOKUP($B315,Hitters!$A1:$R401,11,FALSE)</f>
        <v>91.95</v>
      </c>
      <c r="U315" s="30">
        <f>VLOOKUP($B315,Hitters!$A1:$R401,12,FALSE)</f>
        <v>15.8</v>
      </c>
      <c r="V315" s="30">
        <f>VLOOKUP($B315,Hitters!$A1:$R401,13,FALSE)</f>
        <v>0.75</v>
      </c>
      <c r="W315" s="30">
        <f>VLOOKUP($B315,Hitters!$A1:$R401,14,FALSE)</f>
        <v>33.450000000000003</v>
      </c>
      <c r="X315" s="30">
        <f>VLOOKUP($B315,Hitters!$A1:$R401,15,FALSE)</f>
        <v>96.35</v>
      </c>
      <c r="Y315" s="32">
        <f>VLOOKUP($B315,Hitters!$A1:$R401,16,FALSE)</f>
        <v>0.42910547396528698</v>
      </c>
      <c r="Z315" s="32">
        <f>VLOOKUP($B315,Hitters!$A1:$R401,17,FALSE)</f>
        <v>0.73369989459220797</v>
      </c>
      <c r="AA315" s="30">
        <f>VLOOKUP($B315,Hitters!$A1:$R401,18,FALSE)</f>
        <v>0</v>
      </c>
      <c r="AB315" s="30"/>
      <c r="AC315" s="30"/>
      <c r="AD315" s="32"/>
      <c r="AE315" s="32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</row>
    <row r="316" spans="1:44" ht="18.600000000000001" customHeight="1">
      <c r="A316" s="24">
        <f ca="1">RANK(I316,I$2:I$651)</f>
        <v>416</v>
      </c>
      <c r="B316" s="25" t="s">
        <v>513</v>
      </c>
      <c r="C316" s="26" t="s">
        <v>160</v>
      </c>
      <c r="D316" s="26" t="s">
        <v>75</v>
      </c>
      <c r="E316" s="39" t="s">
        <v>7</v>
      </c>
      <c r="F316" s="40">
        <f ca="1">VLOOKUP(B316,'1B'!A1:I63,IF(Settings!$J$13="points",4,7),FALSE)</f>
        <v>33</v>
      </c>
      <c r="G316" s="29">
        <f>(M316*Settings!$B$2)+(N316*Settings!$B$3)+(O316*Settings!$B$4)+(P316*Settings!$B$5)+(Q316*Settings!$B$6)+(T316*Settings!$B$9)+(U316*Settings!$B$10)+(V316*Settings!$B$11)+(W316*Settings!$B$12)+(X316*Settings!$B$13)+(AA316*Settings!$B$16)</f>
        <v>287.53333333333342</v>
      </c>
      <c r="H316" s="30">
        <f>VLOOKUP(B316,'Standard Deviations'!$A1:$D651,4,FALSE)</f>
        <v>-8.7715842741179273E-2</v>
      </c>
      <c r="I316" s="31">
        <f ca="1">IF(Settings!$J$15="no",VLOOKUP(B316,'1B'!A1:I63,IF(Settings!$J$13="points",6,9),FALSE),VLOOKUP(B316,'1B+3B'!$A1:$I104,IF(Settings!$J$13="points",6,9),FALSE))</f>
        <v>-2.6672434175135771</v>
      </c>
      <c r="J316" s="30"/>
      <c r="K316" s="30">
        <f ca="1">J316-A316</f>
        <v>-416</v>
      </c>
      <c r="L316" s="30"/>
      <c r="M316" s="30">
        <f>VLOOKUP($B316,Hitters!$A1:$R401,4,FALSE)</f>
        <v>387</v>
      </c>
      <c r="N316" s="30">
        <f>VLOOKUP($B316,Hitters!$A1:$R401,5,FALSE)</f>
        <v>45.1666666666667</v>
      </c>
      <c r="O316" s="30">
        <f>VLOOKUP($B316,Hitters!$A1:$R401,6,FALSE)</f>
        <v>11.0666666666667</v>
      </c>
      <c r="P316" s="30">
        <f>VLOOKUP($B316,Hitters!$A1:$R401,7,FALSE)</f>
        <v>50.1</v>
      </c>
      <c r="Q316" s="30">
        <f>VLOOKUP($B316,Hitters!$A1:$R401,8,FALSE)</f>
        <v>2.9</v>
      </c>
      <c r="R316" s="32">
        <f>VLOOKUP($B316,Hitters!$A1:$R401,9,FALSE)</f>
        <v>0.27338501291989697</v>
      </c>
      <c r="S316" s="32">
        <f>VLOOKUP($B316,Hitters!$A1:$R401,10,FALSE)</f>
        <v>0.329777979796397</v>
      </c>
      <c r="T316" s="30">
        <f>VLOOKUP($B316,Hitters!$A1:$R401,11,FALSE)</f>
        <v>105.8</v>
      </c>
      <c r="U316" s="30">
        <f>VLOOKUP($B316,Hitters!$A1:$R401,12,FALSE)</f>
        <v>18.3333333333333</v>
      </c>
      <c r="V316" s="30">
        <f>VLOOKUP($B316,Hitters!$A1:$R401,13,FALSE)</f>
        <v>0.5</v>
      </c>
      <c r="W316" s="30">
        <f>VLOOKUP($B316,Hitters!$A1:$R401,14,FALSE)</f>
        <v>34.466666666666697</v>
      </c>
      <c r="X316" s="30">
        <f>VLOOKUP($B316,Hitters!$A1:$R401,15,FALSE)</f>
        <v>72.466666666666697</v>
      </c>
      <c r="Y316" s="32">
        <f>VLOOKUP($B316,Hitters!$A1:$R401,16,FALSE)</f>
        <v>0.40913006029285098</v>
      </c>
      <c r="Z316" s="32">
        <f>VLOOKUP($B316,Hitters!$A1:$R401,17,FALSE)</f>
        <v>0.73890804008924804</v>
      </c>
      <c r="AA316" s="30">
        <f>VLOOKUP($B316,Hitters!$A1:$R401,18,FALSE)</f>
        <v>0</v>
      </c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</row>
    <row r="317" spans="1:44" ht="18.600000000000001" customHeight="1">
      <c r="A317" s="24">
        <f ca="1">RANK(I317,I$2:I$651)</f>
        <v>559</v>
      </c>
      <c r="B317" s="25" t="s">
        <v>656</v>
      </c>
      <c r="C317" s="26" t="s">
        <v>139</v>
      </c>
      <c r="D317" s="26" t="s">
        <v>75</v>
      </c>
      <c r="E317" s="39" t="s">
        <v>7</v>
      </c>
      <c r="F317" s="40">
        <f ca="1">VLOOKUP(B317,'1B'!A1:I63,IF(Settings!$J$13="points",4,7),FALSE)</f>
        <v>43</v>
      </c>
      <c r="G317" s="29">
        <f>(M317*Settings!$B$2)+(N317*Settings!$B$3)+(O317*Settings!$B$4)+(P317*Settings!$B$5)+(Q317*Settings!$B$6)+(T317*Settings!$B$9)+(U317*Settings!$B$10)+(V317*Settings!$B$11)+(W317*Settings!$B$12)+(X317*Settings!$B$13)+(AA317*Settings!$B$16)</f>
        <v>286.9499999999997</v>
      </c>
      <c r="H317" s="30">
        <f>VLOOKUP(B317,'Standard Deviations'!$A1:$D651,4,FALSE)</f>
        <v>-1.9145815381978761</v>
      </c>
      <c r="I317" s="31">
        <f ca="1">IF(Settings!$J$15="no",VLOOKUP(B317,'1B'!A1:I63,IF(Settings!$J$13="points",6,9),FALSE),VLOOKUP(B317,'1B+3B'!$A1:$I104,IF(Settings!$J$13="points",6,9),FALSE))</f>
        <v>-4.4941129589378246</v>
      </c>
      <c r="J317" s="30"/>
      <c r="K317" s="30">
        <f ca="1">J317-A317</f>
        <v>-559</v>
      </c>
      <c r="L317" s="30"/>
      <c r="M317" s="30">
        <f>VLOOKUP($B317,Hitters!$A1:$R401,4,FALSE)</f>
        <v>374.33333333333297</v>
      </c>
      <c r="N317" s="30">
        <f>VLOOKUP($B317,Hitters!$A1:$R401,5,FALSE)</f>
        <v>47.733333333333299</v>
      </c>
      <c r="O317" s="30">
        <f>VLOOKUP($B317,Hitters!$A1:$R401,6,FALSE)</f>
        <v>13.033333333333299</v>
      </c>
      <c r="P317" s="30">
        <f>VLOOKUP($B317,Hitters!$A1:$R401,7,FALSE)</f>
        <v>53.466666666666697</v>
      </c>
      <c r="Q317" s="30">
        <f>VLOOKUP($B317,Hitters!$A1:$R401,8,FALSE)</f>
        <v>0.2</v>
      </c>
      <c r="R317" s="32">
        <f>VLOOKUP($B317,Hitters!$A1:$R401,9,FALSE)</f>
        <v>0.233659839715049</v>
      </c>
      <c r="S317" s="32">
        <f>VLOOKUP($B317,Hitters!$A1:$R401,10,FALSE)</f>
        <v>0.33520660652875101</v>
      </c>
      <c r="T317" s="30">
        <f>VLOOKUP($B317,Hitters!$A1:$R401,11,FALSE)</f>
        <v>87.466666666666697</v>
      </c>
      <c r="U317" s="30">
        <f>VLOOKUP($B317,Hitters!$A1:$R401,12,FALSE)</f>
        <v>22.3333333333333</v>
      </c>
      <c r="V317" s="30">
        <f>VLOOKUP($B317,Hitters!$A1:$R401,13,FALSE)</f>
        <v>0.5</v>
      </c>
      <c r="W317" s="30">
        <f>VLOOKUP($B317,Hitters!$A1:$R401,14,FALSE)</f>
        <v>59.066666666666698</v>
      </c>
      <c r="X317" s="30">
        <f>VLOOKUP($B317,Hitters!$A1:$R401,15,FALSE)</f>
        <v>118.966666666667</v>
      </c>
      <c r="Y317" s="32">
        <f>VLOOKUP($B317,Hitters!$A1:$R401,16,FALSE)</f>
        <v>0.40044523597506698</v>
      </c>
      <c r="Z317" s="32">
        <f>VLOOKUP($B317,Hitters!$A1:$R401,17,FALSE)</f>
        <v>0.73565184250381799</v>
      </c>
      <c r="AA317" s="30">
        <f>VLOOKUP($B317,Hitters!$A1:$R401,18,FALSE)</f>
        <v>0</v>
      </c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</row>
    <row r="318" spans="1:44" ht="20.100000000000001" customHeight="1">
      <c r="A318" s="24">
        <f ca="1">RANK(I318,I$2:I$651)</f>
        <v>207</v>
      </c>
      <c r="B318" s="25" t="s">
        <v>304</v>
      </c>
      <c r="C318" s="26" t="s">
        <v>119</v>
      </c>
      <c r="D318" s="26" t="s">
        <v>70</v>
      </c>
      <c r="E318" s="41" t="s">
        <v>34</v>
      </c>
      <c r="F318" s="42">
        <f ca="1">VLOOKUP(B318,RP!A1:I91,IF(Settings!$J$13="points",4,7),FALSE)</f>
        <v>19</v>
      </c>
      <c r="G318" s="29">
        <f>(AC318*Settings!$F$2)+(AF318*Settings!$F$5)+(AG318*Settings!$F$6)+(AH318*Settings!$F$7)+(AI318*Settings!$F$8)+(AJ318*Settings!$F$9)+(AK318*Settings!$F$10)+(AL318*Settings!$F$11)+(AM318*Settings!$F$12)+(AN318*Settings!$F$13)+(AO318*Settings!$F$14)+(AP318*Settings!$F$15)+(AQ318*Settings!$F$16)+(AR318*Settings!$F$17)</f>
        <v>286.79999999999995</v>
      </c>
      <c r="H318" s="30">
        <f>VLOOKUP(B318,'Standard Deviations'!$A1:$D651,4,FALSE)</f>
        <v>1.9574555793842254</v>
      </c>
      <c r="I318" s="31">
        <f ca="1">IF(Settings!$J$16="no",VLOOKUP(B318,RP!A1:I91,IF(Settings!$J$13="points",6,9),FALSE),VLOOKUP(B318,'SP+RP'!$A1:$I251,IF(Settings!$J$13="points",6,9),FALSE))</f>
        <v>0.38639029234974176</v>
      </c>
      <c r="J318" s="30"/>
      <c r="K318" s="30">
        <f ca="1">J318-A318</f>
        <v>-207</v>
      </c>
      <c r="L318" s="30"/>
      <c r="M318" s="30"/>
      <c r="N318" s="30"/>
      <c r="O318" s="30"/>
      <c r="P318" s="30"/>
      <c r="Q318" s="30"/>
      <c r="R318" s="32"/>
      <c r="S318" s="32"/>
      <c r="T318" s="30"/>
      <c r="U318" s="30"/>
      <c r="V318" s="30"/>
      <c r="W318" s="30"/>
      <c r="X318" s="30"/>
      <c r="Y318" s="32"/>
      <c r="Z318" s="32"/>
      <c r="AA318" s="30"/>
      <c r="AB318" s="30"/>
      <c r="AC318" s="30">
        <f>VLOOKUP($B318,Pitchers!$A1:$S251,4,FALSE)</f>
        <v>70.8</v>
      </c>
      <c r="AD318" s="32">
        <f>VLOOKUP($B318,Pitchers!$A1:$S251,5,FALSE)</f>
        <v>3.2076271186440684</v>
      </c>
      <c r="AE318" s="32">
        <f>VLOOKUP($B318,Pitchers!$A1:$S251,6,FALSE)</f>
        <v>1.1723163841807911</v>
      </c>
      <c r="AF318" s="30">
        <f>VLOOKUP($B318,Pitchers!$A1:$S251,7,FALSE)</f>
        <v>76.86666666666666</v>
      </c>
      <c r="AG318" s="30">
        <f>VLOOKUP($B318,Pitchers!$A1:$S251,8,FALSE)</f>
        <v>4.4333333333333336</v>
      </c>
      <c r="AH318" s="30">
        <f>VLOOKUP($B318,Pitchers!$A1:$S251,9,FALSE)</f>
        <v>18.333333333333332</v>
      </c>
      <c r="AI318" s="30">
        <f>VLOOKUP($B318,Pitchers!$A1:$S251,10,FALSE)</f>
        <v>25.233333333333334</v>
      </c>
      <c r="AJ318" s="30">
        <f>VLOOKUP($B318,Pitchers!$A1:$S251,11,FALSE)</f>
        <v>58.933333333333337</v>
      </c>
      <c r="AK318" s="30">
        <f>VLOOKUP($B318,Pitchers!$A1:$S251,12,FALSE)</f>
        <v>24.066666666666666</v>
      </c>
      <c r="AL318" s="30">
        <f>VLOOKUP($B318,Pitchers!$A1:$S251,13,FALSE)</f>
        <v>8</v>
      </c>
      <c r="AM318" s="30">
        <f>VLOOKUP($B318,Pitchers!$A1:$S251,14,FALSE)</f>
        <v>68.600000000000009</v>
      </c>
      <c r="AN318" s="30">
        <f>VLOOKUP($B318,Pitchers!$A1:$S251,15,FALSE)</f>
        <v>0</v>
      </c>
      <c r="AO318" s="30">
        <f>VLOOKUP($B318,Pitchers!$A1:$S251,16,FALSE)</f>
        <v>3.0333333333333332</v>
      </c>
      <c r="AP318" s="30">
        <f>VLOOKUP($B318,Pitchers!$A1:$S251,17,FALSE)</f>
        <v>0</v>
      </c>
      <c r="AQ318" s="30">
        <f>VLOOKUP($B318,Pitchers!$A1:$S251,18,FALSE)</f>
        <v>12</v>
      </c>
      <c r="AR318" s="30">
        <f>VLOOKUP($B318,Pitchers!$A1:$S251,19,FALSE)</f>
        <v>4</v>
      </c>
    </row>
    <row r="319" spans="1:44" ht="18.600000000000001" customHeight="1">
      <c r="A319" s="24">
        <f ca="1">RANK(I319,I$2:I$651)</f>
        <v>492</v>
      </c>
      <c r="B319" s="25" t="s">
        <v>587</v>
      </c>
      <c r="C319" s="26" t="s">
        <v>142</v>
      </c>
      <c r="D319" s="26" t="s">
        <v>70</v>
      </c>
      <c r="E319" s="39" t="s">
        <v>7</v>
      </c>
      <c r="F319" s="40">
        <f ca="1">VLOOKUP(B319,'1B'!A1:I63,IF(Settings!$J$13="points",4,7),FALSE)</f>
        <v>36</v>
      </c>
      <c r="G319" s="29">
        <f>(M319*Settings!$B$2)+(N319*Settings!$B$3)+(O319*Settings!$B$4)+(P319*Settings!$B$5)+(Q319*Settings!$B$6)+(T319*Settings!$B$9)+(U319*Settings!$B$10)+(V319*Settings!$B$11)+(W319*Settings!$B$12)+(X319*Settings!$B$13)+(AA319*Settings!$B$16)</f>
        <v>286.29999999999978</v>
      </c>
      <c r="H319" s="30">
        <f>VLOOKUP(B319,'Standard Deviations'!$A1:$D651,4,FALSE)</f>
        <v>-0.9342584971720157</v>
      </c>
      <c r="I319" s="31">
        <f ca="1">IF(Settings!$J$15="no",VLOOKUP(B319,'1B'!A1:I63,IF(Settings!$J$13="points",6,9),FALSE),VLOOKUP(B319,'1B+3B'!$A1:$I104,IF(Settings!$J$13="points",6,9),FALSE))</f>
        <v>-3.513791477563613</v>
      </c>
      <c r="J319" s="30"/>
      <c r="K319" s="30">
        <f ca="1">J319-A319</f>
        <v>-492</v>
      </c>
      <c r="L319" s="30"/>
      <c r="M319" s="30">
        <f>VLOOKUP($B319,Hitters!$A1:$R401,4,FALSE)</f>
        <v>393.33333333333297</v>
      </c>
      <c r="N319" s="30">
        <f>VLOOKUP($B319,Hitters!$A1:$R401,5,FALSE)</f>
        <v>44.9</v>
      </c>
      <c r="O319" s="30">
        <f>VLOOKUP($B319,Hitters!$A1:$R401,6,FALSE)</f>
        <v>15.8333333333333</v>
      </c>
      <c r="P319" s="30">
        <f>VLOOKUP($B319,Hitters!$A1:$R401,7,FALSE)</f>
        <v>55.866666666666703</v>
      </c>
      <c r="Q319" s="30">
        <f>VLOOKUP($B319,Hitters!$A1:$R401,8,FALSE)</f>
        <v>0.93333333333333302</v>
      </c>
      <c r="R319" s="32">
        <f>VLOOKUP($B319,Hitters!$A1:$R401,9,FALSE)</f>
        <v>0.24466101694915299</v>
      </c>
      <c r="S319" s="32">
        <f>VLOOKUP($B319,Hitters!$A1:$R401,10,FALSE)</f>
        <v>0.30111437857916701</v>
      </c>
      <c r="T319" s="30">
        <f>VLOOKUP($B319,Hitters!$A1:$R401,11,FALSE)</f>
        <v>96.233333333333306</v>
      </c>
      <c r="U319" s="30">
        <f>VLOOKUP($B319,Hitters!$A1:$R401,12,FALSE)</f>
        <v>18.533333333333299</v>
      </c>
      <c r="V319" s="30">
        <f>VLOOKUP($B319,Hitters!$A1:$R401,13,FALSE)</f>
        <v>0.133333333333333</v>
      </c>
      <c r="W319" s="30">
        <f>VLOOKUP($B319,Hitters!$A1:$R401,14,FALSE)</f>
        <v>33.466666666666697</v>
      </c>
      <c r="X319" s="30">
        <f>VLOOKUP($B319,Hitters!$A1:$R401,15,FALSE)</f>
        <v>93.6666666666667</v>
      </c>
      <c r="Y319" s="32">
        <f>VLOOKUP($B319,Hitters!$A1:$R401,16,FALSE)</f>
        <v>0.41322033898305099</v>
      </c>
      <c r="Z319" s="32">
        <f>VLOOKUP($B319,Hitters!$A1:$R401,17,FALSE)</f>
        <v>0.714334717562218</v>
      </c>
      <c r="AA319" s="30">
        <f>VLOOKUP($B319,Hitters!$A1:$R401,18,FALSE)</f>
        <v>0</v>
      </c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</row>
    <row r="320" spans="1:44" ht="18.600000000000001" customHeight="1">
      <c r="A320" s="24">
        <f ca="1">RANK(I320,I$2:I$651)</f>
        <v>273</v>
      </c>
      <c r="B320" s="25" t="s">
        <v>446</v>
      </c>
      <c r="C320" s="26" t="s">
        <v>142</v>
      </c>
      <c r="D320" s="26" t="s">
        <v>70</v>
      </c>
      <c r="E320" s="35" t="s">
        <v>31</v>
      </c>
      <c r="F320" s="36">
        <f ca="1">VLOOKUP(B320,SP!A1:I161,IF(Settings!$J$13="points",4,7),FALSE)</f>
        <v>82</v>
      </c>
      <c r="G320" s="29">
        <f>(AC320*Settings!$F$2)+(AF320*Settings!$F$5)+(AG320*Settings!$F$6)+(AH320*Settings!$F$7)+(AI320*Settings!$F$8)+(AJ320*Settings!$F$9)+(AK320*Settings!$F$10)+(AL320*Settings!$F$11)+(AM320*Settings!$F$12)+(AN320*Settings!$F$13)+(AO320*Settings!$F$14)+(AP320*Settings!$F$15)+(AQ320*Settings!$F$16)+(AR320*Settings!$F$17)</f>
        <v>286.17800000000005</v>
      </c>
      <c r="H320" s="30">
        <f>VLOOKUP(B320,'Standard Deviations'!$A1:$D651,4,FALSE)</f>
        <v>-0.46069937242155573</v>
      </c>
      <c r="I320" s="31">
        <f ca="1">IF(Settings!$J$16="no",VLOOKUP(B320,SP!A1:I161,IF(Settings!$J$13="points",6,9),FALSE),VLOOKUP(B320,'SP+RP'!$A1:$I251,IF(Settings!$J$13="points",6,9),FALSE))</f>
        <v>-0.59668405391869284</v>
      </c>
      <c r="J320" s="30"/>
      <c r="K320" s="30">
        <f ca="1">J320-A320</f>
        <v>-273</v>
      </c>
      <c r="L320" s="30"/>
      <c r="M320" s="30"/>
      <c r="N320" s="30"/>
      <c r="O320" s="30"/>
      <c r="P320" s="30"/>
      <c r="Q320" s="30"/>
      <c r="R320" s="32"/>
      <c r="S320" s="32"/>
      <c r="T320" s="30"/>
      <c r="U320" s="30"/>
      <c r="V320" s="30"/>
      <c r="W320" s="30"/>
      <c r="X320" s="30"/>
      <c r="Y320" s="32"/>
      <c r="Z320" s="32"/>
      <c r="AA320" s="30"/>
      <c r="AB320" s="30"/>
      <c r="AC320" s="30">
        <f>VLOOKUP($B320,Pitchers!$A1:$S251,4,FALSE)</f>
        <v>142.85</v>
      </c>
      <c r="AD320" s="32">
        <f>VLOOKUP($B320,Pitchers!$A1:$S251,5,FALSE)</f>
        <v>3.9123066153307668</v>
      </c>
      <c r="AE320" s="32">
        <f>VLOOKUP($B320,Pitchers!$A1:$S251,6,FALSE)</f>
        <v>1.2614630731536576</v>
      </c>
      <c r="AF320" s="30">
        <f>VLOOKUP($B320,Pitchers!$A1:$S251,7,FALSE)</f>
        <v>145.44999999999999</v>
      </c>
      <c r="AG320" s="30">
        <f>VLOOKUP($B320,Pitchers!$A1:$S251,8,FALSE)</f>
        <v>7.1</v>
      </c>
      <c r="AH320" s="30">
        <f>VLOOKUP($B320,Pitchers!$A1:$S251,9,FALSE)</f>
        <v>0</v>
      </c>
      <c r="AI320" s="30">
        <f>VLOOKUP($B320,Pitchers!$A1:$S251,10,FALSE)</f>
        <v>62.097000000000001</v>
      </c>
      <c r="AJ320" s="30">
        <f>VLOOKUP($B320,Pitchers!$A1:$S251,11,FALSE)</f>
        <v>127.75</v>
      </c>
      <c r="AK320" s="30">
        <f>VLOOKUP($B320,Pitchers!$A1:$S251,12,FALSE)</f>
        <v>52.45</v>
      </c>
      <c r="AL320" s="30">
        <f>VLOOKUP($B320,Pitchers!$A1:$S251,13,FALSE)</f>
        <v>23</v>
      </c>
      <c r="AM320" s="30">
        <f>VLOOKUP($B320,Pitchers!$A1:$S251,14,FALSE)</f>
        <v>30.85</v>
      </c>
      <c r="AN320" s="30">
        <f>VLOOKUP($B320,Pitchers!$A1:$S251,15,FALSE)</f>
        <v>29.35</v>
      </c>
      <c r="AO320" s="30">
        <f>VLOOKUP($B320,Pitchers!$A1:$S251,16,FALSE)</f>
        <v>10.5</v>
      </c>
      <c r="AP320" s="30">
        <f>VLOOKUP($B320,Pitchers!$A1:$S251,17,FALSE)</f>
        <v>10</v>
      </c>
      <c r="AQ320" s="30">
        <f>VLOOKUP($B320,Pitchers!$A1:$S251,18,FALSE)</f>
        <v>0</v>
      </c>
      <c r="AR320" s="30">
        <f>VLOOKUP($B320,Pitchers!$A1:$S251,19,FALSE)</f>
        <v>0</v>
      </c>
    </row>
    <row r="321" spans="1:44" ht="18.600000000000001" customHeight="1">
      <c r="A321" s="24">
        <f ca="1">RANK(I321,I$2:I$651)</f>
        <v>451</v>
      </c>
      <c r="B321" s="25" t="s">
        <v>548</v>
      </c>
      <c r="C321" s="26" t="s">
        <v>101</v>
      </c>
      <c r="D321" s="26" t="s">
        <v>70</v>
      </c>
      <c r="E321" s="47" t="s">
        <v>11</v>
      </c>
      <c r="F321" s="48">
        <f ca="1">VLOOKUP(B321,'2B'!A1:I50,IF(Settings!$J$13="points",4,7),FALSE)</f>
        <v>31</v>
      </c>
      <c r="G321" s="29">
        <f>(M321*Settings!$B$2)+(N321*Settings!$B$3)+(O321*Settings!$B$4)+(P321*Settings!$B$5)+(Q321*Settings!$B$6)+(T321*Settings!$B$9)+(U321*Settings!$B$10)+(V321*Settings!$B$11)+(W321*Settings!$B$12)+(X321*Settings!$B$13)+(AA321*Settings!$B$16)</f>
        <v>283.85000000000014</v>
      </c>
      <c r="H321" s="30">
        <f>VLOOKUP(B321,'Standard Deviations'!$A1:$D651,4,FALSE)</f>
        <v>-0.68954390149029798</v>
      </c>
      <c r="I321" s="31">
        <f ca="1">IF(Settings!$J$16="no",VLOOKUP(B321,'2B'!A1:I50,IF(Settings!$J$13="points",6,9),FALSE),VLOOKUP(B321,'2B+SS'!$A1:$I94,IF(Settings!$J$13="points",6,9),FALSE))</f>
        <v>-2.9972789408980534</v>
      </c>
      <c r="J321" s="30"/>
      <c r="K321" s="30">
        <f ca="1">J321-A321</f>
        <v>-451</v>
      </c>
      <c r="L321" s="30"/>
      <c r="M321" s="30">
        <f>VLOOKUP($B321,Hitters!$A1:$R401,4,FALSE)</f>
        <v>400</v>
      </c>
      <c r="N321" s="30">
        <f>VLOOKUP($B321,Hitters!$A1:$R401,5,FALSE)</f>
        <v>49.5</v>
      </c>
      <c r="O321" s="30">
        <f>VLOOKUP($B321,Hitters!$A1:$R401,6,FALSE)</f>
        <v>13.7</v>
      </c>
      <c r="P321" s="30">
        <f>VLOOKUP($B321,Hitters!$A1:$R401,7,FALSE)</f>
        <v>50.133333333333297</v>
      </c>
      <c r="Q321" s="30">
        <f>VLOOKUP($B321,Hitters!$A1:$R401,8,FALSE)</f>
        <v>2</v>
      </c>
      <c r="R321" s="32">
        <f>VLOOKUP($B321,Hitters!$A1:$R401,9,FALSE)</f>
        <v>0.253</v>
      </c>
      <c r="S321" s="32">
        <f>VLOOKUP($B321,Hitters!$A1:$R401,10,FALSE)</f>
        <v>0.308991328160657</v>
      </c>
      <c r="T321" s="30">
        <f>VLOOKUP($B321,Hitters!$A1:$R401,11,FALSE)</f>
        <v>101.2</v>
      </c>
      <c r="U321" s="30">
        <f>VLOOKUP($B321,Hitters!$A1:$R401,12,FALSE)</f>
        <v>19.266666666666701</v>
      </c>
      <c r="V321" s="30">
        <f>VLOOKUP($B321,Hitters!$A1:$R401,13,FALSE)</f>
        <v>1.06666666666667</v>
      </c>
      <c r="W321" s="30">
        <f>VLOOKUP($B321,Hitters!$A1:$R401,14,FALSE)</f>
        <v>34.200000000000003</v>
      </c>
      <c r="X321" s="30">
        <f>VLOOKUP($B321,Hitters!$A1:$R401,15,FALSE)</f>
        <v>103.433333333333</v>
      </c>
      <c r="Y321" s="32">
        <f>VLOOKUP($B321,Hitters!$A1:$R401,16,FALSE)</f>
        <v>0.40925</v>
      </c>
      <c r="Z321" s="32">
        <f>VLOOKUP($B321,Hitters!$A1:$R401,17,FALSE)</f>
        <v>0.718241328160657</v>
      </c>
      <c r="AA321" s="30">
        <f>VLOOKUP($B321,Hitters!$A1:$R401,18,FALSE)</f>
        <v>0</v>
      </c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</row>
    <row r="322" spans="1:44" ht="18.600000000000001" customHeight="1">
      <c r="A322" s="24">
        <f ca="1">RANK(I322,I$2:I$651)</f>
        <v>195</v>
      </c>
      <c r="B322" s="25" t="s">
        <v>292</v>
      </c>
      <c r="C322" s="26" t="s">
        <v>139</v>
      </c>
      <c r="D322" s="26" t="s">
        <v>75</v>
      </c>
      <c r="E322" s="41" t="s">
        <v>34</v>
      </c>
      <c r="F322" s="42">
        <f ca="1">VLOOKUP(B322,RP!A1:I91,IF(Settings!$J$13="points",4,7),FALSE)</f>
        <v>18</v>
      </c>
      <c r="G322" s="29">
        <f>(AC322*Settings!$F$2)+(AF322*Settings!$F$5)+(AG322*Settings!$F$6)+(AH322*Settings!$F$7)+(AI322*Settings!$F$8)+(AJ322*Settings!$F$9)+(AK322*Settings!$F$10)+(AL322*Settings!$F$11)+(AM322*Settings!$F$12)+(AN322*Settings!$F$13)+(AO322*Settings!$F$14)+(AP322*Settings!$F$15)+(AQ322*Settings!$F$16)+(AR322*Settings!$F$17)</f>
        <v>283.83333333333337</v>
      </c>
      <c r="H322" s="30">
        <f>VLOOKUP(B322,'Standard Deviations'!$A1:$D651,4,FALSE)</f>
        <v>2.1530774095457672</v>
      </c>
      <c r="I322" s="31">
        <f ca="1">IF(Settings!$J$16="no",VLOOKUP(B322,RP!A1:I91,IF(Settings!$J$13="points",6,9),FALSE),VLOOKUP(B322,'SP+RP'!$A1:$I251,IF(Settings!$J$13="points",6,9),FALSE))</f>
        <v>0.58200894030744244</v>
      </c>
      <c r="J322" s="30"/>
      <c r="K322" s="30">
        <f ca="1">J322-A322</f>
        <v>-195</v>
      </c>
      <c r="L322" s="30"/>
      <c r="M322" s="30"/>
      <c r="N322" s="30"/>
      <c r="O322" s="30"/>
      <c r="P322" s="30"/>
      <c r="Q322" s="30"/>
      <c r="R322" s="32"/>
      <c r="S322" s="32"/>
      <c r="T322" s="30"/>
      <c r="U322" s="30"/>
      <c r="V322" s="30"/>
      <c r="W322" s="30"/>
      <c r="X322" s="30"/>
      <c r="Y322" s="32"/>
      <c r="Z322" s="32"/>
      <c r="AA322" s="30"/>
      <c r="AB322" s="30"/>
      <c r="AC322" s="30">
        <f>VLOOKUP($B322,Pitchers!$A1:$S251,4,FALSE)</f>
        <v>58.566666666666663</v>
      </c>
      <c r="AD322" s="32">
        <f>VLOOKUP($B322,Pitchers!$A1:$S251,5,FALSE)</f>
        <v>3.0990324416619242</v>
      </c>
      <c r="AE322" s="32">
        <f>VLOOKUP($B322,Pitchers!$A1:$S251,6,FALSE)</f>
        <v>1.1610700056915197</v>
      </c>
      <c r="AF322" s="30">
        <f>VLOOKUP($B322,Pitchers!$A1:$S251,7,FALSE)</f>
        <v>72.466666666666669</v>
      </c>
      <c r="AG322" s="30">
        <f>VLOOKUP($B322,Pitchers!$A1:$S251,8,FALSE)</f>
        <v>2.6999999999999997</v>
      </c>
      <c r="AH322" s="30">
        <f>VLOOKUP($B322,Pitchers!$A1:$S251,9,FALSE)</f>
        <v>22</v>
      </c>
      <c r="AI322" s="30">
        <f>VLOOKUP($B322,Pitchers!$A1:$S251,10,FALSE)</f>
        <v>20.166666666666668</v>
      </c>
      <c r="AJ322" s="30">
        <f>VLOOKUP($B322,Pitchers!$A1:$S251,11,FALSE)</f>
        <v>48.733333333333327</v>
      </c>
      <c r="AK322" s="30">
        <f>VLOOKUP($B322,Pitchers!$A1:$S251,12,FALSE)</f>
        <v>19.266666666666666</v>
      </c>
      <c r="AL322" s="30">
        <f>VLOOKUP($B322,Pitchers!$A1:$S251,13,FALSE)</f>
        <v>7</v>
      </c>
      <c r="AM322" s="30">
        <f>VLOOKUP($B322,Pitchers!$A1:$S251,14,FALSE)</f>
        <v>54.633333333333333</v>
      </c>
      <c r="AN322" s="30">
        <f>VLOOKUP($B322,Pitchers!$A1:$S251,15,FALSE)</f>
        <v>0</v>
      </c>
      <c r="AO322" s="30">
        <f>VLOOKUP($B322,Pitchers!$A1:$S251,16,FALSE)</f>
        <v>2.5666666666666669</v>
      </c>
      <c r="AP322" s="30">
        <f>VLOOKUP($B322,Pitchers!$A1:$S251,17,FALSE)</f>
        <v>0</v>
      </c>
      <c r="AQ322" s="30">
        <f>VLOOKUP($B322,Pitchers!$A1:$S251,18,FALSE)</f>
        <v>3</v>
      </c>
      <c r="AR322" s="30">
        <f>VLOOKUP($B322,Pitchers!$A1:$S251,19,FALSE)</f>
        <v>5</v>
      </c>
    </row>
    <row r="323" spans="1:44" ht="18.600000000000001" customHeight="1">
      <c r="A323" s="24">
        <f ca="1">RANK(I323,I$2:I$651)</f>
        <v>339</v>
      </c>
      <c r="B323" s="25" t="s">
        <v>437</v>
      </c>
      <c r="C323" s="26" t="s">
        <v>139</v>
      </c>
      <c r="D323" s="26" t="s">
        <v>75</v>
      </c>
      <c r="E323" s="35" t="s">
        <v>31</v>
      </c>
      <c r="F323" s="36">
        <f ca="1">VLOOKUP(B323,SP!A1:I161,IF(Settings!$J$13="points",4,7),FALSE)</f>
        <v>100</v>
      </c>
      <c r="G323" s="29">
        <f>(AC323*Settings!$F$2)+(AF323*Settings!$F$5)+(AG323*Settings!$F$6)+(AH323*Settings!$F$7)+(AI323*Settings!$F$8)+(AJ323*Settings!$F$9)+(AK323*Settings!$F$10)+(AL323*Settings!$F$11)+(AM323*Settings!$F$12)+(AN323*Settings!$F$13)+(AO323*Settings!$F$14)+(AP323*Settings!$F$15)+(AQ323*Settings!$F$16)+(AR323*Settings!$F$17)</f>
        <v>283.25000000000011</v>
      </c>
      <c r="H323" s="30">
        <f>VLOOKUP(B323,'Standard Deviations'!$A1:$D651,4,FALSE)</f>
        <v>-1.5928694713619755</v>
      </c>
      <c r="I323" s="31">
        <f ca="1">IF(Settings!$J$16="no",VLOOKUP(B323,SP!A1:I161,IF(Settings!$J$13="points",6,9),FALSE),VLOOKUP(B323,'SP+RP'!$A1:$I251,IF(Settings!$J$13="points",6,9),FALSE))</f>
        <v>-1.7288500188147575</v>
      </c>
      <c r="J323" s="30"/>
      <c r="K323" s="30">
        <f ca="1">J323-A323</f>
        <v>-339</v>
      </c>
      <c r="L323" s="30"/>
      <c r="M323" s="30"/>
      <c r="N323" s="30"/>
      <c r="O323" s="30"/>
      <c r="P323" s="30"/>
      <c r="Q323" s="30"/>
      <c r="R323" s="32"/>
      <c r="S323" s="32"/>
      <c r="T323" s="30"/>
      <c r="U323" s="30"/>
      <c r="V323" s="30"/>
      <c r="W323" s="30"/>
      <c r="X323" s="30"/>
      <c r="Y323" s="32"/>
      <c r="Z323" s="32"/>
      <c r="AA323" s="30"/>
      <c r="AB323" s="30"/>
      <c r="AC323" s="30">
        <f>VLOOKUP($B323,Pitchers!$A1:$S251,4,FALSE)</f>
        <v>138.80000000000001</v>
      </c>
      <c r="AD323" s="32">
        <f>VLOOKUP($B323,Pitchers!$A1:$S251,5,FALSE)</f>
        <v>4.2244236311239192</v>
      </c>
      <c r="AE323" s="32">
        <f>VLOOKUP($B323,Pitchers!$A1:$S251,6,FALSE)</f>
        <v>1.3004322766570604</v>
      </c>
      <c r="AF323" s="30">
        <f>VLOOKUP($B323,Pitchers!$A1:$S251,7,FALSE)</f>
        <v>129.30000000000001</v>
      </c>
      <c r="AG323" s="30">
        <f>VLOOKUP($B323,Pitchers!$A1:$S251,8,FALSE)</f>
        <v>7.8</v>
      </c>
      <c r="AH323" s="30">
        <f>VLOOKUP($B323,Pitchers!$A1:$S251,9,FALSE)</f>
        <v>0</v>
      </c>
      <c r="AI323" s="30">
        <f>VLOOKUP($B323,Pitchers!$A1:$S251,10,FALSE)</f>
        <v>65.150000000000006</v>
      </c>
      <c r="AJ323" s="30">
        <f>VLOOKUP($B323,Pitchers!$A1:$S251,11,FALSE)</f>
        <v>129</v>
      </c>
      <c r="AK323" s="30">
        <f>VLOOKUP($B323,Pitchers!$A1:$S251,12,FALSE)</f>
        <v>51.5</v>
      </c>
      <c r="AL323" s="30">
        <f>VLOOKUP($B323,Pitchers!$A1:$S251,13,FALSE)</f>
        <v>21</v>
      </c>
      <c r="AM323" s="30">
        <f>VLOOKUP($B323,Pitchers!$A1:$S251,14,FALSE)</f>
        <v>27.95</v>
      </c>
      <c r="AN323" s="30">
        <f>VLOOKUP($B323,Pitchers!$A1:$S251,15,FALSE)</f>
        <v>27.95</v>
      </c>
      <c r="AO323" s="30">
        <f>VLOOKUP($B323,Pitchers!$A1:$S251,16,FALSE)</f>
        <v>8.5500000000000007</v>
      </c>
      <c r="AP323" s="30">
        <f>VLOOKUP($B323,Pitchers!$A1:$S251,17,FALSE)</f>
        <v>12</v>
      </c>
      <c r="AQ323" s="30">
        <f>VLOOKUP($B323,Pitchers!$A1:$S251,18,FALSE)</f>
        <v>0</v>
      </c>
      <c r="AR323" s="30">
        <f>VLOOKUP($B323,Pitchers!$A1:$S251,19,FALSE)</f>
        <v>0</v>
      </c>
    </row>
    <row r="324" spans="1:44" ht="20.100000000000001" customHeight="1">
      <c r="A324" s="24">
        <f ca="1">RANK(I324,I$2:I$651)</f>
        <v>280</v>
      </c>
      <c r="B324" s="25" t="s">
        <v>376</v>
      </c>
      <c r="C324" s="26" t="s">
        <v>260</v>
      </c>
      <c r="D324" s="26" t="s">
        <v>70</v>
      </c>
      <c r="E324" s="27" t="s">
        <v>23</v>
      </c>
      <c r="F324" s="28">
        <f ca="1">VLOOKUP(B324,OF!A1:I139,IF(Settings!$J$13="points",4,7),FALSE)</f>
        <v>78</v>
      </c>
      <c r="G324" s="29">
        <f>(M324*Settings!$B$2)+(N324*Settings!$B$3)+(O324*Settings!$B$4)+(P324*Settings!$B$5)+(Q324*Settings!$B$6)+(T324*Settings!$B$9)+(U324*Settings!$B$10)+(V324*Settings!$B$11)+(W324*Settings!$B$12)+(X324*Settings!$B$13)+(AA324*Settings!$B$16)</f>
        <v>282.98333333333341</v>
      </c>
      <c r="H324" s="30">
        <f>VLOOKUP(B324,'Standard Deviations'!$A1:$D651,4,FALSE)</f>
        <v>-0.55681796176283838</v>
      </c>
      <c r="I324" s="31">
        <f ca="1">VLOOKUP(B324,OF!A1:I139,IF(Settings!$J$13="points",6,9),FALSE)</f>
        <v>-0.67553152696996566</v>
      </c>
      <c r="J324" s="30"/>
      <c r="K324" s="30">
        <f ca="1">J324-A324</f>
        <v>-280</v>
      </c>
      <c r="L324" s="30"/>
      <c r="M324" s="30">
        <f>VLOOKUP($B324,Hitters!$A1:$R401,4,FALSE)</f>
        <v>400.66666666666703</v>
      </c>
      <c r="N324" s="30">
        <f>VLOOKUP($B324,Hitters!$A1:$R401,5,FALSE)</f>
        <v>46.2</v>
      </c>
      <c r="O324" s="30">
        <f>VLOOKUP($B324,Hitters!$A1:$R401,6,FALSE)</f>
        <v>15.3333333333333</v>
      </c>
      <c r="P324" s="30">
        <f>VLOOKUP($B324,Hitters!$A1:$R401,7,FALSE)</f>
        <v>49.766666666666701</v>
      </c>
      <c r="Q324" s="30">
        <f>VLOOKUP($B324,Hitters!$A1:$R401,8,FALSE)</f>
        <v>4.3333333333333304</v>
      </c>
      <c r="R324" s="32">
        <f>VLOOKUP($B324,Hitters!$A1:$R401,9,FALSE)</f>
        <v>0.24775374376039899</v>
      </c>
      <c r="S324" s="32">
        <f>VLOOKUP($B324,Hitters!$A1:$R401,10,FALSE)</f>
        <v>0.29441209992915002</v>
      </c>
      <c r="T324" s="30">
        <f>VLOOKUP($B324,Hitters!$A1:$R401,11,FALSE)</f>
        <v>99.266666666666694</v>
      </c>
      <c r="U324" s="30">
        <f>VLOOKUP($B324,Hitters!$A1:$R401,12,FALSE)</f>
        <v>17.399999999999999</v>
      </c>
      <c r="V324" s="30">
        <f>VLOOKUP($B324,Hitters!$A1:$R401,13,FALSE)</f>
        <v>1.9</v>
      </c>
      <c r="W324" s="30">
        <f>VLOOKUP($B324,Hitters!$A1:$R401,14,FALSE)</f>
        <v>28.1666666666667</v>
      </c>
      <c r="X324" s="30">
        <f>VLOOKUP($B324,Hitters!$A1:$R401,15,FALSE)</f>
        <v>101.833333333333</v>
      </c>
      <c r="Y324" s="32">
        <f>VLOOKUP($B324,Hitters!$A1:$R401,16,FALSE)</f>
        <v>0.41547420965058202</v>
      </c>
      <c r="Z324" s="32">
        <f>VLOOKUP($B324,Hitters!$A1:$R401,17,FALSE)</f>
        <v>0.70988630957973198</v>
      </c>
      <c r="AA324" s="30">
        <f>VLOOKUP($B324,Hitters!$A1:$R401,18,FALSE)</f>
        <v>0</v>
      </c>
      <c r="AB324" s="30"/>
      <c r="AC324" s="30"/>
      <c r="AD324" s="32"/>
      <c r="AE324" s="32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</row>
    <row r="325" spans="1:44" ht="18.600000000000001" customHeight="1">
      <c r="A325" s="24">
        <f ca="1">RANK(I325,I$2:I$651)</f>
        <v>263</v>
      </c>
      <c r="B325" s="25" t="s">
        <v>362</v>
      </c>
      <c r="C325" s="26" t="s">
        <v>136</v>
      </c>
      <c r="D325" s="26" t="s">
        <v>75</v>
      </c>
      <c r="E325" s="35" t="s">
        <v>31</v>
      </c>
      <c r="F325" s="36">
        <f ca="1">VLOOKUP(B325,SP!A1:I161,IF(Settings!$J$13="points",4,7),FALSE)</f>
        <v>79</v>
      </c>
      <c r="G325" s="29">
        <f>(AC325*Settings!$F$2)+(AF325*Settings!$F$5)+(AG325*Settings!$F$6)+(AH325*Settings!$F$7)+(AI325*Settings!$F$8)+(AJ325*Settings!$F$9)+(AK325*Settings!$F$10)+(AL325*Settings!$F$11)+(AM325*Settings!$F$12)+(AN325*Settings!$F$13)+(AO325*Settings!$F$14)+(AP325*Settings!$F$15)+(AQ325*Settings!$F$16)+(AR325*Settings!$F$17)</f>
        <v>281.91666666666663</v>
      </c>
      <c r="H325" s="30">
        <f>VLOOKUP(B325,'Standard Deviations'!$A1:$D651,4,FALSE)</f>
        <v>-0.18607375599322371</v>
      </c>
      <c r="I325" s="31">
        <f ca="1">IF(Settings!$J$16="no",VLOOKUP(B325,SP!A1:I161,IF(Settings!$J$13="points",6,9),FALSE),VLOOKUP(B325,'SP+RP'!$A1:$I251,IF(Settings!$J$13="points",6,9),FALSE))</f>
        <v>-0.32205205285894889</v>
      </c>
      <c r="J325" s="30"/>
      <c r="K325" s="30">
        <f ca="1">J325-A325</f>
        <v>-263</v>
      </c>
      <c r="L325" s="30"/>
      <c r="M325" s="30"/>
      <c r="N325" s="30"/>
      <c r="O325" s="30"/>
      <c r="P325" s="30"/>
      <c r="Q325" s="30"/>
      <c r="R325" s="32"/>
      <c r="S325" s="32"/>
      <c r="T325" s="30"/>
      <c r="U325" s="30"/>
      <c r="V325" s="30"/>
      <c r="W325" s="30"/>
      <c r="X325" s="30"/>
      <c r="Y325" s="32"/>
      <c r="Z325" s="32"/>
      <c r="AA325" s="30"/>
      <c r="AB325" s="30"/>
      <c r="AC325" s="30">
        <f>VLOOKUP($B325,Pitchers!$A1:$S251,4,FALSE)</f>
        <v>129.83333333333334</v>
      </c>
      <c r="AD325" s="32">
        <f>VLOOKUP($B325,Pitchers!$A1:$S251,5,FALSE)</f>
        <v>3.8403080872913988</v>
      </c>
      <c r="AE325" s="32">
        <f>VLOOKUP($B325,Pitchers!$A1:$S251,6,FALSE)</f>
        <v>1.2084724005134788</v>
      </c>
      <c r="AF325" s="30">
        <f>VLOOKUP($B325,Pitchers!$A1:$S251,7,FALSE)</f>
        <v>132.63333333333333</v>
      </c>
      <c r="AG325" s="30">
        <f>VLOOKUP($B325,Pitchers!$A1:$S251,8,FALSE)</f>
        <v>6.7</v>
      </c>
      <c r="AH325" s="30">
        <f>VLOOKUP($B325,Pitchers!$A1:$S251,9,FALSE)</f>
        <v>0</v>
      </c>
      <c r="AI325" s="30">
        <f>VLOOKUP($B325,Pitchers!$A1:$S251,10,FALSE)</f>
        <v>55.4</v>
      </c>
      <c r="AJ325" s="30">
        <f>VLOOKUP($B325,Pitchers!$A1:$S251,11,FALSE)</f>
        <v>101.3</v>
      </c>
      <c r="AK325" s="30">
        <f>VLOOKUP($B325,Pitchers!$A1:$S251,12,FALSE)</f>
        <v>55.6</v>
      </c>
      <c r="AL325" s="30">
        <f>VLOOKUP($B325,Pitchers!$A1:$S251,13,FALSE)</f>
        <v>16</v>
      </c>
      <c r="AM325" s="30">
        <f>VLOOKUP($B325,Pitchers!$A1:$S251,14,FALSE)</f>
        <v>25.066666666666666</v>
      </c>
      <c r="AN325" s="30">
        <f>VLOOKUP($B325,Pitchers!$A1:$S251,15,FALSE)</f>
        <v>25.066666666666666</v>
      </c>
      <c r="AO325" s="30">
        <f>VLOOKUP($B325,Pitchers!$A1:$S251,16,FALSE)</f>
        <v>8.2999999999999989</v>
      </c>
      <c r="AP325" s="30">
        <f>VLOOKUP($B325,Pitchers!$A1:$S251,17,FALSE)</f>
        <v>11</v>
      </c>
      <c r="AQ325" s="30">
        <f>VLOOKUP($B325,Pitchers!$A1:$S251,18,FALSE)</f>
        <v>0</v>
      </c>
      <c r="AR325" s="30">
        <f>VLOOKUP($B325,Pitchers!$A1:$S251,19,FALSE)</f>
        <v>0</v>
      </c>
    </row>
    <row r="326" spans="1:44" ht="18.600000000000001" customHeight="1">
      <c r="A326" s="24">
        <f ca="1">RANK(I326,I$2:I$651)</f>
        <v>309</v>
      </c>
      <c r="B326" s="25" t="s">
        <v>409</v>
      </c>
      <c r="C326" s="26" t="s">
        <v>125</v>
      </c>
      <c r="D326" s="26" t="s">
        <v>75</v>
      </c>
      <c r="E326" s="35" t="s">
        <v>31</v>
      </c>
      <c r="F326" s="36">
        <f ca="1">VLOOKUP(B326,SP!A1:I161,IF(Settings!$J$13="points",4,7),FALSE)</f>
        <v>92</v>
      </c>
      <c r="G326" s="29">
        <f>(AC326*Settings!$F$2)+(AF326*Settings!$F$5)+(AG326*Settings!$F$6)+(AH326*Settings!$F$7)+(AI326*Settings!$F$8)+(AJ326*Settings!$F$9)+(AK326*Settings!$F$10)+(AL326*Settings!$F$11)+(AM326*Settings!$F$12)+(AN326*Settings!$F$13)+(AO326*Settings!$F$14)+(AP326*Settings!$F$15)+(AQ326*Settings!$F$16)+(AR326*Settings!$F$17)</f>
        <v>281.714</v>
      </c>
      <c r="H326" s="30">
        <f>VLOOKUP(B326,'Standard Deviations'!$A1:$D651,4,FALSE)</f>
        <v>-0.90826770816279356</v>
      </c>
      <c r="I326" s="31">
        <f ca="1">IF(Settings!$J$16="no",VLOOKUP(B326,SP!A1:I161,IF(Settings!$J$13="points",6,9),FALSE),VLOOKUP(B326,'SP+RP'!$A1:$I251,IF(Settings!$J$13="points",6,9),FALSE))</f>
        <v>-1.0442498575469266</v>
      </c>
      <c r="J326" s="30"/>
      <c r="K326" s="30">
        <f ca="1">J326-A326</f>
        <v>-309</v>
      </c>
      <c r="L326" s="30"/>
      <c r="M326" s="30"/>
      <c r="N326" s="30"/>
      <c r="O326" s="30"/>
      <c r="P326" s="30"/>
      <c r="Q326" s="30"/>
      <c r="R326" s="32"/>
      <c r="S326" s="32"/>
      <c r="T326" s="30"/>
      <c r="U326" s="30"/>
      <c r="V326" s="30"/>
      <c r="W326" s="30"/>
      <c r="X326" s="30"/>
      <c r="Y326" s="32"/>
      <c r="Z326" s="32"/>
      <c r="AA326" s="30"/>
      <c r="AB326" s="30"/>
      <c r="AC326" s="30">
        <f>VLOOKUP($B326,Pitchers!$A1:$S251,4,FALSE)</f>
        <v>124.83333333333333</v>
      </c>
      <c r="AD326" s="32">
        <f>VLOOKUP($B326,Pitchers!$A1:$S251,5,FALSE)</f>
        <v>4.0411802403204273</v>
      </c>
      <c r="AE326" s="32">
        <f>VLOOKUP($B326,Pitchers!$A1:$S251,6,FALSE)</f>
        <v>1.2814419225634179</v>
      </c>
      <c r="AF326" s="30">
        <f>VLOOKUP($B326,Pitchers!$A1:$S251,7,FALSE)</f>
        <v>122.86666666666667</v>
      </c>
      <c r="AG326" s="30">
        <f>VLOOKUP($B326,Pitchers!$A1:$S251,8,FALSE)</f>
        <v>8.7333333333333325</v>
      </c>
      <c r="AH326" s="30">
        <f>VLOOKUP($B326,Pitchers!$A1:$S251,9,FALSE)</f>
        <v>0</v>
      </c>
      <c r="AI326" s="30">
        <f>VLOOKUP($B326,Pitchers!$A1:$S251,10,FALSE)</f>
        <v>56.052666666666674</v>
      </c>
      <c r="AJ326" s="30">
        <f>VLOOKUP($B326,Pitchers!$A1:$S251,11,FALSE)</f>
        <v>112</v>
      </c>
      <c r="AK326" s="30">
        <f>VLOOKUP($B326,Pitchers!$A1:$S251,12,FALSE)</f>
        <v>47.966666666666669</v>
      </c>
      <c r="AL326" s="30">
        <f>VLOOKUP($B326,Pitchers!$A1:$S251,13,FALSE)</f>
        <v>20</v>
      </c>
      <c r="AM326" s="30">
        <f>VLOOKUP($B326,Pitchers!$A1:$S251,14,FALSE)</f>
        <v>27.5</v>
      </c>
      <c r="AN326" s="30">
        <f>VLOOKUP($B326,Pitchers!$A1:$S251,15,FALSE)</f>
        <v>25.833333333333332</v>
      </c>
      <c r="AO326" s="30">
        <f>VLOOKUP($B326,Pitchers!$A1:$S251,16,FALSE)</f>
        <v>6.4666666666666659</v>
      </c>
      <c r="AP326" s="30">
        <f>VLOOKUP($B326,Pitchers!$A1:$S251,17,FALSE)</f>
        <v>11</v>
      </c>
      <c r="AQ326" s="30">
        <f>VLOOKUP($B326,Pitchers!$A1:$S251,18,FALSE)</f>
        <v>0</v>
      </c>
      <c r="AR326" s="30">
        <f>VLOOKUP($B326,Pitchers!$A1:$S251,19,FALSE)</f>
        <v>0</v>
      </c>
    </row>
    <row r="327" spans="1:44" ht="18.600000000000001" customHeight="1">
      <c r="A327" s="24">
        <f ca="1">RANK(I327,I$2:I$651)</f>
        <v>180</v>
      </c>
      <c r="B327" s="25" t="s">
        <v>277</v>
      </c>
      <c r="C327" s="26" t="s">
        <v>79</v>
      </c>
      <c r="D327" s="26" t="s">
        <v>70</v>
      </c>
      <c r="E327" s="35" t="s">
        <v>31</v>
      </c>
      <c r="F327" s="36">
        <f ca="1">VLOOKUP(B327,SP!A1:I161,IF(Settings!$J$13="points",4,7),FALSE)</f>
        <v>54</v>
      </c>
      <c r="G327" s="29">
        <f>(AC327*Settings!$F$2)+(AF327*Settings!$F$5)+(AG327*Settings!$F$6)+(AH327*Settings!$F$7)+(AI327*Settings!$F$8)+(AJ327*Settings!$F$9)+(AK327*Settings!$F$10)+(AL327*Settings!$F$11)+(AM327*Settings!$F$12)+(AN327*Settings!$F$13)+(AO327*Settings!$F$14)+(AP327*Settings!$F$15)+(AQ327*Settings!$F$16)+(AR327*Settings!$F$17)</f>
        <v>281.60000000000002</v>
      </c>
      <c r="H327" s="30">
        <f>VLOOKUP(B327,'Standard Deviations'!$A1:$D651,4,FALSE)</f>
        <v>1.057049516819516</v>
      </c>
      <c r="I327" s="31">
        <f ca="1">IF(Settings!$J$16="no",VLOOKUP(B327,SP!A1:I161,IF(Settings!$J$13="points",6,9),FALSE),VLOOKUP(B327,'SP+RP'!$A1:$I251,IF(Settings!$J$13="points",6,9),FALSE))</f>
        <v>0.92106656470811799</v>
      </c>
      <c r="J327" s="30"/>
      <c r="K327" s="30">
        <f ca="1">J327-A327</f>
        <v>-180</v>
      </c>
      <c r="L327" s="30"/>
      <c r="M327" s="30"/>
      <c r="N327" s="30"/>
      <c r="O327" s="30"/>
      <c r="P327" s="30"/>
      <c r="Q327" s="30"/>
      <c r="R327" s="32"/>
      <c r="S327" s="32"/>
      <c r="T327" s="30"/>
      <c r="U327" s="30"/>
      <c r="V327" s="30"/>
      <c r="W327" s="30"/>
      <c r="X327" s="30"/>
      <c r="Y327" s="32"/>
      <c r="Z327" s="32"/>
      <c r="AA327" s="30"/>
      <c r="AB327" s="30"/>
      <c r="AC327" s="30">
        <f>VLOOKUP($B327,Pitchers!$A1:$S251,4,FALSE)</f>
        <v>123.17500000000001</v>
      </c>
      <c r="AD327" s="32">
        <f>VLOOKUP($B327,Pitchers!$A1:$S251,5,FALSE)</f>
        <v>3.2149380962045866</v>
      </c>
      <c r="AE327" s="32">
        <f>VLOOKUP($B327,Pitchers!$A1:$S251,6,FALSE)</f>
        <v>1.2340166429876192</v>
      </c>
      <c r="AF327" s="30">
        <f>VLOOKUP($B327,Pitchers!$A1:$S251,7,FALSE)</f>
        <v>129</v>
      </c>
      <c r="AG327" s="30">
        <f>VLOOKUP($B327,Pitchers!$A1:$S251,8,FALSE)</f>
        <v>7.9749999999999996</v>
      </c>
      <c r="AH327" s="30">
        <f>VLOOKUP($B327,Pitchers!$A1:$S251,9,FALSE)</f>
        <v>0</v>
      </c>
      <c r="AI327" s="30">
        <f>VLOOKUP($B327,Pitchers!$A1:$S251,10,FALSE)</f>
        <v>44</v>
      </c>
      <c r="AJ327" s="30">
        <f>VLOOKUP($B327,Pitchers!$A1:$S251,11,FALSE)</f>
        <v>107</v>
      </c>
      <c r="AK327" s="30">
        <f>VLOOKUP($B327,Pitchers!$A1:$S251,12,FALSE)</f>
        <v>45</v>
      </c>
      <c r="AL327" s="30">
        <f>VLOOKUP($B327,Pitchers!$A1:$S251,13,FALSE)</f>
        <v>9</v>
      </c>
      <c r="AM327" s="30">
        <f>VLOOKUP($B327,Pitchers!$A1:$S251,14,FALSE)</f>
        <v>35.549999999999997</v>
      </c>
      <c r="AN327" s="30">
        <f>VLOOKUP($B327,Pitchers!$A1:$S251,15,FALSE)</f>
        <v>19.549999999999997</v>
      </c>
      <c r="AO327" s="30">
        <f>VLOOKUP($B327,Pitchers!$A1:$S251,16,FALSE)</f>
        <v>5.4499999999999993</v>
      </c>
      <c r="AP327" s="30">
        <f>VLOOKUP($B327,Pitchers!$A1:$S251,17,FALSE)</f>
        <v>5</v>
      </c>
      <c r="AQ327" s="30">
        <f>VLOOKUP($B327,Pitchers!$A1:$S251,18,FALSE)</f>
        <v>0</v>
      </c>
      <c r="AR327" s="30">
        <f>VLOOKUP($B327,Pitchers!$A1:$S251,19,FALSE)</f>
        <v>0</v>
      </c>
    </row>
    <row r="328" spans="1:44" ht="18.600000000000001" customHeight="1">
      <c r="A328" s="24">
        <f ca="1">RANK(I328,I$2:I$651)</f>
        <v>456</v>
      </c>
      <c r="B328" s="25" t="s">
        <v>554</v>
      </c>
      <c r="C328" s="26" t="s">
        <v>225</v>
      </c>
      <c r="D328" s="26" t="s">
        <v>75</v>
      </c>
      <c r="E328" s="35" t="s">
        <v>31</v>
      </c>
      <c r="F328" s="36">
        <f ca="1">VLOOKUP(B328,SP!A1:I161,IF(Settings!$J$13="points",4,7),FALSE)</f>
        <v>133</v>
      </c>
      <c r="G328" s="29">
        <f>(AC328*Settings!$F$2)+(AF328*Settings!$F$5)+(AG328*Settings!$F$6)+(AH328*Settings!$F$7)+(AI328*Settings!$F$8)+(AJ328*Settings!$F$9)+(AK328*Settings!$F$10)+(AL328*Settings!$F$11)+(AM328*Settings!$F$12)+(AN328*Settings!$F$13)+(AO328*Settings!$F$14)+(AP328*Settings!$F$15)+(AQ328*Settings!$F$16)+(AR328*Settings!$F$17)</f>
        <v>280.39133333333336</v>
      </c>
      <c r="H328" s="30">
        <f>VLOOKUP(B328,'Standard Deviations'!$A1:$D651,4,FALSE)</f>
        <v>-2.8832775216793385</v>
      </c>
      <c r="I328" s="31">
        <f ca="1">IF(Settings!$J$16="no",VLOOKUP(B328,SP!A1:I161,IF(Settings!$J$13="points",6,9),FALSE),VLOOKUP(B328,'SP+RP'!$A1:$I251,IF(Settings!$J$13="points",6,9),FALSE))</f>
        <v>-3.0192629266045241</v>
      </c>
      <c r="J328" s="30"/>
      <c r="K328" s="30">
        <f ca="1">J328-A328</f>
        <v>-456</v>
      </c>
      <c r="L328" s="30"/>
      <c r="M328" s="30"/>
      <c r="N328" s="30"/>
      <c r="O328" s="30"/>
      <c r="P328" s="30"/>
      <c r="Q328" s="30"/>
      <c r="R328" s="32"/>
      <c r="S328" s="32"/>
      <c r="T328" s="30"/>
      <c r="U328" s="30"/>
      <c r="V328" s="30"/>
      <c r="W328" s="30"/>
      <c r="X328" s="30"/>
      <c r="Y328" s="32"/>
      <c r="Z328" s="32"/>
      <c r="AA328" s="30"/>
      <c r="AB328" s="30"/>
      <c r="AC328" s="30">
        <f>VLOOKUP($B328,Pitchers!$A1:$S251,4,FALSE)</f>
        <v>153.16666666666666</v>
      </c>
      <c r="AD328" s="32">
        <f>VLOOKUP($B328,Pitchers!$A1:$S251,5,FALSE)</f>
        <v>4.4642742110990206</v>
      </c>
      <c r="AE328" s="32">
        <f>VLOOKUP($B328,Pitchers!$A1:$S251,6,FALSE)</f>
        <v>1.3455930359085966</v>
      </c>
      <c r="AF328" s="30">
        <f>VLOOKUP($B328,Pitchers!$A1:$S251,7,FALSE)</f>
        <v>118.13333333333333</v>
      </c>
      <c r="AG328" s="30">
        <f>VLOOKUP($B328,Pitchers!$A1:$S251,8,FALSE)</f>
        <v>7.3666666666666671</v>
      </c>
      <c r="AH328" s="30">
        <f>VLOOKUP($B328,Pitchers!$A1:$S251,9,FALSE)</f>
        <v>0</v>
      </c>
      <c r="AI328" s="30">
        <f>VLOOKUP($B328,Pitchers!$A1:$S251,10,FALSE)</f>
        <v>75.975333333333325</v>
      </c>
      <c r="AJ328" s="30">
        <f>VLOOKUP($B328,Pitchers!$A1:$S251,11,FALSE)</f>
        <v>159.33333333333334</v>
      </c>
      <c r="AK328" s="30">
        <f>VLOOKUP($B328,Pitchers!$A1:$S251,12,FALSE)</f>
        <v>46.766666666666673</v>
      </c>
      <c r="AL328" s="30">
        <f>VLOOKUP($B328,Pitchers!$A1:$S251,13,FALSE)</f>
        <v>18</v>
      </c>
      <c r="AM328" s="30">
        <f>VLOOKUP($B328,Pitchers!$A1:$S251,14,FALSE)</f>
        <v>26.733333333333334</v>
      </c>
      <c r="AN328" s="30">
        <f>VLOOKUP($B328,Pitchers!$A1:$S251,15,FALSE)</f>
        <v>26.400000000000002</v>
      </c>
      <c r="AO328" s="30">
        <f>VLOOKUP($B328,Pitchers!$A1:$S251,16,FALSE)</f>
        <v>8.7333333333333325</v>
      </c>
      <c r="AP328" s="30">
        <f>VLOOKUP($B328,Pitchers!$A1:$S251,17,FALSE)</f>
        <v>12</v>
      </c>
      <c r="AQ328" s="30">
        <f>VLOOKUP($B328,Pitchers!$A1:$S251,18,FALSE)</f>
        <v>0</v>
      </c>
      <c r="AR328" s="30">
        <f>VLOOKUP($B328,Pitchers!$A1:$S251,19,FALSE)</f>
        <v>0</v>
      </c>
    </row>
    <row r="329" spans="1:44" ht="18.600000000000001" customHeight="1">
      <c r="A329" s="24">
        <f ca="1">RANK(I329,I$2:I$651)</f>
        <v>307</v>
      </c>
      <c r="B329" s="25" t="s">
        <v>404</v>
      </c>
      <c r="C329" s="26" t="s">
        <v>99</v>
      </c>
      <c r="D329" s="26" t="s">
        <v>75</v>
      </c>
      <c r="E329" s="27" t="s">
        <v>23</v>
      </c>
      <c r="F329" s="28">
        <f ca="1">VLOOKUP(B329,OF!A1:I139,IF(Settings!$J$13="points",4,7),FALSE)</f>
        <v>87</v>
      </c>
      <c r="G329" s="29">
        <f>(M329*Settings!$B$2)+(N329*Settings!$B$3)+(O329*Settings!$B$4)+(P329*Settings!$B$5)+(Q329*Settings!$B$6)+(T329*Settings!$B$9)+(U329*Settings!$B$10)+(V329*Settings!$B$11)+(W329*Settings!$B$12)+(X329*Settings!$B$13)+(AA329*Settings!$B$16)</f>
        <v>280.26666666666677</v>
      </c>
      <c r="H329" s="30">
        <f>VLOOKUP(B329,'Standard Deviations'!$A1:$D651,4,FALSE)</f>
        <v>-0.88969718932012642</v>
      </c>
      <c r="I329" s="31">
        <f ca="1">VLOOKUP(B329,OF!A1:I139,IF(Settings!$J$13="points",6,9),FALSE)</f>
        <v>-1.0084113780762225</v>
      </c>
      <c r="J329" s="30"/>
      <c r="K329" s="30">
        <f ca="1">J329-A329</f>
        <v>-307</v>
      </c>
      <c r="L329" s="30"/>
      <c r="M329" s="30">
        <f>VLOOKUP($B329,Hitters!$A1:$R401,4,FALSE)</f>
        <v>370.66666666666703</v>
      </c>
      <c r="N329" s="30">
        <f>VLOOKUP($B329,Hitters!$A1:$R401,5,FALSE)</f>
        <v>48.1</v>
      </c>
      <c r="O329" s="30">
        <f>VLOOKUP($B329,Hitters!$A1:$R401,6,FALSE)</f>
        <v>15.966666666666701</v>
      </c>
      <c r="P329" s="30">
        <f>VLOOKUP($B329,Hitters!$A1:$R401,7,FALSE)</f>
        <v>50.7</v>
      </c>
      <c r="Q329" s="30">
        <f>VLOOKUP($B329,Hitters!$A1:$R401,8,FALSE)</f>
        <v>4.7</v>
      </c>
      <c r="R329" s="32">
        <f>VLOOKUP($B329,Hitters!$A1:$R401,9,FALSE)</f>
        <v>0.23552158273381299</v>
      </c>
      <c r="S329" s="32">
        <f>VLOOKUP($B329,Hitters!$A1:$R401,10,FALSE)</f>
        <v>0.28280674872170702</v>
      </c>
      <c r="T329" s="30">
        <f>VLOOKUP($B329,Hitters!$A1:$R401,11,FALSE)</f>
        <v>87.3</v>
      </c>
      <c r="U329" s="30">
        <f>VLOOKUP($B329,Hitters!$A1:$R401,12,FALSE)</f>
        <v>18.2</v>
      </c>
      <c r="V329" s="30">
        <f>VLOOKUP($B329,Hitters!$A1:$R401,13,FALSE)</f>
        <v>2.43333333333333</v>
      </c>
      <c r="W329" s="30">
        <f>VLOOKUP($B329,Hitters!$A1:$R401,14,FALSE)</f>
        <v>25.9</v>
      </c>
      <c r="X329" s="30">
        <f>VLOOKUP($B329,Hitters!$A1:$R401,15,FALSE)</f>
        <v>97.4</v>
      </c>
      <c r="Y329" s="32">
        <f>VLOOKUP($B329,Hitters!$A1:$R401,16,FALSE)</f>
        <v>0.42697841726618702</v>
      </c>
      <c r="Z329" s="32">
        <f>VLOOKUP($B329,Hitters!$A1:$R401,17,FALSE)</f>
        <v>0.70978516598789398</v>
      </c>
      <c r="AA329" s="30">
        <f>VLOOKUP($B329,Hitters!$A1:$R401,18,FALSE)</f>
        <v>0</v>
      </c>
      <c r="AB329" s="30"/>
      <c r="AC329" s="30"/>
      <c r="AD329" s="32"/>
      <c r="AE329" s="32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</row>
    <row r="330" spans="1:44" ht="18.600000000000001" customHeight="1">
      <c r="A330" s="24">
        <f ca="1">RANK(I330,I$2:I$651)</f>
        <v>284</v>
      </c>
      <c r="B330" s="25" t="s">
        <v>380</v>
      </c>
      <c r="C330" s="26" t="s">
        <v>95</v>
      </c>
      <c r="D330" s="26" t="s">
        <v>70</v>
      </c>
      <c r="E330" s="45" t="s">
        <v>19</v>
      </c>
      <c r="F330" s="46">
        <f ca="1">VLOOKUP(B330,'C'!A1:I54,IF(Settings!$J$13="points",4,7),FALSE)</f>
        <v>13</v>
      </c>
      <c r="G330" s="29">
        <f>(M330*Settings!$B$2)+(N330*Settings!$B$3)+(O330*Settings!$B$4)+(P330*Settings!$B$5)+(Q330*Settings!$B$6)+(T330*Settings!$B$9)+(U330*Settings!$B$10)+(V330*Settings!$B$11)+(W330*Settings!$B$12)+(X330*Settings!$B$13)+(AA330*Settings!$B$16)</f>
        <v>279.93333333333334</v>
      </c>
      <c r="H330" s="30">
        <f>VLOOKUP(B330,'Standard Deviations'!$A1:$D651,4,FALSE)</f>
        <v>-1.0202923929460743</v>
      </c>
      <c r="I330" s="31">
        <f ca="1">VLOOKUP(B330,'C'!A1:I54,IF(Settings!$J$13="points",6,9),FALSE)</f>
        <v>-0.70320250939637952</v>
      </c>
      <c r="J330" s="30"/>
      <c r="K330" s="30">
        <f ca="1">J330-A330</f>
        <v>-284</v>
      </c>
      <c r="L330" s="30"/>
      <c r="M330" s="30">
        <f>VLOOKUP($B330,Hitters!$A1:$R401,4,FALSE)</f>
        <v>316</v>
      </c>
      <c r="N330" s="30">
        <f>VLOOKUP($B330,Hitters!$A1:$R401,5,FALSE)</f>
        <v>47.866666666666703</v>
      </c>
      <c r="O330" s="30">
        <f>VLOOKUP($B330,Hitters!$A1:$R401,6,FALSE)</f>
        <v>17.8</v>
      </c>
      <c r="P330" s="30">
        <f>VLOOKUP($B330,Hitters!$A1:$R401,7,FALSE)</f>
        <v>51.1</v>
      </c>
      <c r="Q330" s="30">
        <f>VLOOKUP($B330,Hitters!$A1:$R401,8,FALSE)</f>
        <v>1.7333333333333301</v>
      </c>
      <c r="R330" s="32">
        <f>VLOOKUP($B330,Hitters!$A1:$R401,9,FALSE)</f>
        <v>0.23713080168776399</v>
      </c>
      <c r="S330" s="32">
        <f>VLOOKUP($B330,Hitters!$A1:$R401,10,FALSE)</f>
        <v>0.30904015541598301</v>
      </c>
      <c r="T330" s="30">
        <f>VLOOKUP($B330,Hitters!$A1:$R401,11,FALSE)</f>
        <v>74.933333333333294</v>
      </c>
      <c r="U330" s="30">
        <f>VLOOKUP($B330,Hitters!$A1:$R401,12,FALSE)</f>
        <v>15.7</v>
      </c>
      <c r="V330" s="30">
        <f>VLOOKUP($B330,Hitters!$A1:$R401,13,FALSE)</f>
        <v>0.53333333333333299</v>
      </c>
      <c r="W330" s="30">
        <f>VLOOKUP($B330,Hitters!$A1:$R401,14,FALSE)</f>
        <v>34.299999999999997</v>
      </c>
      <c r="X330" s="30">
        <f>VLOOKUP($B330,Hitters!$A1:$R401,15,FALSE)</f>
        <v>71.866666666666703</v>
      </c>
      <c r="Y330" s="32">
        <f>VLOOKUP($B330,Hitters!$A1:$R401,16,FALSE)</f>
        <v>0.45917721518987298</v>
      </c>
      <c r="Z330" s="32">
        <f>VLOOKUP($B330,Hitters!$A1:$R401,17,FALSE)</f>
        <v>0.76821737060585604</v>
      </c>
      <c r="AA330" s="30">
        <f>VLOOKUP($B330,Hitters!$A1:$R401,18,FALSE)</f>
        <v>0</v>
      </c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</row>
    <row r="331" spans="1:44" ht="18.600000000000001" customHeight="1">
      <c r="A331" s="24">
        <f ca="1">RANK(I331,I$2:I$651)</f>
        <v>401</v>
      </c>
      <c r="B331" s="25" t="s">
        <v>498</v>
      </c>
      <c r="C331" s="26" t="s">
        <v>105</v>
      </c>
      <c r="D331" s="26" t="s">
        <v>70</v>
      </c>
      <c r="E331" s="35" t="s">
        <v>31</v>
      </c>
      <c r="F331" s="36">
        <f ca="1">VLOOKUP(B331,SP!A1:I161,IF(Settings!$J$13="points",4,7),FALSE)</f>
        <v>118</v>
      </c>
      <c r="G331" s="29">
        <f>(AC331*Settings!$F$2)+(AF331*Settings!$F$5)+(AG331*Settings!$F$6)+(AH331*Settings!$F$7)+(AI331*Settings!$F$8)+(AJ331*Settings!$F$9)+(AK331*Settings!$F$10)+(AL331*Settings!$F$11)+(AM331*Settings!$F$12)+(AN331*Settings!$F$13)+(AO331*Settings!$F$14)+(AP331*Settings!$F$15)+(AQ331*Settings!$F$16)+(AR331*Settings!$F$17)</f>
        <v>279.58866666666665</v>
      </c>
      <c r="H331" s="30">
        <f>VLOOKUP(B331,'Standard Deviations'!$A1:$D651,4,FALSE)</f>
        <v>-2.2938271876462024</v>
      </c>
      <c r="I331" s="31">
        <f ca="1">IF(Settings!$J$16="no",VLOOKUP(B331,SP!A1:I161,IF(Settings!$J$13="points",6,9),FALSE),VLOOKUP(B331,'SP+RP'!$A1:$I251,IF(Settings!$J$13="points",6,9),FALSE))</f>
        <v>-2.4298110978726108</v>
      </c>
      <c r="J331" s="30"/>
      <c r="K331" s="30">
        <f ca="1">J331-A331</f>
        <v>-401</v>
      </c>
      <c r="L331" s="30"/>
      <c r="M331" s="30"/>
      <c r="N331" s="30"/>
      <c r="O331" s="30"/>
      <c r="P331" s="30"/>
      <c r="Q331" s="30"/>
      <c r="R331" s="32"/>
      <c r="S331" s="32"/>
      <c r="T331" s="30"/>
      <c r="U331" s="30"/>
      <c r="V331" s="30"/>
      <c r="W331" s="30"/>
      <c r="X331" s="30"/>
      <c r="Y331" s="32"/>
      <c r="Z331" s="32"/>
      <c r="AA331" s="30"/>
      <c r="AB331" s="30"/>
      <c r="AC331" s="30">
        <f>VLOOKUP($B331,Pitchers!$A1:$S251,4,FALSE)</f>
        <v>139.36666666666667</v>
      </c>
      <c r="AD331" s="32">
        <f>VLOOKUP($B331,Pitchers!$A1:$S251,5,FALSE)</f>
        <v>4.5706912221956468</v>
      </c>
      <c r="AE331" s="32">
        <f>VLOOKUP($B331,Pitchers!$A1:$S251,6,FALSE)</f>
        <v>1.2908395120784502</v>
      </c>
      <c r="AF331" s="30">
        <f>VLOOKUP($B331,Pitchers!$A1:$S251,7,FALSE)</f>
        <v>115.66666666666667</v>
      </c>
      <c r="AG331" s="30">
        <f>VLOOKUP($B331,Pitchers!$A1:$S251,8,FALSE)</f>
        <v>8.3333333333333339</v>
      </c>
      <c r="AH331" s="30">
        <f>VLOOKUP($B331,Pitchers!$A1:$S251,9,FALSE)</f>
        <v>0</v>
      </c>
      <c r="AI331" s="30">
        <f>VLOOKUP($B331,Pitchers!$A1:$S251,10,FALSE)</f>
        <v>70.778000000000006</v>
      </c>
      <c r="AJ331" s="30">
        <f>VLOOKUP($B331,Pitchers!$A1:$S251,11,FALSE)</f>
        <v>148.93333333333334</v>
      </c>
      <c r="AK331" s="30">
        <f>VLOOKUP($B331,Pitchers!$A1:$S251,12,FALSE)</f>
        <v>30.966666666666669</v>
      </c>
      <c r="AL331" s="30">
        <f>VLOOKUP($B331,Pitchers!$A1:$S251,13,FALSE)</f>
        <v>25</v>
      </c>
      <c r="AM331" s="30">
        <f>VLOOKUP($B331,Pitchers!$A1:$S251,14,FALSE)</f>
        <v>26.400000000000002</v>
      </c>
      <c r="AN331" s="30">
        <f>VLOOKUP($B331,Pitchers!$A1:$S251,15,FALSE)</f>
        <v>26.066666666666666</v>
      </c>
      <c r="AO331" s="30">
        <f>VLOOKUP($B331,Pitchers!$A1:$S251,16,FALSE)</f>
        <v>8</v>
      </c>
      <c r="AP331" s="30">
        <f>VLOOKUP($B331,Pitchers!$A1:$S251,17,FALSE)</f>
        <v>12</v>
      </c>
      <c r="AQ331" s="30">
        <f>VLOOKUP($B331,Pitchers!$A1:$S251,18,FALSE)</f>
        <v>0</v>
      </c>
      <c r="AR331" s="30">
        <f>VLOOKUP($B331,Pitchers!$A1:$S251,19,FALSE)</f>
        <v>0</v>
      </c>
    </row>
    <row r="332" spans="1:44" ht="18.600000000000001" customHeight="1">
      <c r="A332" s="24">
        <f ca="1">RANK(I332,I$2:I$651)</f>
        <v>278</v>
      </c>
      <c r="B332" s="25" t="s">
        <v>375</v>
      </c>
      <c r="C332" s="26" t="s">
        <v>79</v>
      </c>
      <c r="D332" s="26" t="s">
        <v>70</v>
      </c>
      <c r="E332" s="27" t="s">
        <v>23</v>
      </c>
      <c r="F332" s="28">
        <f ca="1">VLOOKUP(B332,OF!A1:I139,IF(Settings!$J$13="points",4,7),FALSE)</f>
        <v>77</v>
      </c>
      <c r="G332" s="29">
        <f>(M332*Settings!$B$2)+(N332*Settings!$B$3)+(O332*Settings!$B$4)+(P332*Settings!$B$5)+(Q332*Settings!$B$6)+(T332*Settings!$B$9)+(U332*Settings!$B$10)+(V332*Settings!$B$11)+(W332*Settings!$B$12)+(X332*Settings!$B$13)+(AA332*Settings!$B$16)</f>
        <v>278.71666666666647</v>
      </c>
      <c r="H332" s="30">
        <f>VLOOKUP(B332,'Standard Deviations'!$A1:$D651,4,FALSE)</f>
        <v>-0.54912930998985954</v>
      </c>
      <c r="I332" s="31">
        <f ca="1">VLOOKUP(B332,OF!A1:I139,IF(Settings!$J$13="points",6,9),FALSE)</f>
        <v>-0.66784962764227085</v>
      </c>
      <c r="J332" s="30"/>
      <c r="K332" s="30">
        <f ca="1">J332-A332</f>
        <v>-278</v>
      </c>
      <c r="L332" s="30"/>
      <c r="M332" s="30">
        <f>VLOOKUP($B332,Hitters!$A1:$R401,4,FALSE)</f>
        <v>377</v>
      </c>
      <c r="N332" s="30">
        <f>VLOOKUP($B332,Hitters!$A1:$R401,5,FALSE)</f>
        <v>52.6666666666667</v>
      </c>
      <c r="O332" s="30">
        <f>VLOOKUP($B332,Hitters!$A1:$R401,6,FALSE)</f>
        <v>14.3333333333333</v>
      </c>
      <c r="P332" s="30">
        <f>VLOOKUP($B332,Hitters!$A1:$R401,7,FALSE)</f>
        <v>50.633333333333297</v>
      </c>
      <c r="Q332" s="30">
        <f>VLOOKUP($B332,Hitters!$A1:$R401,8,FALSE)</f>
        <v>5.2333333333333298</v>
      </c>
      <c r="R332" s="32">
        <f>VLOOKUP($B332,Hitters!$A1:$R401,9,FALSE)</f>
        <v>0.240848806366048</v>
      </c>
      <c r="S332" s="32">
        <f>VLOOKUP($B332,Hitters!$A1:$R401,10,FALSE)</f>
        <v>0.31487505020831502</v>
      </c>
      <c r="T332" s="30">
        <f>VLOOKUP($B332,Hitters!$A1:$R401,11,FALSE)</f>
        <v>90.8</v>
      </c>
      <c r="U332" s="30">
        <f>VLOOKUP($B332,Hitters!$A1:$R401,12,FALSE)</f>
        <v>14.6666666666667</v>
      </c>
      <c r="V332" s="30">
        <f>VLOOKUP($B332,Hitters!$A1:$R401,13,FALSE)</f>
        <v>1.4666666666666699</v>
      </c>
      <c r="W332" s="30">
        <f>VLOOKUP($B332,Hitters!$A1:$R401,14,FALSE)</f>
        <v>42.466666666666697</v>
      </c>
      <c r="X332" s="30">
        <f>VLOOKUP($B332,Hitters!$A1:$R401,15,FALSE)</f>
        <v>118.76666666666701</v>
      </c>
      <c r="Y332" s="32">
        <f>VLOOKUP($B332,Hitters!$A1:$R401,16,FALSE)</f>
        <v>0.40159151193634002</v>
      </c>
      <c r="Z332" s="32">
        <f>VLOOKUP($B332,Hitters!$A1:$R401,17,FALSE)</f>
        <v>0.71646656214465498</v>
      </c>
      <c r="AA332" s="30">
        <f>VLOOKUP($B332,Hitters!$A1:$R401,18,FALSE)</f>
        <v>0</v>
      </c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</row>
    <row r="333" spans="1:44" ht="18.600000000000001" customHeight="1">
      <c r="A333" s="24">
        <f ca="1">RANK(I333,I$2:I$651)</f>
        <v>417</v>
      </c>
      <c r="B333" s="25" t="s">
        <v>515</v>
      </c>
      <c r="C333" s="26" t="s">
        <v>136</v>
      </c>
      <c r="D333" s="26" t="s">
        <v>75</v>
      </c>
      <c r="E333" s="35" t="s">
        <v>31</v>
      </c>
      <c r="F333" s="36">
        <f ca="1">VLOOKUP(B333,SP!A1:I161,IF(Settings!$J$13="points",4,7),FALSE)</f>
        <v>121</v>
      </c>
      <c r="G333" s="29">
        <f>(AC333*Settings!$F$2)+(AF333*Settings!$F$5)+(AG333*Settings!$F$6)+(AH333*Settings!$F$7)+(AI333*Settings!$F$8)+(AJ333*Settings!$F$9)+(AK333*Settings!$F$10)+(AL333*Settings!$F$11)+(AM333*Settings!$F$12)+(AN333*Settings!$F$13)+(AO333*Settings!$F$14)+(AP333*Settings!$F$15)+(AQ333*Settings!$F$16)+(AR333*Settings!$F$17)</f>
        <v>278.19066666666674</v>
      </c>
      <c r="H333" s="30">
        <f>VLOOKUP(B333,'Standard Deviations'!$A1:$D651,4,FALSE)</f>
        <v>-2.538887576639449</v>
      </c>
      <c r="I333" s="31">
        <f ca="1">IF(Settings!$J$16="no",VLOOKUP(B333,SP!A1:I161,IF(Settings!$J$13="points",6,9),FALSE),VLOOKUP(B333,'SP+RP'!$A1:$I251,IF(Settings!$J$13="points",6,9),FALSE))</f>
        <v>-2.6748730064769353</v>
      </c>
      <c r="J333" s="30"/>
      <c r="K333" s="30">
        <f ca="1">J333-A333</f>
        <v>-417</v>
      </c>
      <c r="L333" s="30"/>
      <c r="M333" s="30"/>
      <c r="N333" s="30"/>
      <c r="O333" s="30"/>
      <c r="P333" s="30"/>
      <c r="Q333" s="30"/>
      <c r="R333" s="32"/>
      <c r="S333" s="32"/>
      <c r="T333" s="30"/>
      <c r="U333" s="30"/>
      <c r="V333" s="30"/>
      <c r="W333" s="30"/>
      <c r="X333" s="30"/>
      <c r="Y333" s="32"/>
      <c r="Z333" s="32"/>
      <c r="AA333" s="30"/>
      <c r="AB333" s="30"/>
      <c r="AC333" s="30">
        <f>VLOOKUP($B333,Pitchers!$A1:$S251,4,FALSE)</f>
        <v>149.66666666666666</v>
      </c>
      <c r="AD333" s="32">
        <f>VLOOKUP($B333,Pitchers!$A1:$S251,5,FALSE)</f>
        <v>4.3592472160356346</v>
      </c>
      <c r="AE333" s="32">
        <f>VLOOKUP($B333,Pitchers!$A1:$S251,6,FALSE)</f>
        <v>1.3247216035634746</v>
      </c>
      <c r="AF333" s="30">
        <f>VLOOKUP($B333,Pitchers!$A1:$S251,7,FALSE)</f>
        <v>106.23333333333333</v>
      </c>
      <c r="AG333" s="30">
        <f>VLOOKUP($B333,Pitchers!$A1:$S251,8,FALSE)</f>
        <v>8</v>
      </c>
      <c r="AH333" s="30">
        <f>VLOOKUP($B333,Pitchers!$A1:$S251,9,FALSE)</f>
        <v>0</v>
      </c>
      <c r="AI333" s="30">
        <f>VLOOKUP($B333,Pitchers!$A1:$S251,10,FALSE)</f>
        <v>72.492666666666665</v>
      </c>
      <c r="AJ333" s="30">
        <f>VLOOKUP($B333,Pitchers!$A1:$S251,11,FALSE)</f>
        <v>158.9</v>
      </c>
      <c r="AK333" s="30">
        <f>VLOOKUP($B333,Pitchers!$A1:$S251,12,FALSE)</f>
        <v>39.366666666666667</v>
      </c>
      <c r="AL333" s="30">
        <f>VLOOKUP($B333,Pitchers!$A1:$S251,13,FALSE)</f>
        <v>23</v>
      </c>
      <c r="AM333" s="30">
        <f>VLOOKUP($B333,Pitchers!$A1:$S251,14,FALSE)</f>
        <v>25.3</v>
      </c>
      <c r="AN333" s="30">
        <f>VLOOKUP($B333,Pitchers!$A1:$S251,15,FALSE)</f>
        <v>24.966666666666669</v>
      </c>
      <c r="AO333" s="30">
        <f>VLOOKUP($B333,Pitchers!$A1:$S251,16,FALSE)</f>
        <v>9.0333333333333332</v>
      </c>
      <c r="AP333" s="30">
        <f>VLOOKUP($B333,Pitchers!$A1:$S251,17,FALSE)</f>
        <v>12</v>
      </c>
      <c r="AQ333" s="30">
        <f>VLOOKUP($B333,Pitchers!$A1:$S251,18,FALSE)</f>
        <v>0</v>
      </c>
      <c r="AR333" s="30">
        <f>VLOOKUP($B333,Pitchers!$A1:$S251,19,FALSE)</f>
        <v>0</v>
      </c>
    </row>
    <row r="334" spans="1:44" ht="18.600000000000001" customHeight="1">
      <c r="A334" s="24">
        <f ca="1">RANK(I334,I$2:I$651)</f>
        <v>326</v>
      </c>
      <c r="B334" s="25" t="s">
        <v>423</v>
      </c>
      <c r="C334" s="26" t="s">
        <v>139</v>
      </c>
      <c r="D334" s="26" t="s">
        <v>75</v>
      </c>
      <c r="E334" s="27" t="s">
        <v>23</v>
      </c>
      <c r="F334" s="28">
        <f ca="1">VLOOKUP(B334,OF!A1:I139,IF(Settings!$J$13="points",4,7),FALSE)</f>
        <v>92</v>
      </c>
      <c r="G334" s="29">
        <f>(M334*Settings!$B$2)+(N334*Settings!$B$3)+(O334*Settings!$B$4)+(P334*Settings!$B$5)+(Q334*Settings!$B$6)+(T334*Settings!$B$9)+(U334*Settings!$B$10)+(V334*Settings!$B$11)+(W334*Settings!$B$12)+(X334*Settings!$B$13)+(AA334*Settings!$B$16)</f>
        <v>277.58333333333314</v>
      </c>
      <c r="H334" s="30">
        <f>VLOOKUP(B334,'Standard Deviations'!$A1:$D651,4,FALSE)</f>
        <v>-1.3986410899373856</v>
      </c>
      <c r="I334" s="31">
        <f ca="1">VLOOKUP(B334,OF!A1:I139,IF(Settings!$J$13="points",6,9),FALSE)</f>
        <v>-1.5173537672125239</v>
      </c>
      <c r="J334" s="30"/>
      <c r="K334" s="30">
        <f ca="1">J334-A334</f>
        <v>-326</v>
      </c>
      <c r="L334" s="30"/>
      <c r="M334" s="30">
        <f>VLOOKUP($B334,Hitters!$A1:$R401,4,FALSE)</f>
        <v>361</v>
      </c>
      <c r="N334" s="30">
        <f>VLOOKUP($B334,Hitters!$A1:$R401,5,FALSE)</f>
        <v>49.766666666666701</v>
      </c>
      <c r="O334" s="30">
        <f>VLOOKUP($B334,Hitters!$A1:$R401,6,FALSE)</f>
        <v>19.066666666666698</v>
      </c>
      <c r="P334" s="30">
        <f>VLOOKUP($B334,Hitters!$A1:$R401,7,FALSE)</f>
        <v>47.233333333333299</v>
      </c>
      <c r="Q334" s="30">
        <f>VLOOKUP($B334,Hitters!$A1:$R401,8,FALSE)</f>
        <v>4.8</v>
      </c>
      <c r="R334" s="32">
        <f>VLOOKUP($B334,Hitters!$A1:$R401,9,FALSE)</f>
        <v>0.218559556786704</v>
      </c>
      <c r="S334" s="32">
        <f>VLOOKUP($B334,Hitters!$A1:$R401,10,FALSE)</f>
        <v>0.30168726526156298</v>
      </c>
      <c r="T334" s="30">
        <f>VLOOKUP($B334,Hitters!$A1:$R401,11,FALSE)</f>
        <v>78.900000000000006</v>
      </c>
      <c r="U334" s="30">
        <f>VLOOKUP($B334,Hitters!$A1:$R401,12,FALSE)</f>
        <v>15.133333333333301</v>
      </c>
      <c r="V334" s="30">
        <f>VLOOKUP($B334,Hitters!$A1:$R401,13,FALSE)</f>
        <v>0.6</v>
      </c>
      <c r="W334" s="30">
        <f>VLOOKUP($B334,Hitters!$A1:$R401,14,FALSE)</f>
        <v>44.533333333333303</v>
      </c>
      <c r="X334" s="30">
        <f>VLOOKUP($B334,Hitters!$A1:$R401,15,FALSE)</f>
        <v>121.566666666667</v>
      </c>
      <c r="Y334" s="32">
        <f>VLOOKUP($B334,Hitters!$A1:$R401,16,FALSE)</f>
        <v>0.42225300092336099</v>
      </c>
      <c r="Z334" s="32">
        <f>VLOOKUP($B334,Hitters!$A1:$R401,17,FALSE)</f>
        <v>0.72394026618492402</v>
      </c>
      <c r="AA334" s="30">
        <f>VLOOKUP($B334,Hitters!$A1:$R401,18,FALSE)</f>
        <v>0</v>
      </c>
      <c r="AB334" s="30"/>
      <c r="AC334" s="30"/>
      <c r="AD334" s="32"/>
      <c r="AE334" s="32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</row>
    <row r="335" spans="1:44" ht="18.600000000000001" customHeight="1">
      <c r="A335" s="24">
        <f ca="1">RANK(I335,I$2:I$651)</f>
        <v>233</v>
      </c>
      <c r="B335" s="25" t="s">
        <v>337</v>
      </c>
      <c r="C335" s="26" t="s">
        <v>99</v>
      </c>
      <c r="D335" s="26" t="s">
        <v>75</v>
      </c>
      <c r="E335" s="45" t="s">
        <v>19</v>
      </c>
      <c r="F335" s="46">
        <f ca="1">VLOOKUP(B335,'C'!A1:I54,IF(Settings!$J$13="points",4,7),FALSE)</f>
        <v>12</v>
      </c>
      <c r="G335" s="29">
        <f>(M335*Settings!$B$2)+(N335*Settings!$B$3)+(O335*Settings!$B$4)+(P335*Settings!$B$5)+(Q335*Settings!$B$6)+(T335*Settings!$B$9)+(U335*Settings!$B$10)+(V335*Settings!$B$11)+(W335*Settings!$B$12)+(X335*Settings!$B$13)+(AA335*Settings!$B$16)</f>
        <v>277.38333333333338</v>
      </c>
      <c r="H335" s="30">
        <f>VLOOKUP(B335,'Standard Deviations'!$A1:$D651,4,FALSE)</f>
        <v>-0.31709836033804506</v>
      </c>
      <c r="I335" s="31">
        <f ca="1">VLOOKUP(B335,'C'!A1:I54,IF(Settings!$J$13="points",6,9),FALSE)</f>
        <v>0</v>
      </c>
      <c r="J335" s="30"/>
      <c r="K335" s="30">
        <f ca="1">J335-A335</f>
        <v>-233</v>
      </c>
      <c r="L335" s="30"/>
      <c r="M335" s="30">
        <f>VLOOKUP($B335,Hitters!$A1:$R401,4,FALSE)</f>
        <v>343.33333333333297</v>
      </c>
      <c r="N335" s="30">
        <f>VLOOKUP($B335,Hitters!$A1:$R401,5,FALSE)</f>
        <v>47.5</v>
      </c>
      <c r="O335" s="30">
        <f>VLOOKUP($B335,Hitters!$A1:$R401,6,FALSE)</f>
        <v>17.6666666666667</v>
      </c>
      <c r="P335" s="30">
        <f>VLOOKUP($B335,Hitters!$A1:$R401,7,FALSE)</f>
        <v>51.3333333333333</v>
      </c>
      <c r="Q335" s="30">
        <f>VLOOKUP($B335,Hitters!$A1:$R401,8,FALSE)</f>
        <v>1.5</v>
      </c>
      <c r="R335" s="32">
        <f>VLOOKUP($B335,Hitters!$A1:$R401,9,FALSE)</f>
        <v>0.25271844660194198</v>
      </c>
      <c r="S335" s="32">
        <f>VLOOKUP($B335,Hitters!$A1:$R401,10,FALSE)</f>
        <v>0.32162115150461001</v>
      </c>
      <c r="T335" s="30">
        <f>VLOOKUP($B335,Hitters!$A1:$R401,11,FALSE)</f>
        <v>86.766666666666694</v>
      </c>
      <c r="U335" s="30">
        <f>VLOOKUP($B335,Hitters!$A1:$R401,12,FALSE)</f>
        <v>14.633333333333301</v>
      </c>
      <c r="V335" s="30">
        <f>VLOOKUP($B335,Hitters!$A1:$R401,13,FALSE)</f>
        <v>1.06666666666667</v>
      </c>
      <c r="W335" s="30">
        <f>VLOOKUP($B335,Hitters!$A1:$R401,14,FALSE)</f>
        <v>36.5</v>
      </c>
      <c r="X335" s="30">
        <f>VLOOKUP($B335,Hitters!$A1:$R401,15,FALSE)</f>
        <v>101.7</v>
      </c>
      <c r="Y335" s="32">
        <f>VLOOKUP($B335,Hitters!$A1:$R401,16,FALSE)</f>
        <v>0.45592233009708699</v>
      </c>
      <c r="Z335" s="32">
        <f>VLOOKUP($B335,Hitters!$A1:$R401,17,FALSE)</f>
        <v>0.77754348160169695</v>
      </c>
      <c r="AA335" s="30">
        <f>VLOOKUP($B335,Hitters!$A1:$R401,18,FALSE)</f>
        <v>0</v>
      </c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</row>
    <row r="336" spans="1:44" ht="18.600000000000001" customHeight="1">
      <c r="A336" s="24">
        <f ca="1">RANK(I336,I$2:I$651)</f>
        <v>298</v>
      </c>
      <c r="B336" s="25" t="s">
        <v>395</v>
      </c>
      <c r="C336" s="26" t="s">
        <v>74</v>
      </c>
      <c r="D336" s="26" t="s">
        <v>75</v>
      </c>
      <c r="E336" s="27" t="s">
        <v>23</v>
      </c>
      <c r="F336" s="28">
        <f ca="1">VLOOKUP(B336,OF!A1:I139,IF(Settings!$J$13="points",4,7),FALSE)</f>
        <v>82</v>
      </c>
      <c r="G336" s="29">
        <f>(M336*Settings!$B$2)+(N336*Settings!$B$3)+(O336*Settings!$B$4)+(P336*Settings!$B$5)+(Q336*Settings!$B$6)+(T336*Settings!$B$9)+(U336*Settings!$B$10)+(V336*Settings!$B$11)+(W336*Settings!$B$12)+(X336*Settings!$B$13)+(AA336*Settings!$B$16)</f>
        <v>277.25</v>
      </c>
      <c r="H336" s="30">
        <f>VLOOKUP(B336,'Standard Deviations'!$A1:$D651,4,FALSE)</f>
        <v>-0.74392488906323018</v>
      </c>
      <c r="I336" s="31">
        <f ca="1">VLOOKUP(B336,OF!A1:I139,IF(Settings!$J$13="points",6,9),FALSE)</f>
        <v>-0.86264409537200037</v>
      </c>
      <c r="J336" s="30"/>
      <c r="K336" s="30">
        <f ca="1">J336-A336</f>
        <v>-298</v>
      </c>
      <c r="L336" s="30"/>
      <c r="M336" s="30">
        <f>VLOOKUP($B336,Hitters!$A1:$R401,4,FALSE)</f>
        <v>374</v>
      </c>
      <c r="N336" s="30">
        <f>VLOOKUP($B336,Hitters!$A1:$R401,5,FALSE)</f>
        <v>45.4</v>
      </c>
      <c r="O336" s="30">
        <f>VLOOKUP($B336,Hitters!$A1:$R401,6,FALSE)</f>
        <v>12.7</v>
      </c>
      <c r="P336" s="30">
        <f>VLOOKUP($B336,Hitters!$A1:$R401,7,FALSE)</f>
        <v>50.933333333333302</v>
      </c>
      <c r="Q336" s="30">
        <f>VLOOKUP($B336,Hitters!$A1:$R401,8,FALSE)</f>
        <v>6.6333333333333302</v>
      </c>
      <c r="R336" s="32">
        <f>VLOOKUP($B336,Hitters!$A1:$R401,9,FALSE)</f>
        <v>0.24322638146167599</v>
      </c>
      <c r="S336" s="32">
        <f>VLOOKUP($B336,Hitters!$A1:$R401,10,FALSE)</f>
        <v>0.28970789782203099</v>
      </c>
      <c r="T336" s="30">
        <f>VLOOKUP($B336,Hitters!$A1:$R401,11,FALSE)</f>
        <v>90.966666666666697</v>
      </c>
      <c r="U336" s="30">
        <f>VLOOKUP($B336,Hitters!$A1:$R401,12,FALSE)</f>
        <v>17.366666666666699</v>
      </c>
      <c r="V336" s="30">
        <f>VLOOKUP($B336,Hitters!$A1:$R401,13,FALSE)</f>
        <v>1.8</v>
      </c>
      <c r="W336" s="30">
        <f>VLOOKUP($B336,Hitters!$A1:$R401,14,FALSE)</f>
        <v>26</v>
      </c>
      <c r="X336" s="30">
        <f>VLOOKUP($B336,Hitters!$A1:$R401,15,FALSE)</f>
        <v>80.5</v>
      </c>
      <c r="Y336" s="32">
        <f>VLOOKUP($B336,Hitters!$A1:$R401,16,FALSE)</f>
        <v>0.40115864527629203</v>
      </c>
      <c r="Z336" s="32">
        <f>VLOOKUP($B336,Hitters!$A1:$R401,17,FALSE)</f>
        <v>0.69086654309832296</v>
      </c>
      <c r="AA336" s="30">
        <f>VLOOKUP($B336,Hitters!$A1:$R401,18,FALSE)</f>
        <v>0</v>
      </c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</row>
    <row r="337" spans="1:44" ht="18.600000000000001" customHeight="1">
      <c r="A337" s="24">
        <f ca="1">RANK(I337,I$2:I$651)</f>
        <v>319</v>
      </c>
      <c r="B337" s="25" t="s">
        <v>416</v>
      </c>
      <c r="C337" s="26"/>
      <c r="D337" s="26" t="s">
        <v>70</v>
      </c>
      <c r="E337" s="27" t="s">
        <v>23</v>
      </c>
      <c r="F337" s="28">
        <f ca="1">VLOOKUP(B337,OF!A1:I139,IF(Settings!$J$13="points",4,7),FALSE)</f>
        <v>89</v>
      </c>
      <c r="G337" s="29">
        <f>(M337*Settings!$B$2)+(N337*Settings!$B$3)+(O337*Settings!$B$4)+(P337*Settings!$B$5)+(Q337*Settings!$B$6)+(T337*Settings!$B$9)+(U337*Settings!$B$10)+(V337*Settings!$B$11)+(W337*Settings!$B$12)+(X337*Settings!$B$13)+(AA337*Settings!$B$16)</f>
        <v>275.93333333333345</v>
      </c>
      <c r="H337" s="30">
        <f>VLOOKUP(B337,'Standard Deviations'!$A1:$D651,4,FALSE)</f>
        <v>-1.2187530941570817</v>
      </c>
      <c r="I337" s="31">
        <f ca="1">VLOOKUP(B337,OF!A1:I139,IF(Settings!$J$13="points",6,9),FALSE)</f>
        <v>-1.3374662983296426</v>
      </c>
      <c r="J337" s="30"/>
      <c r="K337" s="30">
        <f ca="1">J337-A337</f>
        <v>-319</v>
      </c>
      <c r="L337" s="30"/>
      <c r="M337" s="30">
        <f>VLOOKUP($B337,Hitters!$A1:$R401,4,FALSE)</f>
        <v>380</v>
      </c>
      <c r="N337" s="30">
        <f>VLOOKUP($B337,Hitters!$A1:$R401,5,FALSE)</f>
        <v>43.3333333333333</v>
      </c>
      <c r="O337" s="30">
        <f>VLOOKUP($B337,Hitters!$A1:$R401,6,FALSE)</f>
        <v>10.0666666666667</v>
      </c>
      <c r="P337" s="30">
        <f>VLOOKUP($B337,Hitters!$A1:$R401,7,FALSE)</f>
        <v>49.9</v>
      </c>
      <c r="Q337" s="30">
        <f>VLOOKUP($B337,Hitters!$A1:$R401,8,FALSE)</f>
        <v>2.2000000000000002</v>
      </c>
      <c r="R337" s="32">
        <f>VLOOKUP($B337,Hitters!$A1:$R401,9,FALSE)</f>
        <v>0.25684210526315798</v>
      </c>
      <c r="S337" s="32">
        <f>VLOOKUP($B337,Hitters!$A1:$R401,10,FALSE)</f>
        <v>0.31465517241379298</v>
      </c>
      <c r="T337" s="30">
        <f>VLOOKUP($B337,Hitters!$A1:$R401,11,FALSE)</f>
        <v>97.6</v>
      </c>
      <c r="U337" s="30">
        <f>VLOOKUP($B337,Hitters!$A1:$R401,12,FALSE)</f>
        <v>21.5</v>
      </c>
      <c r="V337" s="30">
        <f>VLOOKUP($B337,Hitters!$A1:$R401,13,FALSE)</f>
        <v>2.8</v>
      </c>
      <c r="W337" s="30">
        <f>VLOOKUP($B337,Hitters!$A1:$R401,14,FALSE)</f>
        <v>33.799999999999997</v>
      </c>
      <c r="X337" s="30">
        <f>VLOOKUP($B337,Hitters!$A1:$R401,15,FALSE)</f>
        <v>89.533333333333303</v>
      </c>
      <c r="Y337" s="32">
        <f>VLOOKUP($B337,Hitters!$A1:$R401,16,FALSE)</f>
        <v>0.40763157894736901</v>
      </c>
      <c r="Z337" s="32">
        <f>VLOOKUP($B337,Hitters!$A1:$R401,17,FALSE)</f>
        <v>0.72228675136116205</v>
      </c>
      <c r="AA337" s="30">
        <f>VLOOKUP($B337,Hitters!$A1:$R401,18,FALSE)</f>
        <v>0</v>
      </c>
      <c r="AB337" s="30"/>
      <c r="AC337" s="30"/>
      <c r="AD337" s="32"/>
      <c r="AE337" s="32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</row>
    <row r="338" spans="1:44" ht="18.600000000000001" customHeight="1">
      <c r="A338" s="24">
        <f ca="1">RANK(I338,I$2:I$651)</f>
        <v>486</v>
      </c>
      <c r="B338" s="25" t="s">
        <v>585</v>
      </c>
      <c r="C338" s="26" t="s">
        <v>309</v>
      </c>
      <c r="D338" s="26" t="s">
        <v>75</v>
      </c>
      <c r="E338" s="35" t="s">
        <v>31</v>
      </c>
      <c r="F338" s="36">
        <f ca="1">VLOOKUP(B338,SP!A1:I161,IF(Settings!$J$13="points",4,7),FALSE)</f>
        <v>140</v>
      </c>
      <c r="G338" s="29">
        <f>(AC338*Settings!$F$2)+(AF338*Settings!$F$5)+(AG338*Settings!$F$6)+(AH338*Settings!$F$7)+(AI338*Settings!$F$8)+(AJ338*Settings!$F$9)+(AK338*Settings!$F$10)+(AL338*Settings!$F$11)+(AM338*Settings!$F$12)+(AN338*Settings!$F$13)+(AO338*Settings!$F$14)+(AP338*Settings!$F$15)+(AQ338*Settings!$F$16)+(AR338*Settings!$F$17)</f>
        <v>275.73333333333341</v>
      </c>
      <c r="H338" s="30">
        <f>VLOOKUP(B338,'Standard Deviations'!$A1:$D651,4,FALSE)</f>
        <v>-3.3560790788355561</v>
      </c>
      <c r="I338" s="31">
        <f ca="1">IF(Settings!$J$16="no",VLOOKUP(B338,SP!A1:I161,IF(Settings!$J$13="points",6,9),FALSE),VLOOKUP(B338,'SP+RP'!$A1:$I251,IF(Settings!$J$13="points",6,9),FALSE))</f>
        <v>-3.4920663236310312</v>
      </c>
      <c r="J338" s="30"/>
      <c r="K338" s="30">
        <f ca="1">J338-A338</f>
        <v>-486</v>
      </c>
      <c r="L338" s="30"/>
      <c r="M338" s="30"/>
      <c r="N338" s="30"/>
      <c r="O338" s="30"/>
      <c r="P338" s="30"/>
      <c r="Q338" s="30"/>
      <c r="R338" s="32"/>
      <c r="S338" s="32"/>
      <c r="T338" s="30"/>
      <c r="U338" s="30"/>
      <c r="V338" s="30"/>
      <c r="W338" s="30"/>
      <c r="X338" s="30"/>
      <c r="Y338" s="32"/>
      <c r="Z338" s="32"/>
      <c r="AA338" s="30"/>
      <c r="AB338" s="30"/>
      <c r="AC338" s="30">
        <f>VLOOKUP($B338,Pitchers!$A1:$S251,4,FALSE)</f>
        <v>148.73333333333335</v>
      </c>
      <c r="AD338" s="32">
        <f>VLOOKUP($B338,Pitchers!$A1:$S251,5,FALSE)</f>
        <v>4.9941730165844902</v>
      </c>
      <c r="AE338" s="32">
        <f>VLOOKUP($B338,Pitchers!$A1:$S251,6,FALSE)</f>
        <v>1.344016136261766</v>
      </c>
      <c r="AF338" s="30">
        <f>VLOOKUP($B338,Pitchers!$A1:$S251,7,FALSE)</f>
        <v>151</v>
      </c>
      <c r="AG338" s="30">
        <f>VLOOKUP($B338,Pitchers!$A1:$S251,8,FALSE)</f>
        <v>6.7333333333333334</v>
      </c>
      <c r="AH338" s="30">
        <f>VLOOKUP($B338,Pitchers!$A1:$S251,9,FALSE)</f>
        <v>0</v>
      </c>
      <c r="AI338" s="30">
        <f>VLOOKUP($B338,Pitchers!$A1:$S251,10,FALSE)</f>
        <v>82.533333333333331</v>
      </c>
      <c r="AJ338" s="30">
        <f>VLOOKUP($B338,Pitchers!$A1:$S251,11,FALSE)</f>
        <v>136.56666666666666</v>
      </c>
      <c r="AK338" s="30">
        <f>VLOOKUP($B338,Pitchers!$A1:$S251,12,FALSE)</f>
        <v>63.333333333333336</v>
      </c>
      <c r="AL338" s="30">
        <f>VLOOKUP($B338,Pitchers!$A1:$S251,13,FALSE)</f>
        <v>31</v>
      </c>
      <c r="AM338" s="30">
        <f>VLOOKUP($B338,Pitchers!$A1:$S251,14,FALSE)</f>
        <v>28.266666666666666</v>
      </c>
      <c r="AN338" s="30">
        <f>VLOOKUP($B338,Pitchers!$A1:$S251,15,FALSE)</f>
        <v>27.599999999999998</v>
      </c>
      <c r="AO338" s="30">
        <f>VLOOKUP($B338,Pitchers!$A1:$S251,16,FALSE)</f>
        <v>9.3333333333333339</v>
      </c>
      <c r="AP338" s="30">
        <f>VLOOKUP($B338,Pitchers!$A1:$S251,17,FALSE)</f>
        <v>12</v>
      </c>
      <c r="AQ338" s="30">
        <f>VLOOKUP($B338,Pitchers!$A1:$S251,18,FALSE)</f>
        <v>0</v>
      </c>
      <c r="AR338" s="30">
        <f>VLOOKUP($B338,Pitchers!$A1:$S251,19,FALSE)</f>
        <v>0</v>
      </c>
    </row>
    <row r="339" spans="1:44" ht="18.600000000000001" customHeight="1">
      <c r="A339" s="24">
        <f ca="1">RANK(I339,I$2:I$651)</f>
        <v>406</v>
      </c>
      <c r="B339" s="25" t="s">
        <v>503</v>
      </c>
      <c r="C339" s="26" t="s">
        <v>119</v>
      </c>
      <c r="D339" s="26" t="s">
        <v>70</v>
      </c>
      <c r="E339" s="33" t="s">
        <v>15</v>
      </c>
      <c r="F339" s="34">
        <f ca="1">VLOOKUP(B339,'3B'!A1:I55,IF(Settings!$J$13="points",4,7),FALSE)</f>
        <v>32</v>
      </c>
      <c r="G339" s="29">
        <f>(M339*Settings!$B$2)+(N339*Settings!$B$3)+(O339*Settings!$B$4)+(P339*Settings!$B$5)+(Q339*Settings!$B$6)+(T339*Settings!$B$9)+(U339*Settings!$B$10)+(V339*Settings!$B$11)+(W339*Settings!$B$12)+(X339*Settings!$B$13)+(AA339*Settings!$B$16)</f>
        <v>275.33333333333326</v>
      </c>
      <c r="H339" s="30">
        <f>VLOOKUP(B339,'Standard Deviations'!$A1:$D651,4,FALSE)</f>
        <v>-1.7834717979585486</v>
      </c>
      <c r="I339" s="31">
        <f ca="1">IF(Settings!$J$15="no",VLOOKUP(B339,'3B'!A1:I55,IF(Settings!$J$13="points",6,9),FALSE),VLOOKUP(B339,'1B+3B'!$A1:$I104,IF(Settings!$J$13="points",6,9),FALSE))</f>
        <v>-2.5111503667548436</v>
      </c>
      <c r="J339" s="30"/>
      <c r="K339" s="30">
        <f ca="1">J339-A339</f>
        <v>-406</v>
      </c>
      <c r="L339" s="30"/>
      <c r="M339" s="30">
        <f>VLOOKUP($B339,Hitters!$A1:$R401,4,FALSE)</f>
        <v>410</v>
      </c>
      <c r="N339" s="30">
        <f>VLOOKUP($B339,Hitters!$A1:$R401,5,FALSE)</f>
        <v>48.1</v>
      </c>
      <c r="O339" s="30">
        <f>VLOOKUP($B339,Hitters!$A1:$R401,6,FALSE)</f>
        <v>12.3</v>
      </c>
      <c r="P339" s="30">
        <f>VLOOKUP($B339,Hitters!$A1:$R401,7,FALSE)</f>
        <v>44.633333333333297</v>
      </c>
      <c r="Q339" s="30">
        <f>VLOOKUP($B339,Hitters!$A1:$R401,8,FALSE)</f>
        <v>5.0999999999999996</v>
      </c>
      <c r="R339" s="32">
        <f>VLOOKUP($B339,Hitters!$A1:$R401,9,FALSE)</f>
        <v>0.23113821138211399</v>
      </c>
      <c r="S339" s="32">
        <f>VLOOKUP($B339,Hitters!$A1:$R401,10,FALSE)</f>
        <v>0.291105520201273</v>
      </c>
      <c r="T339" s="30">
        <f>VLOOKUP($B339,Hitters!$A1:$R401,11,FALSE)</f>
        <v>94.766666666666694</v>
      </c>
      <c r="U339" s="30">
        <f>VLOOKUP($B339,Hitters!$A1:$R401,12,FALSE)</f>
        <v>20.533333333333299</v>
      </c>
      <c r="V339" s="30">
        <f>VLOOKUP($B339,Hitters!$A1:$R401,13,FALSE)</f>
        <v>3.5333333333333301</v>
      </c>
      <c r="W339" s="30">
        <f>VLOOKUP($B339,Hitters!$A1:$R401,14,FALSE)</f>
        <v>36.366666666666703</v>
      </c>
      <c r="X339" s="30">
        <f>VLOOKUP($B339,Hitters!$A1:$R401,15,FALSE)</f>
        <v>119.2</v>
      </c>
      <c r="Y339" s="32">
        <f>VLOOKUP($B339,Hitters!$A1:$R401,16,FALSE)</f>
        <v>0.388455284552846</v>
      </c>
      <c r="Z339" s="32">
        <f>VLOOKUP($B339,Hitters!$A1:$R401,17,FALSE)</f>
        <v>0.67956080475411795</v>
      </c>
      <c r="AA339" s="30">
        <f>VLOOKUP($B339,Hitters!$A1:$R401,18,FALSE)</f>
        <v>0</v>
      </c>
      <c r="AB339" s="30"/>
      <c r="AC339" s="30"/>
      <c r="AD339" s="32"/>
      <c r="AE339" s="32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</row>
    <row r="340" spans="1:44" ht="20.100000000000001" customHeight="1">
      <c r="A340" s="24">
        <f ca="1">RANK(I340,I$2:I$651)</f>
        <v>310</v>
      </c>
      <c r="B340" s="25" t="s">
        <v>406</v>
      </c>
      <c r="C340" s="26" t="s">
        <v>136</v>
      </c>
      <c r="D340" s="26" t="s">
        <v>75</v>
      </c>
      <c r="E340" s="33" t="s">
        <v>15</v>
      </c>
      <c r="F340" s="34">
        <f ca="1">VLOOKUP(B340,'3B'!A1:I55,IF(Settings!$J$13="points",4,7),FALSE)</f>
        <v>25</v>
      </c>
      <c r="G340" s="29">
        <f>(M340*Settings!$B$2)+(N340*Settings!$B$3)+(O340*Settings!$B$4)+(P340*Settings!$B$5)+(Q340*Settings!$B$6)+(T340*Settings!$B$9)+(U340*Settings!$B$10)+(V340*Settings!$B$11)+(W340*Settings!$B$12)+(X340*Settings!$B$13)+(AA340*Settings!$B$16)</f>
        <v>275.05000000000024</v>
      </c>
      <c r="H340" s="30">
        <f>VLOOKUP(B340,'Standard Deviations'!$A1:$D651,4,FALSE)</f>
        <v>-0.32327571204515071</v>
      </c>
      <c r="I340" s="31">
        <f ca="1">IF(Settings!$J$15="no",VLOOKUP(B340,'3B'!A1:I55,IF(Settings!$J$13="points",6,9),FALSE),VLOOKUP(B340,'1B+3B'!$A1:$I104,IF(Settings!$J$13="points",6,9),FALSE))</f>
        <v>-1.05094978207552</v>
      </c>
      <c r="J340" s="30"/>
      <c r="K340" s="30">
        <f ca="1">J340-A340</f>
        <v>-310</v>
      </c>
      <c r="L340" s="30"/>
      <c r="M340" s="30">
        <f>VLOOKUP($B340,Hitters!$A1:$R401,4,FALSE)</f>
        <v>391</v>
      </c>
      <c r="N340" s="30">
        <f>VLOOKUP($B340,Hitters!$A1:$R401,5,FALSE)</f>
        <v>44.133333333333297</v>
      </c>
      <c r="O340" s="30">
        <f>VLOOKUP($B340,Hitters!$A1:$R401,6,FALSE)</f>
        <v>6.3333333333333304</v>
      </c>
      <c r="P340" s="30">
        <f>VLOOKUP($B340,Hitters!$A1:$R401,7,FALSE)</f>
        <v>40.533333333333303</v>
      </c>
      <c r="Q340" s="30">
        <f>VLOOKUP($B340,Hitters!$A1:$R401,8,FALSE)</f>
        <v>11.2</v>
      </c>
      <c r="R340" s="32">
        <f>VLOOKUP($B340,Hitters!$A1:$R401,9,FALSE)</f>
        <v>0.26513213981244699</v>
      </c>
      <c r="S340" s="32">
        <f>VLOOKUP($B340,Hitters!$A1:$R401,10,FALSE)</f>
        <v>0.29946361136277999</v>
      </c>
      <c r="T340" s="30">
        <f>VLOOKUP($B340,Hitters!$A1:$R401,11,FALSE)</f>
        <v>103.666666666667</v>
      </c>
      <c r="U340" s="30">
        <f>VLOOKUP($B340,Hitters!$A1:$R401,12,FALSE)</f>
        <v>24</v>
      </c>
      <c r="V340" s="30">
        <f>VLOOKUP($B340,Hitters!$A1:$R401,13,FALSE)</f>
        <v>2.5333333333333301</v>
      </c>
      <c r="W340" s="30">
        <f>VLOOKUP($B340,Hitters!$A1:$R401,14,FALSE)</f>
        <v>20.8333333333333</v>
      </c>
      <c r="X340" s="30">
        <f>VLOOKUP($B340,Hitters!$A1:$R401,15,FALSE)</f>
        <v>74.900000000000006</v>
      </c>
      <c r="Y340" s="32">
        <f>VLOOKUP($B340,Hitters!$A1:$R401,16,FALSE)</f>
        <v>0.38806479113384501</v>
      </c>
      <c r="Z340" s="32">
        <f>VLOOKUP($B340,Hitters!$A1:$R401,17,FALSE)</f>
        <v>0.68752840249662495</v>
      </c>
      <c r="AA340" s="30">
        <f>VLOOKUP($B340,Hitters!$A1:$R401,18,FALSE)</f>
        <v>0</v>
      </c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</row>
    <row r="341" spans="1:44" ht="18.600000000000001" customHeight="1">
      <c r="A341" s="24">
        <f ca="1">RANK(I341,I$2:I$651)</f>
        <v>404</v>
      </c>
      <c r="B341" s="25" t="s">
        <v>500</v>
      </c>
      <c r="C341" s="26" t="s">
        <v>101</v>
      </c>
      <c r="D341" s="26" t="s">
        <v>70</v>
      </c>
      <c r="E341" s="35" t="s">
        <v>31</v>
      </c>
      <c r="F341" s="36">
        <f ca="1">VLOOKUP(B341,SP!A1:I161,IF(Settings!$J$13="points",4,7),FALSE)</f>
        <v>120</v>
      </c>
      <c r="G341" s="29">
        <f>(AC341*Settings!$F$2)+(AF341*Settings!$F$5)+(AG341*Settings!$F$6)+(AH341*Settings!$F$7)+(AI341*Settings!$F$8)+(AJ341*Settings!$F$9)+(AK341*Settings!$F$10)+(AL341*Settings!$F$11)+(AM341*Settings!$F$12)+(AN341*Settings!$F$13)+(AO341*Settings!$F$14)+(AP341*Settings!$F$15)+(AQ341*Settings!$F$16)+(AR341*Settings!$F$17)</f>
        <v>274.54399999999998</v>
      </c>
      <c r="H341" s="30">
        <f>VLOOKUP(B341,'Standard Deviations'!$A1:$D651,4,FALSE)</f>
        <v>-2.3329842993664527</v>
      </c>
      <c r="I341" s="31">
        <f ca="1">IF(Settings!$J$16="no",VLOOKUP(B341,SP!A1:I161,IF(Settings!$J$13="points",6,9),FALSE),VLOOKUP(B341,'SP+RP'!$A1:$I251,IF(Settings!$J$13="points",6,9),FALSE))</f>
        <v>-2.4689622378294467</v>
      </c>
      <c r="J341" s="30"/>
      <c r="K341" s="30">
        <f ca="1">J341-A341</f>
        <v>-404</v>
      </c>
      <c r="L341" s="30"/>
      <c r="M341" s="30"/>
      <c r="N341" s="30"/>
      <c r="O341" s="30"/>
      <c r="P341" s="30"/>
      <c r="Q341" s="30"/>
      <c r="R341" s="32"/>
      <c r="S341" s="32"/>
      <c r="T341" s="30"/>
      <c r="U341" s="30"/>
      <c r="V341" s="30"/>
      <c r="W341" s="30"/>
      <c r="X341" s="30"/>
      <c r="Y341" s="32"/>
      <c r="Z341" s="32"/>
      <c r="AA341" s="30"/>
      <c r="AB341" s="30"/>
      <c r="AC341" s="30">
        <f>VLOOKUP($B341,Pitchers!$A1:$S251,4,FALSE)</f>
        <v>147.44999999999999</v>
      </c>
      <c r="AD341" s="32">
        <f>VLOOKUP($B341,Pitchers!$A1:$S251,5,FALSE)</f>
        <v>4.4454323499491348</v>
      </c>
      <c r="AE341" s="32">
        <f>VLOOKUP($B341,Pitchers!$A1:$S251,6,FALSE)</f>
        <v>1.3268904713462193</v>
      </c>
      <c r="AF341" s="30">
        <f>VLOOKUP($B341,Pitchers!$A1:$S251,7,FALSE)</f>
        <v>115.25</v>
      </c>
      <c r="AG341" s="30">
        <f>VLOOKUP($B341,Pitchers!$A1:$S251,8,FALSE)</f>
        <v>8.65</v>
      </c>
      <c r="AH341" s="30">
        <f>VLOOKUP($B341,Pitchers!$A1:$S251,9,FALSE)</f>
        <v>0</v>
      </c>
      <c r="AI341" s="30">
        <f>VLOOKUP($B341,Pitchers!$A1:$S251,10,FALSE)</f>
        <v>72.830999999999989</v>
      </c>
      <c r="AJ341" s="30">
        <f>VLOOKUP($B341,Pitchers!$A1:$S251,11,FALSE)</f>
        <v>149.5</v>
      </c>
      <c r="AK341" s="30">
        <f>VLOOKUP($B341,Pitchers!$A1:$S251,12,FALSE)</f>
        <v>46.15</v>
      </c>
      <c r="AL341" s="30">
        <f>VLOOKUP($B341,Pitchers!$A1:$S251,13,FALSE)</f>
        <v>22</v>
      </c>
      <c r="AM341" s="30">
        <f>VLOOKUP($B341,Pitchers!$A1:$S251,14,FALSE)</f>
        <v>26.75</v>
      </c>
      <c r="AN341" s="30">
        <f>VLOOKUP($B341,Pitchers!$A1:$S251,15,FALSE)</f>
        <v>26.75</v>
      </c>
      <c r="AO341" s="30">
        <f>VLOOKUP($B341,Pitchers!$A1:$S251,16,FALSE)</f>
        <v>9.5</v>
      </c>
      <c r="AP341" s="30">
        <f>VLOOKUP($B341,Pitchers!$A1:$S251,17,FALSE)</f>
        <v>10</v>
      </c>
      <c r="AQ341" s="30">
        <f>VLOOKUP($B341,Pitchers!$A1:$S251,18,FALSE)</f>
        <v>0</v>
      </c>
      <c r="AR341" s="30">
        <f>VLOOKUP($B341,Pitchers!$A1:$S251,19,FALSE)</f>
        <v>0</v>
      </c>
    </row>
    <row r="342" spans="1:44" ht="18.600000000000001" customHeight="1">
      <c r="A342" s="24">
        <f ca="1">RANK(I342,I$2:I$651)</f>
        <v>546</v>
      </c>
      <c r="B342" s="25" t="s">
        <v>644</v>
      </c>
      <c r="C342" s="26" t="s">
        <v>119</v>
      </c>
      <c r="D342" s="26" t="s">
        <v>70</v>
      </c>
      <c r="E342" s="35" t="s">
        <v>31</v>
      </c>
      <c r="F342" s="36">
        <f ca="1">VLOOKUP(B342,SP!A1:I161,IF(Settings!$J$13="points",4,7),FALSE)</f>
        <v>151</v>
      </c>
      <c r="G342" s="29">
        <f>(AC342*Settings!$F$2)+(AF342*Settings!$F$5)+(AG342*Settings!$F$6)+(AH342*Settings!$F$7)+(AI342*Settings!$F$8)+(AJ342*Settings!$F$9)+(AK342*Settings!$F$10)+(AL342*Settings!$F$11)+(AM342*Settings!$F$12)+(AN342*Settings!$F$13)+(AO342*Settings!$F$14)+(AP342*Settings!$F$15)+(AQ342*Settings!$F$16)+(AR342*Settings!$F$17)</f>
        <v>274.32133333333337</v>
      </c>
      <c r="H342" s="30">
        <f>VLOOKUP(B342,'Standard Deviations'!$A1:$D651,4,FALSE)</f>
        <v>-4.0843542746241441</v>
      </c>
      <c r="I342" s="31">
        <f ca="1">IF(Settings!$J$16="no",VLOOKUP(B342,SP!A1:I161,IF(Settings!$J$13="points",6,9),FALSE),VLOOKUP(B342,'SP+RP'!$A1:$I251,IF(Settings!$J$13="points",6,9),FALSE))</f>
        <v>-4.220334547621138</v>
      </c>
      <c r="J342" s="30"/>
      <c r="K342" s="30">
        <f ca="1">J342-A342</f>
        <v>-546</v>
      </c>
      <c r="L342" s="30"/>
      <c r="M342" s="30"/>
      <c r="N342" s="30"/>
      <c r="O342" s="30"/>
      <c r="P342" s="30"/>
      <c r="Q342" s="30"/>
      <c r="R342" s="32"/>
      <c r="S342" s="32"/>
      <c r="T342" s="30"/>
      <c r="U342" s="30"/>
      <c r="V342" s="30"/>
      <c r="W342" s="30"/>
      <c r="X342" s="30"/>
      <c r="Y342" s="32"/>
      <c r="Z342" s="32"/>
      <c r="AA342" s="30"/>
      <c r="AB342" s="30"/>
      <c r="AC342" s="30">
        <f>VLOOKUP($B342,Pitchers!$A1:$S251,4,FALSE)</f>
        <v>168.2</v>
      </c>
      <c r="AD342" s="32">
        <f>VLOOKUP($B342,Pitchers!$A1:$S251,5,FALSE)</f>
        <v>5.0669322235434011</v>
      </c>
      <c r="AE342" s="32">
        <f>VLOOKUP($B342,Pitchers!$A1:$S251,6,FALSE)</f>
        <v>1.4171621086008721</v>
      </c>
      <c r="AF342" s="30">
        <f>VLOOKUP($B342,Pitchers!$A1:$S251,7,FALSE)</f>
        <v>125.16666666666667</v>
      </c>
      <c r="AG342" s="30">
        <f>VLOOKUP($B342,Pitchers!$A1:$S251,8,FALSE)</f>
        <v>9.1</v>
      </c>
      <c r="AH342" s="30">
        <f>VLOOKUP($B342,Pitchers!$A1:$S251,9,FALSE)</f>
        <v>0</v>
      </c>
      <c r="AI342" s="30">
        <f>VLOOKUP($B342,Pitchers!$A1:$S251,10,FALSE)</f>
        <v>94.695333333333338</v>
      </c>
      <c r="AJ342" s="30">
        <f>VLOOKUP($B342,Pitchers!$A1:$S251,11,FALSE)</f>
        <v>185.03333333333333</v>
      </c>
      <c r="AK342" s="30">
        <f>VLOOKUP($B342,Pitchers!$A1:$S251,12,FALSE)</f>
        <v>53.333333333333336</v>
      </c>
      <c r="AL342" s="30">
        <f>VLOOKUP($B342,Pitchers!$A1:$S251,13,FALSE)</f>
        <v>26</v>
      </c>
      <c r="AM342" s="30">
        <f>VLOOKUP($B342,Pitchers!$A1:$S251,14,FALSE)</f>
        <v>30.599999999999998</v>
      </c>
      <c r="AN342" s="30">
        <f>VLOOKUP($B342,Pitchers!$A1:$S251,15,FALSE)</f>
        <v>29.933333333333334</v>
      </c>
      <c r="AO342" s="30">
        <f>VLOOKUP($B342,Pitchers!$A1:$S251,16,FALSE)</f>
        <v>11.9</v>
      </c>
      <c r="AP342" s="30">
        <f>VLOOKUP($B342,Pitchers!$A1:$S251,17,FALSE)</f>
        <v>12</v>
      </c>
      <c r="AQ342" s="30">
        <f>VLOOKUP($B342,Pitchers!$A1:$S251,18,FALSE)</f>
        <v>0</v>
      </c>
      <c r="AR342" s="30">
        <f>VLOOKUP($B342,Pitchers!$A1:$S251,19,FALSE)</f>
        <v>0</v>
      </c>
    </row>
    <row r="343" spans="1:44" ht="18.600000000000001" customHeight="1">
      <c r="A343" s="24">
        <f ca="1">RANK(I343,I$2:I$651)</f>
        <v>557</v>
      </c>
      <c r="B343" s="25" t="s">
        <v>654</v>
      </c>
      <c r="C343" s="26" t="s">
        <v>178</v>
      </c>
      <c r="D343" s="26" t="s">
        <v>75</v>
      </c>
      <c r="E343" s="35" t="s">
        <v>31</v>
      </c>
      <c r="F343" s="36">
        <f ca="1">VLOOKUP(B343,SP!A1:I161,IF(Settings!$J$13="points",4,7),FALSE)</f>
        <v>154</v>
      </c>
      <c r="G343" s="29">
        <f>(AC343*Settings!$F$2)+(AF343*Settings!$F$5)+(AG343*Settings!$F$6)+(AH343*Settings!$F$7)+(AI343*Settings!$F$8)+(AJ343*Settings!$F$9)+(AK343*Settings!$F$10)+(AL343*Settings!$F$11)+(AM343*Settings!$F$12)+(AN343*Settings!$F$13)+(AO343*Settings!$F$14)+(AP343*Settings!$F$15)+(AQ343*Settings!$F$16)+(AR343*Settings!$F$17)</f>
        <v>273.20933333333329</v>
      </c>
      <c r="H343" s="30">
        <f>VLOOKUP(B343,'Standard Deviations'!$A1:$D651,4,FALSE)</f>
        <v>-4.2770565558106544</v>
      </c>
      <c r="I343" s="31">
        <f ca="1">IF(Settings!$J$16="no",VLOOKUP(B343,SP!A1:I161,IF(Settings!$J$13="points",6,9),FALSE),VLOOKUP(B343,'SP+RP'!$A1:$I251,IF(Settings!$J$13="points",6,9),FALSE))</f>
        <v>-4.4130411559571776</v>
      </c>
      <c r="J343" s="30"/>
      <c r="K343" s="30">
        <f ca="1">J343-A343</f>
        <v>-557</v>
      </c>
      <c r="L343" s="30"/>
      <c r="M343" s="30"/>
      <c r="N343" s="30"/>
      <c r="O343" s="30"/>
      <c r="P343" s="30"/>
      <c r="Q343" s="30"/>
      <c r="R343" s="32"/>
      <c r="S343" s="32"/>
      <c r="T343" s="30"/>
      <c r="U343" s="30"/>
      <c r="V343" s="30"/>
      <c r="W343" s="30"/>
      <c r="X343" s="30"/>
      <c r="Y343" s="32"/>
      <c r="Z343" s="32"/>
      <c r="AA343" s="30"/>
      <c r="AB343" s="30"/>
      <c r="AC343" s="30">
        <f>VLOOKUP($B343,Pitchers!$A1:$S251,4,FALSE)</f>
        <v>167.93333333333334</v>
      </c>
      <c r="AD343" s="32">
        <f>VLOOKUP($B343,Pitchers!$A1:$S251,5,FALSE)</f>
        <v>4.9586105597459307</v>
      </c>
      <c r="AE343" s="32">
        <f>VLOOKUP($B343,Pitchers!$A1:$S251,6,FALSE)</f>
        <v>1.4479952362048432</v>
      </c>
      <c r="AF343" s="30">
        <f>VLOOKUP($B343,Pitchers!$A1:$S251,7,FALSE)</f>
        <v>123</v>
      </c>
      <c r="AG343" s="30">
        <f>VLOOKUP($B343,Pitchers!$A1:$S251,8,FALSE)</f>
        <v>8.9666666666666668</v>
      </c>
      <c r="AH343" s="30">
        <f>VLOOKUP($B343,Pitchers!$A1:$S251,9,FALSE)</f>
        <v>0</v>
      </c>
      <c r="AI343" s="30">
        <f>VLOOKUP($B343,Pitchers!$A1:$S251,10,FALSE)</f>
        <v>92.524000000000001</v>
      </c>
      <c r="AJ343" s="30">
        <f>VLOOKUP($B343,Pitchers!$A1:$S251,11,FALSE)</f>
        <v>190.76666666666665</v>
      </c>
      <c r="AK343" s="30">
        <f>VLOOKUP($B343,Pitchers!$A1:$S251,12,FALSE)</f>
        <v>52.4</v>
      </c>
      <c r="AL343" s="30">
        <f>VLOOKUP($B343,Pitchers!$A1:$S251,13,FALSE)</f>
        <v>29</v>
      </c>
      <c r="AM343" s="30">
        <f>VLOOKUP($B343,Pitchers!$A1:$S251,14,FALSE)</f>
        <v>29.933333333333334</v>
      </c>
      <c r="AN343" s="30">
        <f>VLOOKUP($B343,Pitchers!$A1:$S251,15,FALSE)</f>
        <v>29.933333333333334</v>
      </c>
      <c r="AO343" s="30">
        <f>VLOOKUP($B343,Pitchers!$A1:$S251,16,FALSE)</f>
        <v>10.433333333333334</v>
      </c>
      <c r="AP343" s="30">
        <f>VLOOKUP($B343,Pitchers!$A1:$S251,17,FALSE)</f>
        <v>11</v>
      </c>
      <c r="AQ343" s="30">
        <f>VLOOKUP($B343,Pitchers!$A1:$S251,18,FALSE)</f>
        <v>0</v>
      </c>
      <c r="AR343" s="30">
        <f>VLOOKUP($B343,Pitchers!$A1:$S251,19,FALSE)</f>
        <v>0</v>
      </c>
    </row>
    <row r="344" spans="1:44" ht="18.600000000000001" customHeight="1">
      <c r="A344" s="24">
        <f ca="1">RANK(I344,I$2:I$651)</f>
        <v>249</v>
      </c>
      <c r="B344" s="25" t="s">
        <v>347</v>
      </c>
      <c r="C344" s="26" t="s">
        <v>99</v>
      </c>
      <c r="D344" s="26" t="s">
        <v>75</v>
      </c>
      <c r="E344" s="27" t="s">
        <v>23</v>
      </c>
      <c r="F344" s="28">
        <f ca="1">VLOOKUP(B344,OF!A1:I139,IF(Settings!$J$13="points",4,7),FALSE)</f>
        <v>70</v>
      </c>
      <c r="G344" s="29">
        <f>(M344*Settings!$B$2)+(N344*Settings!$B$3)+(O344*Settings!$B$4)+(P344*Settings!$B$5)+(Q344*Settings!$B$6)+(T344*Settings!$B$9)+(U344*Settings!$B$10)+(V344*Settings!$B$11)+(W344*Settings!$B$12)+(X344*Settings!$B$13)+(AA344*Settings!$B$16)</f>
        <v>272.92499999999995</v>
      </c>
      <c r="H344" s="30">
        <f>VLOOKUP(B344,'Standard Deviations'!$A1:$D651,4,FALSE)</f>
        <v>-6.343233234041068E-3</v>
      </c>
      <c r="I344" s="31">
        <f ca="1">VLOOKUP(B344,OF!A1:I139,IF(Settings!$J$13="points",6,9),FALSE)</f>
        <v>-0.12505793878632837</v>
      </c>
      <c r="J344" s="30"/>
      <c r="K344" s="30">
        <f ca="1">J344-A344</f>
        <v>-249</v>
      </c>
      <c r="L344" s="30"/>
      <c r="M344" s="30">
        <f>VLOOKUP($B344,Hitters!$A1:$R401,4,FALSE)</f>
        <v>375</v>
      </c>
      <c r="N344" s="30">
        <f>VLOOKUP($B344,Hitters!$A1:$R401,5,FALSE)</f>
        <v>48.25</v>
      </c>
      <c r="O344" s="30">
        <f>VLOOKUP($B344,Hitters!$A1:$R401,6,FALSE)</f>
        <v>10.75</v>
      </c>
      <c r="P344" s="30">
        <f>VLOOKUP($B344,Hitters!$A1:$R401,7,FALSE)</f>
        <v>42.75</v>
      </c>
      <c r="Q344" s="30">
        <f>VLOOKUP($B344,Hitters!$A1:$R401,8,FALSE)</f>
        <v>14.9</v>
      </c>
      <c r="R344" s="32">
        <f>VLOOKUP($B344,Hitters!$A1:$R401,9,FALSE)</f>
        <v>0.242933333333333</v>
      </c>
      <c r="S344" s="32">
        <f>VLOOKUP($B344,Hitters!$A1:$R401,10,FALSE)</f>
        <v>0.30878289078457299</v>
      </c>
      <c r="T344" s="30">
        <f>VLOOKUP($B344,Hitters!$A1:$R401,11,FALSE)</f>
        <v>91.1</v>
      </c>
      <c r="U344" s="30">
        <f>VLOOKUP($B344,Hitters!$A1:$R401,12,FALSE)</f>
        <v>18</v>
      </c>
      <c r="V344" s="30">
        <f>VLOOKUP($B344,Hitters!$A1:$R401,13,FALSE)</f>
        <v>1.85</v>
      </c>
      <c r="W344" s="30">
        <f>VLOOKUP($B344,Hitters!$A1:$R401,14,FALSE)</f>
        <v>37.4</v>
      </c>
      <c r="X344" s="30">
        <f>VLOOKUP($B344,Hitters!$A1:$R401,15,FALSE)</f>
        <v>121.85</v>
      </c>
      <c r="Y344" s="32">
        <f>VLOOKUP($B344,Hitters!$A1:$R401,16,FALSE)</f>
        <v>0.38679999999999998</v>
      </c>
      <c r="Z344" s="32">
        <f>VLOOKUP($B344,Hitters!$A1:$R401,17,FALSE)</f>
        <v>0.69558289078457303</v>
      </c>
      <c r="AA344" s="30">
        <f>VLOOKUP($B344,Hitters!$A1:$R401,18,FALSE)</f>
        <v>0</v>
      </c>
      <c r="AB344" s="30"/>
      <c r="AC344" s="30"/>
      <c r="AD344" s="32"/>
      <c r="AE344" s="32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</row>
    <row r="345" spans="1:44" ht="18.600000000000001" customHeight="1">
      <c r="A345" s="24">
        <f ca="1">RANK(I345,I$2:I$651)</f>
        <v>275</v>
      </c>
      <c r="B345" s="25" t="s">
        <v>372</v>
      </c>
      <c r="C345" s="26" t="s">
        <v>119</v>
      </c>
      <c r="D345" s="26" t="s">
        <v>70</v>
      </c>
      <c r="E345" s="27" t="s">
        <v>23</v>
      </c>
      <c r="F345" s="28">
        <f ca="1">VLOOKUP(B345,OF!A1:I139,IF(Settings!$J$13="points",4,7),FALSE)</f>
        <v>75</v>
      </c>
      <c r="G345" s="29">
        <f>(M345*Settings!$B$2)+(N345*Settings!$B$3)+(O345*Settings!$B$4)+(P345*Settings!$B$5)+(Q345*Settings!$B$6)+(T345*Settings!$B$9)+(U345*Settings!$B$10)+(V345*Settings!$B$11)+(W345*Settings!$B$12)+(X345*Settings!$B$13)+(AA345*Settings!$B$16)</f>
        <v>272.81666666666666</v>
      </c>
      <c r="H345" s="30">
        <f>VLOOKUP(B345,'Standard Deviations'!$A1:$D651,4,FALSE)</f>
        <v>-0.48786650088991634</v>
      </c>
      <c r="I345" s="31">
        <f ca="1">VLOOKUP(B345,OF!A1:I139,IF(Settings!$J$13="points",6,9),FALSE)</f>
        <v>-0.60657961646211733</v>
      </c>
      <c r="J345" s="30"/>
      <c r="K345" s="30">
        <f ca="1">J345-A345</f>
        <v>-275</v>
      </c>
      <c r="L345" s="30"/>
      <c r="M345" s="30">
        <f>VLOOKUP($B345,Hitters!$A1:$R401,4,FALSE)</f>
        <v>407.66666666666703</v>
      </c>
      <c r="N345" s="30">
        <f>VLOOKUP($B345,Hitters!$A1:$R401,5,FALSE)</f>
        <v>45</v>
      </c>
      <c r="O345" s="30">
        <f>VLOOKUP($B345,Hitters!$A1:$R401,6,FALSE)</f>
        <v>8.56666666666667</v>
      </c>
      <c r="P345" s="30">
        <f>VLOOKUP($B345,Hitters!$A1:$R401,7,FALSE)</f>
        <v>43.733333333333299</v>
      </c>
      <c r="Q345" s="30">
        <f>VLOOKUP($B345,Hitters!$A1:$R401,8,FALSE)</f>
        <v>13.4333333333333</v>
      </c>
      <c r="R345" s="32">
        <f>VLOOKUP($B345,Hitters!$A1:$R401,9,FALSE)</f>
        <v>0.245298446443173</v>
      </c>
      <c r="S345" s="32">
        <f>VLOOKUP($B345,Hitters!$A1:$R401,10,FALSE)</f>
        <v>0.29236624471296802</v>
      </c>
      <c r="T345" s="30">
        <f>VLOOKUP($B345,Hitters!$A1:$R401,11,FALSE)</f>
        <v>100</v>
      </c>
      <c r="U345" s="30">
        <f>VLOOKUP($B345,Hitters!$A1:$R401,12,FALSE)</f>
        <v>18.3333333333333</v>
      </c>
      <c r="V345" s="30">
        <f>VLOOKUP($B345,Hitters!$A1:$R401,13,FALSE)</f>
        <v>3.5333333333333301</v>
      </c>
      <c r="W345" s="30">
        <f>VLOOKUP($B345,Hitters!$A1:$R401,14,FALSE)</f>
        <v>28.8</v>
      </c>
      <c r="X345" s="30">
        <f>VLOOKUP($B345,Hitters!$A1:$R401,15,FALSE)</f>
        <v>106.23333333333299</v>
      </c>
      <c r="Y345" s="32">
        <f>VLOOKUP($B345,Hitters!$A1:$R401,16,FALSE)</f>
        <v>0.37064595257563399</v>
      </c>
      <c r="Z345" s="32">
        <f>VLOOKUP($B345,Hitters!$A1:$R401,17,FALSE)</f>
        <v>0.66301219728860195</v>
      </c>
      <c r="AA345" s="30">
        <f>VLOOKUP($B345,Hitters!$A1:$R401,18,FALSE)</f>
        <v>0</v>
      </c>
      <c r="AB345" s="30"/>
      <c r="AC345" s="30"/>
      <c r="AD345" s="32"/>
      <c r="AE345" s="32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</row>
    <row r="346" spans="1:44" ht="18.600000000000001" customHeight="1">
      <c r="A346" s="24">
        <f ca="1">RANK(I346,I$2:I$651)</f>
        <v>161</v>
      </c>
      <c r="B346" s="25" t="s">
        <v>257</v>
      </c>
      <c r="C346" s="26" t="s">
        <v>72</v>
      </c>
      <c r="D346" s="26" t="s">
        <v>70</v>
      </c>
      <c r="E346" s="41" t="s">
        <v>34</v>
      </c>
      <c r="F346" s="42">
        <f ca="1">VLOOKUP(B346,RP!A1:I91,IF(Settings!$J$13="points",4,7),FALSE)</f>
        <v>13</v>
      </c>
      <c r="G346" s="29">
        <f>(AC346*Settings!$F$2)+(AF346*Settings!$F$5)+(AG346*Settings!$F$6)+(AH346*Settings!$F$7)+(AI346*Settings!$F$8)+(AJ346*Settings!$F$9)+(AK346*Settings!$F$10)+(AL346*Settings!$F$11)+(AM346*Settings!$F$12)+(AN346*Settings!$F$13)+(AO346*Settings!$F$14)+(AP346*Settings!$F$15)+(AQ346*Settings!$F$16)+(AR346*Settings!$F$17)</f>
        <v>271.05000000000007</v>
      </c>
      <c r="H346" s="30">
        <f>VLOOKUP(B346,'Standard Deviations'!$A1:$D651,4,FALSE)</f>
        <v>2.8054632558016492</v>
      </c>
      <c r="I346" s="31">
        <f ca="1">IF(Settings!$J$16="no",VLOOKUP(B346,RP!A1:I91,IF(Settings!$J$13="points",6,9),FALSE),VLOOKUP(B346,'SP+RP'!$A1:$I251,IF(Settings!$J$13="points",6,9),FALSE))</f>
        <v>1.2343951503088186</v>
      </c>
      <c r="J346" s="30"/>
      <c r="K346" s="30">
        <f ca="1">J346-A346</f>
        <v>-161</v>
      </c>
      <c r="L346" s="30"/>
      <c r="M346" s="30"/>
      <c r="N346" s="30"/>
      <c r="O346" s="30"/>
      <c r="P346" s="30"/>
      <c r="Q346" s="30"/>
      <c r="R346" s="32"/>
      <c r="S346" s="32"/>
      <c r="T346" s="30"/>
      <c r="U346" s="30"/>
      <c r="V346" s="30"/>
      <c r="W346" s="30"/>
      <c r="X346" s="30"/>
      <c r="Y346" s="32"/>
      <c r="Z346" s="32"/>
      <c r="AA346" s="30"/>
      <c r="AB346" s="30"/>
      <c r="AC346" s="30">
        <f>VLOOKUP($B346,Pitchers!$A1:$S251,4,FALSE)</f>
        <v>60</v>
      </c>
      <c r="AD346" s="32">
        <f>VLOOKUP($B346,Pitchers!$A1:$S251,5,FALSE)</f>
        <v>3.4350000000000005</v>
      </c>
      <c r="AE346" s="32">
        <f>VLOOKUP($B346,Pitchers!$A1:$S251,6,FALSE)</f>
        <v>1.0022222222222223</v>
      </c>
      <c r="AF346" s="30">
        <f>VLOOKUP($B346,Pitchers!$A1:$S251,7,FALSE)</f>
        <v>69.833333333333329</v>
      </c>
      <c r="AG346" s="30">
        <f>VLOOKUP($B346,Pitchers!$A1:$S251,8,FALSE)</f>
        <v>3.3333333333333335</v>
      </c>
      <c r="AH346" s="30">
        <f>VLOOKUP($B346,Pitchers!$A1:$S251,9,FALSE)</f>
        <v>18.666666666666668</v>
      </c>
      <c r="AI346" s="30">
        <f>VLOOKUP($B346,Pitchers!$A1:$S251,10,FALSE)</f>
        <v>22.900000000000002</v>
      </c>
      <c r="AJ346" s="30">
        <f>VLOOKUP($B346,Pitchers!$A1:$S251,11,FALSE)</f>
        <v>41.833333333333336</v>
      </c>
      <c r="AK346" s="30">
        <f>VLOOKUP($B346,Pitchers!$A1:$S251,12,FALSE)</f>
        <v>18.3</v>
      </c>
      <c r="AL346" s="30">
        <f>VLOOKUP($B346,Pitchers!$A1:$S251,13,FALSE)</f>
        <v>9</v>
      </c>
      <c r="AM346" s="30">
        <f>VLOOKUP($B346,Pitchers!$A1:$S251,14,FALSE)</f>
        <v>60.266666666666673</v>
      </c>
      <c r="AN346" s="30">
        <f>VLOOKUP($B346,Pitchers!$A1:$S251,15,FALSE)</f>
        <v>0</v>
      </c>
      <c r="AO346" s="30">
        <f>VLOOKUP($B346,Pitchers!$A1:$S251,16,FALSE)</f>
        <v>2.9666666666666668</v>
      </c>
      <c r="AP346" s="30">
        <f>VLOOKUP($B346,Pitchers!$A1:$S251,17,FALSE)</f>
        <v>0</v>
      </c>
      <c r="AQ346" s="30">
        <f>VLOOKUP($B346,Pitchers!$A1:$S251,18,FALSE)</f>
        <v>9</v>
      </c>
      <c r="AR346" s="30">
        <f>VLOOKUP($B346,Pitchers!$A1:$S251,19,FALSE)</f>
        <v>9</v>
      </c>
    </row>
    <row r="347" spans="1:44" ht="20.100000000000001" customHeight="1">
      <c r="A347" s="24">
        <f ca="1">RANK(I347,I$2:I$651)</f>
        <v>291</v>
      </c>
      <c r="B347" s="25" t="s">
        <v>389</v>
      </c>
      <c r="C347" s="26" t="s">
        <v>136</v>
      </c>
      <c r="D347" s="26" t="s">
        <v>75</v>
      </c>
      <c r="E347" s="35" t="s">
        <v>31</v>
      </c>
      <c r="F347" s="36">
        <f ca="1">VLOOKUP(B347,SP!A1:I161,IF(Settings!$J$13="points",4,7),FALSE)</f>
        <v>86</v>
      </c>
      <c r="G347" s="29">
        <f>(AC347*Settings!$F$2)+(AF347*Settings!$F$5)+(AG347*Settings!$F$6)+(AH347*Settings!$F$7)+(AI347*Settings!$F$8)+(AJ347*Settings!$F$9)+(AK347*Settings!$F$10)+(AL347*Settings!$F$11)+(AM347*Settings!$F$12)+(AN347*Settings!$F$13)+(AO347*Settings!$F$14)+(AP347*Settings!$F$15)+(AQ347*Settings!$F$16)+(AR347*Settings!$F$17)</f>
        <v>270.24999999999989</v>
      </c>
      <c r="H347" s="30">
        <f>VLOOKUP(B347,'Standard Deviations'!$A1:$D651,4,FALSE)</f>
        <v>-0.6423772456966117</v>
      </c>
      <c r="I347" s="31">
        <f ca="1">IF(Settings!$J$16="no",VLOOKUP(B347,SP!A1:I161,IF(Settings!$J$13="points",6,9),FALSE),VLOOKUP(B347,'SP+RP'!$A1:$I251,IF(Settings!$J$13="points",6,9),FALSE))</f>
        <v>-0.77836123755099362</v>
      </c>
      <c r="J347" s="30"/>
      <c r="K347" s="30">
        <f ca="1">J347-A347</f>
        <v>-291</v>
      </c>
      <c r="L347" s="30"/>
      <c r="M347" s="30"/>
      <c r="N347" s="30"/>
      <c r="O347" s="30"/>
      <c r="P347" s="30"/>
      <c r="Q347" s="30"/>
      <c r="R347" s="32"/>
      <c r="S347" s="32"/>
      <c r="T347" s="30"/>
      <c r="U347" s="30"/>
      <c r="V347" s="30"/>
      <c r="W347" s="30"/>
      <c r="X347" s="30"/>
      <c r="Y347" s="32"/>
      <c r="Z347" s="32"/>
      <c r="AA347" s="30"/>
      <c r="AB347" s="30"/>
      <c r="AC347" s="30">
        <f>VLOOKUP($B347,Pitchers!$A1:$S251,4,FALSE)</f>
        <v>127.43333333333334</v>
      </c>
      <c r="AD347" s="32">
        <f>VLOOKUP($B347,Pitchers!$A1:$S251,5,FALSE)</f>
        <v>3.8467172377713839</v>
      </c>
      <c r="AE347" s="32">
        <f>VLOOKUP($B347,Pitchers!$A1:$S251,6,FALSE)</f>
        <v>1.2346324875752028</v>
      </c>
      <c r="AF347" s="30">
        <f>VLOOKUP($B347,Pitchers!$A1:$S251,7,FALSE)</f>
        <v>129.5</v>
      </c>
      <c r="AG347" s="30">
        <f>VLOOKUP($B347,Pitchers!$A1:$S251,8,FALSE)</f>
        <v>6.333333333333333</v>
      </c>
      <c r="AH347" s="30">
        <f>VLOOKUP($B347,Pitchers!$A1:$S251,9,FALSE)</f>
        <v>0</v>
      </c>
      <c r="AI347" s="30">
        <f>VLOOKUP($B347,Pitchers!$A1:$S251,10,FALSE)</f>
        <v>54.466666666666669</v>
      </c>
      <c r="AJ347" s="30">
        <f>VLOOKUP($B347,Pitchers!$A1:$S251,11,FALSE)</f>
        <v>112.66666666666667</v>
      </c>
      <c r="AK347" s="30">
        <f>VLOOKUP($B347,Pitchers!$A1:$S251,12,FALSE)</f>
        <v>44.666666666666664</v>
      </c>
      <c r="AL347" s="30">
        <f>VLOOKUP($B347,Pitchers!$A1:$S251,13,FALSE)</f>
        <v>15</v>
      </c>
      <c r="AM347" s="30">
        <f>VLOOKUP($B347,Pitchers!$A1:$S251,14,FALSE)</f>
        <v>26.233333333333334</v>
      </c>
      <c r="AN347" s="30">
        <f>VLOOKUP($B347,Pitchers!$A1:$S251,15,FALSE)</f>
        <v>24.566666666666666</v>
      </c>
      <c r="AO347" s="30">
        <f>VLOOKUP($B347,Pitchers!$A1:$S251,16,FALSE)</f>
        <v>7.8666666666666671</v>
      </c>
      <c r="AP347" s="30">
        <f>VLOOKUP($B347,Pitchers!$A1:$S251,17,FALSE)</f>
        <v>10</v>
      </c>
      <c r="AQ347" s="30">
        <f>VLOOKUP($B347,Pitchers!$A1:$S251,18,FALSE)</f>
        <v>0</v>
      </c>
      <c r="AR347" s="30">
        <f>VLOOKUP($B347,Pitchers!$A1:$S251,19,FALSE)</f>
        <v>0</v>
      </c>
    </row>
    <row r="348" spans="1:44" ht="18.600000000000001" customHeight="1">
      <c r="A348" s="24">
        <f ca="1">RANK(I348,I$2:I$651)</f>
        <v>314</v>
      </c>
      <c r="B348" s="25" t="s">
        <v>411</v>
      </c>
      <c r="C348" s="26" t="s">
        <v>103</v>
      </c>
      <c r="D348" s="26" t="s">
        <v>70</v>
      </c>
      <c r="E348" s="35" t="s">
        <v>31</v>
      </c>
      <c r="F348" s="36">
        <f ca="1">VLOOKUP(B348,SP!A1:I161,IF(Settings!$J$13="points",4,7),FALSE)</f>
        <v>93</v>
      </c>
      <c r="G348" s="29">
        <f>(AC348*Settings!$F$2)+(AF348*Settings!$F$5)+(AG348*Settings!$F$6)+(AH348*Settings!$F$7)+(AI348*Settings!$F$8)+(AJ348*Settings!$F$9)+(AK348*Settings!$F$10)+(AL348*Settings!$F$11)+(AM348*Settings!$F$12)+(AN348*Settings!$F$13)+(AO348*Settings!$F$14)+(AP348*Settings!$F$15)+(AQ348*Settings!$F$16)+(AR348*Settings!$F$17)</f>
        <v>269.82666666666665</v>
      </c>
      <c r="H348" s="30">
        <f>VLOOKUP(B348,'Standard Deviations'!$A1:$D651,4,FALSE)</f>
        <v>-1.0315259038880857</v>
      </c>
      <c r="I348" s="31">
        <f ca="1">IF(Settings!$J$16="no",VLOOKUP(B348,SP!A1:I161,IF(Settings!$J$13="points",6,9),FALSE),VLOOKUP(B348,'SP+RP'!$A1:$I251,IF(Settings!$J$13="points",6,9),FALSE))</f>
        <v>-1.1675089139536021</v>
      </c>
      <c r="J348" s="30"/>
      <c r="K348" s="30">
        <f ca="1">J348-A348</f>
        <v>-314</v>
      </c>
      <c r="L348" s="30"/>
      <c r="M348" s="30"/>
      <c r="N348" s="30"/>
      <c r="O348" s="30"/>
      <c r="P348" s="30"/>
      <c r="Q348" s="30"/>
      <c r="R348" s="32"/>
      <c r="S348" s="32"/>
      <c r="T348" s="30"/>
      <c r="U348" s="30"/>
      <c r="V348" s="30"/>
      <c r="W348" s="30"/>
      <c r="X348" s="30"/>
      <c r="Y348" s="32"/>
      <c r="Z348" s="32"/>
      <c r="AA348" s="30"/>
      <c r="AB348" s="30"/>
      <c r="AC348" s="30">
        <f>VLOOKUP($B348,Pitchers!$A1:$S251,4,FALSE)</f>
        <v>123.7</v>
      </c>
      <c r="AD348" s="32">
        <f>VLOOKUP($B348,Pitchers!$A1:$S251,5,FALSE)</f>
        <v>4.0069523039611958</v>
      </c>
      <c r="AE348" s="32">
        <f>VLOOKUP($B348,Pitchers!$A1:$S251,6,FALSE)</f>
        <v>1.2118027485852869</v>
      </c>
      <c r="AF348" s="30">
        <f>VLOOKUP($B348,Pitchers!$A1:$S251,7,FALSE)</f>
        <v>108.86666666666667</v>
      </c>
      <c r="AG348" s="30">
        <f>VLOOKUP($B348,Pitchers!$A1:$S251,8,FALSE)</f>
        <v>6.6333333333333329</v>
      </c>
      <c r="AH348" s="30">
        <f>VLOOKUP($B348,Pitchers!$A1:$S251,9,FALSE)</f>
        <v>0.33333333333333331</v>
      </c>
      <c r="AI348" s="30">
        <f>VLOOKUP($B348,Pitchers!$A1:$S251,10,FALSE)</f>
        <v>55.073333333333331</v>
      </c>
      <c r="AJ348" s="30">
        <f>VLOOKUP($B348,Pitchers!$A1:$S251,11,FALSE)</f>
        <v>122.73333333333333</v>
      </c>
      <c r="AK348" s="30">
        <f>VLOOKUP($B348,Pitchers!$A1:$S251,12,FALSE)</f>
        <v>27.166666666666668</v>
      </c>
      <c r="AL348" s="30">
        <f>VLOOKUP($B348,Pitchers!$A1:$S251,13,FALSE)</f>
        <v>20</v>
      </c>
      <c r="AM348" s="30">
        <f>VLOOKUP($B348,Pitchers!$A1:$S251,14,FALSE)</f>
        <v>24.633333333333336</v>
      </c>
      <c r="AN348" s="30">
        <f>VLOOKUP($B348,Pitchers!$A1:$S251,15,FALSE)</f>
        <v>23.3</v>
      </c>
      <c r="AO348" s="30">
        <f>VLOOKUP($B348,Pitchers!$A1:$S251,16,FALSE)</f>
        <v>7.1000000000000005</v>
      </c>
      <c r="AP348" s="30">
        <f>VLOOKUP($B348,Pitchers!$A1:$S251,17,FALSE)</f>
        <v>12</v>
      </c>
      <c r="AQ348" s="30">
        <f>VLOOKUP($B348,Pitchers!$A1:$S251,18,FALSE)</f>
        <v>0.5</v>
      </c>
      <c r="AR348" s="30">
        <f>VLOOKUP($B348,Pitchers!$A1:$S251,19,FALSE)</f>
        <v>0</v>
      </c>
    </row>
    <row r="349" spans="1:44" ht="18.600000000000001" customHeight="1">
      <c r="A349" s="24">
        <f ca="1">RANK(I349,I$2:I$651)</f>
        <v>378</v>
      </c>
      <c r="B349" s="25" t="s">
        <v>476</v>
      </c>
      <c r="C349" s="26" t="s">
        <v>64</v>
      </c>
      <c r="D349" s="26" t="s">
        <v>75</v>
      </c>
      <c r="E349" s="35" t="s">
        <v>31</v>
      </c>
      <c r="F349" s="36">
        <f ca="1">VLOOKUP(B349,SP!A1:I161,IF(Settings!$J$13="points",4,7),FALSE)</f>
        <v>113</v>
      </c>
      <c r="G349" s="29">
        <f>(AC349*Settings!$F$2)+(AF349*Settings!$F$5)+(AG349*Settings!$F$6)+(AH349*Settings!$F$7)+(AI349*Settings!$F$8)+(AJ349*Settings!$F$9)+(AK349*Settings!$F$10)+(AL349*Settings!$F$11)+(AM349*Settings!$F$12)+(AN349*Settings!$F$13)+(AO349*Settings!$F$14)+(AP349*Settings!$F$15)+(AQ349*Settings!$F$16)+(AR349*Settings!$F$17)</f>
        <v>269.58933333333334</v>
      </c>
      <c r="H349" s="30">
        <f>VLOOKUP(B349,'Standard Deviations'!$A1:$D651,4,FALSE)</f>
        <v>-2.0195001621861053</v>
      </c>
      <c r="I349" s="31">
        <f ca="1">IF(Settings!$J$16="no",VLOOKUP(B349,SP!A1:I161,IF(Settings!$J$13="points",6,9),FALSE),VLOOKUP(B349,'SP+RP'!$A1:$I251,IF(Settings!$J$13="points",6,9),FALSE))</f>
        <v>-2.1554782940300172</v>
      </c>
      <c r="J349" s="30"/>
      <c r="K349" s="30">
        <f ca="1">J349-A349</f>
        <v>-378</v>
      </c>
      <c r="L349" s="30"/>
      <c r="M349" s="30"/>
      <c r="N349" s="30"/>
      <c r="O349" s="30"/>
      <c r="P349" s="30"/>
      <c r="Q349" s="30"/>
      <c r="R349" s="32"/>
      <c r="S349" s="32"/>
      <c r="T349" s="30"/>
      <c r="U349" s="30"/>
      <c r="V349" s="30"/>
      <c r="W349" s="30"/>
      <c r="X349" s="30"/>
      <c r="Y349" s="32"/>
      <c r="Z349" s="32"/>
      <c r="AA349" s="30"/>
      <c r="AB349" s="30"/>
      <c r="AC349" s="30">
        <f>VLOOKUP($B349,Pitchers!$A1:$S251,4,FALSE)</f>
        <v>128.9</v>
      </c>
      <c r="AD349" s="32">
        <f>VLOOKUP($B349,Pitchers!$A1:$S251,5,FALSE)</f>
        <v>4.371574864235841</v>
      </c>
      <c r="AE349" s="32">
        <f>VLOOKUP($B349,Pitchers!$A1:$S251,6,FALSE)</f>
        <v>1.2767002844582362</v>
      </c>
      <c r="AF349" s="30">
        <f>VLOOKUP($B349,Pitchers!$A1:$S251,7,FALSE)</f>
        <v>111.13333333333333</v>
      </c>
      <c r="AG349" s="30">
        <f>VLOOKUP($B349,Pitchers!$A1:$S251,8,FALSE)</f>
        <v>7.833333333333333</v>
      </c>
      <c r="AH349" s="30">
        <f>VLOOKUP($B349,Pitchers!$A1:$S251,9,FALSE)</f>
        <v>0</v>
      </c>
      <c r="AI349" s="30">
        <f>VLOOKUP($B349,Pitchers!$A1:$S251,10,FALSE)</f>
        <v>62.610666666666667</v>
      </c>
      <c r="AJ349" s="30">
        <f>VLOOKUP($B349,Pitchers!$A1:$S251,11,FALSE)</f>
        <v>130.36666666666667</v>
      </c>
      <c r="AK349" s="30">
        <f>VLOOKUP($B349,Pitchers!$A1:$S251,12,FALSE)</f>
        <v>34.199999999999996</v>
      </c>
      <c r="AL349" s="30">
        <f>VLOOKUP($B349,Pitchers!$A1:$S251,13,FALSE)</f>
        <v>24</v>
      </c>
      <c r="AM349" s="30">
        <f>VLOOKUP($B349,Pitchers!$A1:$S251,14,FALSE)</f>
        <v>24.900000000000002</v>
      </c>
      <c r="AN349" s="30">
        <f>VLOOKUP($B349,Pitchers!$A1:$S251,15,FALSE)</f>
        <v>23.900000000000002</v>
      </c>
      <c r="AO349" s="30">
        <f>VLOOKUP($B349,Pitchers!$A1:$S251,16,FALSE)</f>
        <v>6.666666666666667</v>
      </c>
      <c r="AP349" s="30">
        <f>VLOOKUP($B349,Pitchers!$A1:$S251,17,FALSE)</f>
        <v>11</v>
      </c>
      <c r="AQ349" s="30">
        <f>VLOOKUP($B349,Pitchers!$A1:$S251,18,FALSE)</f>
        <v>0.5</v>
      </c>
      <c r="AR349" s="30">
        <f>VLOOKUP($B349,Pitchers!$A1:$S251,19,FALSE)</f>
        <v>0</v>
      </c>
    </row>
    <row r="350" spans="1:44" ht="18.600000000000001" customHeight="1">
      <c r="A350" s="24">
        <f ca="1">RANK(I350,I$2:I$651)</f>
        <v>322</v>
      </c>
      <c r="B350" s="25" t="s">
        <v>419</v>
      </c>
      <c r="C350" s="26" t="s">
        <v>225</v>
      </c>
      <c r="D350" s="26" t="s">
        <v>75</v>
      </c>
      <c r="E350" s="27" t="s">
        <v>23</v>
      </c>
      <c r="F350" s="28">
        <f ca="1">VLOOKUP(B350,OF!A1:I139,IF(Settings!$J$13="points",4,7),FALSE)</f>
        <v>90</v>
      </c>
      <c r="G350" s="29">
        <f>(M350*Settings!$B$2)+(N350*Settings!$B$3)+(O350*Settings!$B$4)+(P350*Settings!$B$5)+(Q350*Settings!$B$6)+(T350*Settings!$B$9)+(U350*Settings!$B$10)+(V350*Settings!$B$11)+(W350*Settings!$B$12)+(X350*Settings!$B$13)+(AA350*Settings!$B$16)</f>
        <v>269.58333333333331</v>
      </c>
      <c r="H350" s="30">
        <f>VLOOKUP(B350,'Standard Deviations'!$A1:$D651,4,FALSE)</f>
        <v>-1.3572129306617939</v>
      </c>
      <c r="I350" s="31">
        <f ca="1">VLOOKUP(B350,OF!A1:I139,IF(Settings!$J$13="points",6,9),FALSE)</f>
        <v>-1.4759285634300654</v>
      </c>
      <c r="J350" s="30"/>
      <c r="K350" s="30">
        <f ca="1">J350-A350</f>
        <v>-322</v>
      </c>
      <c r="L350" s="30"/>
      <c r="M350" s="30">
        <f>VLOOKUP($B350,Hitters!$A1:$R401,4,FALSE)</f>
        <v>396.33333333333297</v>
      </c>
      <c r="N350" s="30">
        <f>VLOOKUP($B350,Hitters!$A1:$R401,5,FALSE)</f>
        <v>48.8333333333333</v>
      </c>
      <c r="O350" s="30">
        <f>VLOOKUP($B350,Hitters!$A1:$R401,6,FALSE)</f>
        <v>7.9</v>
      </c>
      <c r="P350" s="30">
        <f>VLOOKUP($B350,Hitters!$A1:$R401,7,FALSE)</f>
        <v>36.933333333333302</v>
      </c>
      <c r="Q350" s="30">
        <f>VLOOKUP($B350,Hitters!$A1:$R401,8,FALSE)</f>
        <v>9.43333333333333</v>
      </c>
      <c r="R350" s="32">
        <f>VLOOKUP($B350,Hitters!$A1:$R401,9,FALSE)</f>
        <v>0.24440706476030299</v>
      </c>
      <c r="S350" s="32">
        <f>VLOOKUP($B350,Hitters!$A1:$R401,10,FALSE)</f>
        <v>0.30073975065102698</v>
      </c>
      <c r="T350" s="30">
        <f>VLOOKUP($B350,Hitters!$A1:$R401,11,FALSE)</f>
        <v>96.866666666666703</v>
      </c>
      <c r="U350" s="30">
        <f>VLOOKUP($B350,Hitters!$A1:$R401,12,FALSE)</f>
        <v>20.3</v>
      </c>
      <c r="V350" s="30">
        <f>VLOOKUP($B350,Hitters!$A1:$R401,13,FALSE)</f>
        <v>0.56666666666666698</v>
      </c>
      <c r="W350" s="30">
        <f>VLOOKUP($B350,Hitters!$A1:$R401,14,FALSE)</f>
        <v>33.633333333333297</v>
      </c>
      <c r="X350" s="30">
        <f>VLOOKUP($B350,Hitters!$A1:$R401,15,FALSE)</f>
        <v>78.900000000000006</v>
      </c>
      <c r="Y350" s="32">
        <f>VLOOKUP($B350,Hitters!$A1:$R401,16,FALSE)</f>
        <v>0.35828427249789702</v>
      </c>
      <c r="Z350" s="32">
        <f>VLOOKUP($B350,Hitters!$A1:$R401,17,FALSE)</f>
        <v>0.65902402314892405</v>
      </c>
      <c r="AA350" s="30">
        <f>VLOOKUP($B350,Hitters!$A1:$R401,18,FALSE)</f>
        <v>0</v>
      </c>
      <c r="AB350" s="30"/>
      <c r="AC350" s="30"/>
      <c r="AD350" s="32"/>
      <c r="AE350" s="32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</row>
    <row r="351" spans="1:44" ht="20.100000000000001" customHeight="1">
      <c r="A351" s="24">
        <f ca="1">RANK(I351,I$2:I$651)</f>
        <v>526</v>
      </c>
      <c r="B351" s="25" t="s">
        <v>622</v>
      </c>
      <c r="C351" s="26" t="s">
        <v>95</v>
      </c>
      <c r="D351" s="26" t="s">
        <v>70</v>
      </c>
      <c r="E351" s="39" t="s">
        <v>7</v>
      </c>
      <c r="F351" s="40">
        <f ca="1">VLOOKUP(B351,'1B'!A1:I63,IF(Settings!$J$13="points",4,7),FALSE)</f>
        <v>40</v>
      </c>
      <c r="G351" s="29">
        <f>(M351*Settings!$B$2)+(N351*Settings!$B$3)+(O351*Settings!$B$4)+(P351*Settings!$B$5)+(Q351*Settings!$B$6)+(T351*Settings!$B$9)+(U351*Settings!$B$10)+(V351*Settings!$B$11)+(W351*Settings!$B$12)+(X351*Settings!$B$13)+(AA351*Settings!$B$16)</f>
        <v>269.31666666666678</v>
      </c>
      <c r="H351" s="30">
        <f>VLOOKUP(B351,'Standard Deviations'!$A1:$D651,4,FALSE)</f>
        <v>-1.2820798268678013</v>
      </c>
      <c r="I351" s="31">
        <f ca="1">IF(Settings!$J$15="no",VLOOKUP(B351,'1B'!A1:I63,IF(Settings!$J$13="points",6,9),FALSE),VLOOKUP(B351,'1B+3B'!$A1:$I104,IF(Settings!$J$13="points",6,9),FALSE))</f>
        <v>-3.8616102149307094</v>
      </c>
      <c r="J351" s="30"/>
      <c r="K351" s="30">
        <f ca="1">J351-A351</f>
        <v>-526</v>
      </c>
      <c r="L351" s="30"/>
      <c r="M351" s="30">
        <f>VLOOKUP($B351,Hitters!$A1:$R401,4,FALSE)</f>
        <v>318.66666666666703</v>
      </c>
      <c r="N351" s="30">
        <f>VLOOKUP($B351,Hitters!$A1:$R401,5,FALSE)</f>
        <v>46.1666666666667</v>
      </c>
      <c r="O351" s="30">
        <f>VLOOKUP($B351,Hitters!$A1:$R401,6,FALSE)</f>
        <v>16.566666666666698</v>
      </c>
      <c r="P351" s="30">
        <f>VLOOKUP($B351,Hitters!$A1:$R401,7,FALSE)</f>
        <v>46.933333333333302</v>
      </c>
      <c r="Q351" s="30">
        <f>VLOOKUP($B351,Hitters!$A1:$R401,8,FALSE)</f>
        <v>2</v>
      </c>
      <c r="R351" s="32">
        <f>VLOOKUP($B351,Hitters!$A1:$R401,9,FALSE)</f>
        <v>0.239644351464435</v>
      </c>
      <c r="S351" s="32">
        <f>VLOOKUP($B351,Hitters!$A1:$R401,10,FALSE)</f>
        <v>0.33125692388718397</v>
      </c>
      <c r="T351" s="30">
        <f>VLOOKUP($B351,Hitters!$A1:$R401,11,FALSE)</f>
        <v>76.366666666666703</v>
      </c>
      <c r="U351" s="30">
        <f>VLOOKUP($B351,Hitters!$A1:$R401,12,FALSE)</f>
        <v>14.4</v>
      </c>
      <c r="V351" s="30">
        <f>VLOOKUP($B351,Hitters!$A1:$R401,13,FALSE)</f>
        <v>1.4</v>
      </c>
      <c r="W351" s="30">
        <f>VLOOKUP($B351,Hitters!$A1:$R401,14,FALSE)</f>
        <v>45.233333333333299</v>
      </c>
      <c r="X351" s="30">
        <f>VLOOKUP($B351,Hitters!$A1:$R401,15,FALSE)</f>
        <v>97.3</v>
      </c>
      <c r="Y351" s="32">
        <f>VLOOKUP($B351,Hitters!$A1:$R401,16,FALSE)</f>
        <v>0.449581589958159</v>
      </c>
      <c r="Z351" s="32">
        <f>VLOOKUP($B351,Hitters!$A1:$R401,17,FALSE)</f>
        <v>0.78083851384534297</v>
      </c>
      <c r="AA351" s="30">
        <f>VLOOKUP($B351,Hitters!$A1:$R401,18,FALSE)</f>
        <v>0</v>
      </c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</row>
    <row r="352" spans="1:44" ht="18.600000000000001" customHeight="1">
      <c r="A352" s="24">
        <f ca="1">RANK(I352,I$2:I$651)</f>
        <v>423</v>
      </c>
      <c r="B352" s="25" t="s">
        <v>522</v>
      </c>
      <c r="C352" s="26" t="s">
        <v>142</v>
      </c>
      <c r="D352" s="26" t="s">
        <v>70</v>
      </c>
      <c r="E352" s="35" t="s">
        <v>31</v>
      </c>
      <c r="F352" s="36">
        <f ca="1">VLOOKUP(B352,SP!A1:I161,IF(Settings!$J$13="points",4,7),FALSE)</f>
        <v>122</v>
      </c>
      <c r="G352" s="29">
        <f>(AC352*Settings!$F$2)+(AF352*Settings!$F$5)+(AG352*Settings!$F$6)+(AH352*Settings!$F$7)+(AI352*Settings!$F$8)+(AJ352*Settings!$F$9)+(AK352*Settings!$F$10)+(AL352*Settings!$F$11)+(AM352*Settings!$F$12)+(AN352*Settings!$F$13)+(AO352*Settings!$F$14)+(AP352*Settings!$F$15)+(AQ352*Settings!$F$16)+(AR352*Settings!$F$17)</f>
        <v>268.96900000000011</v>
      </c>
      <c r="H352" s="30">
        <f>VLOOKUP(B352,'Standard Deviations'!$A1:$D651,4,FALSE)</f>
        <v>-2.6014055063544399</v>
      </c>
      <c r="I352" s="31">
        <f ca="1">IF(Settings!$J$16="no",VLOOKUP(B352,SP!A1:I161,IF(Settings!$J$13="points",6,9),FALSE),VLOOKUP(B352,'SP+RP'!$A1:$I251,IF(Settings!$J$13="points",6,9),FALSE))</f>
        <v>-2.7373914110818376</v>
      </c>
      <c r="J352" s="30"/>
      <c r="K352" s="30">
        <f ca="1">J352-A352</f>
        <v>-423</v>
      </c>
      <c r="L352" s="30"/>
      <c r="M352" s="30"/>
      <c r="N352" s="30"/>
      <c r="O352" s="30"/>
      <c r="P352" s="30"/>
      <c r="Q352" s="30"/>
      <c r="R352" s="32"/>
      <c r="S352" s="32"/>
      <c r="T352" s="30"/>
      <c r="U352" s="30"/>
      <c r="V352" s="30"/>
      <c r="W352" s="30"/>
      <c r="X352" s="30"/>
      <c r="Y352" s="32"/>
      <c r="Z352" s="32"/>
      <c r="AA352" s="30"/>
      <c r="AB352" s="30"/>
      <c r="AC352" s="30">
        <f>VLOOKUP($B352,Pitchers!$A1:$S251,4,FALSE)</f>
        <v>146.85000000000002</v>
      </c>
      <c r="AD352" s="32">
        <f>VLOOKUP($B352,Pitchers!$A1:$S251,5,FALSE)</f>
        <v>4.2904596527068426</v>
      </c>
      <c r="AE352" s="32">
        <f>VLOOKUP($B352,Pitchers!$A1:$S251,6,FALSE)</f>
        <v>1.3173306094654407</v>
      </c>
      <c r="AF352" s="30">
        <f>VLOOKUP($B352,Pitchers!$A1:$S251,7,FALSE)</f>
        <v>107.75</v>
      </c>
      <c r="AG352" s="30">
        <f>VLOOKUP($B352,Pitchers!$A1:$S251,8,FALSE)</f>
        <v>7</v>
      </c>
      <c r="AH352" s="30">
        <f>VLOOKUP($B352,Pitchers!$A1:$S251,9,FALSE)</f>
        <v>0</v>
      </c>
      <c r="AI352" s="30">
        <f>VLOOKUP($B352,Pitchers!$A1:$S251,10,FALSE)</f>
        <v>70.006</v>
      </c>
      <c r="AJ352" s="30">
        <f>VLOOKUP($B352,Pitchers!$A1:$S251,11,FALSE)</f>
        <v>152.15</v>
      </c>
      <c r="AK352" s="30">
        <f>VLOOKUP($B352,Pitchers!$A1:$S251,12,FALSE)</f>
        <v>41.3</v>
      </c>
      <c r="AL352" s="30">
        <f>VLOOKUP($B352,Pitchers!$A1:$S251,13,FALSE)</f>
        <v>20</v>
      </c>
      <c r="AM352" s="30">
        <f>VLOOKUP($B352,Pitchers!$A1:$S251,14,FALSE)</f>
        <v>27.95</v>
      </c>
      <c r="AN352" s="30">
        <f>VLOOKUP($B352,Pitchers!$A1:$S251,15,FALSE)</f>
        <v>27.95</v>
      </c>
      <c r="AO352" s="30">
        <f>VLOOKUP($B352,Pitchers!$A1:$S251,16,FALSE)</f>
        <v>10</v>
      </c>
      <c r="AP352" s="30">
        <f>VLOOKUP($B352,Pitchers!$A1:$S251,17,FALSE)</f>
        <v>13</v>
      </c>
      <c r="AQ352" s="30">
        <f>VLOOKUP($B352,Pitchers!$A1:$S251,18,FALSE)</f>
        <v>0</v>
      </c>
      <c r="AR352" s="30">
        <f>VLOOKUP($B352,Pitchers!$A1:$S251,19,FALSE)</f>
        <v>0</v>
      </c>
    </row>
    <row r="353" spans="1:44" ht="20.100000000000001" customHeight="1">
      <c r="A353" s="24">
        <f ca="1">RANK(I353,I$2:I$651)</f>
        <v>317</v>
      </c>
      <c r="B353" s="25" t="s">
        <v>414</v>
      </c>
      <c r="C353" s="26" t="s">
        <v>105</v>
      </c>
      <c r="D353" s="26" t="s">
        <v>70</v>
      </c>
      <c r="E353" s="41" t="s">
        <v>34</v>
      </c>
      <c r="F353" s="42">
        <f ca="1">VLOOKUP(B353,RP!A1:I91,IF(Settings!$J$13="points",4,7),FALSE)</f>
        <v>27</v>
      </c>
      <c r="G353" s="29">
        <f>(AC353*Settings!$F$2)+(AF353*Settings!$F$5)+(AG353*Settings!$F$6)+(AH353*Settings!$F$7)+(AI353*Settings!$F$8)+(AJ353*Settings!$F$9)+(AK353*Settings!$F$10)+(AL353*Settings!$F$11)+(AM353*Settings!$F$12)+(AN353*Settings!$F$13)+(AO353*Settings!$F$14)+(AP353*Settings!$F$15)+(AQ353*Settings!$F$16)+(AR353*Settings!$F$17)</f>
        <v>268.05799999999999</v>
      </c>
      <c r="H353" s="30">
        <f>VLOOKUP(B353,'Standard Deviations'!$A1:$D651,4,FALSE)</f>
        <v>0.28064536758809511</v>
      </c>
      <c r="I353" s="31">
        <f ca="1">IF(Settings!$J$16="no",VLOOKUP(B353,RP!A1:I91,IF(Settings!$J$13="points",6,9),FALSE),VLOOKUP(B353,'SP+RP'!$A1:$I251,IF(Settings!$J$13="points",6,9),FALSE))</f>
        <v>-1.290423947848133</v>
      </c>
      <c r="J353" s="30"/>
      <c r="K353" s="30">
        <f ca="1">J353-A353</f>
        <v>-317</v>
      </c>
      <c r="L353" s="30"/>
      <c r="M353" s="30"/>
      <c r="N353" s="30"/>
      <c r="O353" s="30"/>
      <c r="P353" s="30"/>
      <c r="Q353" s="30"/>
      <c r="R353" s="32"/>
      <c r="S353" s="32"/>
      <c r="T353" s="30"/>
      <c r="U353" s="30"/>
      <c r="V353" s="30"/>
      <c r="W353" s="30"/>
      <c r="X353" s="30"/>
      <c r="Y353" s="32"/>
      <c r="Z353" s="32"/>
      <c r="AA353" s="30"/>
      <c r="AB353" s="30"/>
      <c r="AC353" s="30">
        <f>VLOOKUP($B353,Pitchers!$A1:$S251,4,FALSE)</f>
        <v>107.46666666666665</v>
      </c>
      <c r="AD353" s="32">
        <f>VLOOKUP($B353,Pitchers!$A1:$S251,5,FALSE)</f>
        <v>3.5948635235732018</v>
      </c>
      <c r="AE353" s="32">
        <f>VLOOKUP($B353,Pitchers!$A1:$S251,6,FALSE)</f>
        <v>1.19075682382134</v>
      </c>
      <c r="AF353" s="30">
        <f>VLOOKUP($B353,Pitchers!$A1:$S251,7,FALSE)</f>
        <v>106.83333333333333</v>
      </c>
      <c r="AG353" s="30">
        <f>VLOOKUP($B353,Pitchers!$A1:$S251,8,FALSE)</f>
        <v>7.0666666666666664</v>
      </c>
      <c r="AH353" s="30">
        <f>VLOOKUP($B353,Pitchers!$A1:$S251,9,FALSE)</f>
        <v>2</v>
      </c>
      <c r="AI353" s="30">
        <f>VLOOKUP($B353,Pitchers!$A1:$S251,10,FALSE)</f>
        <v>42.925333333333334</v>
      </c>
      <c r="AJ353" s="30">
        <f>VLOOKUP($B353,Pitchers!$A1:$S251,11,FALSE)</f>
        <v>100.46666666666665</v>
      </c>
      <c r="AK353" s="30">
        <f>VLOOKUP($B353,Pitchers!$A1:$S251,12,FALSE)</f>
        <v>27.5</v>
      </c>
      <c r="AL353" s="30">
        <f>VLOOKUP($B353,Pitchers!$A1:$S251,13,FALSE)</f>
        <v>17</v>
      </c>
      <c r="AM353" s="30">
        <f>VLOOKUP($B353,Pitchers!$A1:$S251,14,FALSE)</f>
        <v>35.699999999999996</v>
      </c>
      <c r="AN353" s="30">
        <f>VLOOKUP($B353,Pitchers!$A1:$S251,15,FALSE)</f>
        <v>15.700000000000001</v>
      </c>
      <c r="AO353" s="30">
        <f>VLOOKUP($B353,Pitchers!$A1:$S251,16,FALSE)</f>
        <v>5.4666666666666659</v>
      </c>
      <c r="AP353" s="30">
        <f>VLOOKUP($B353,Pitchers!$A1:$S251,17,FALSE)</f>
        <v>9</v>
      </c>
      <c r="AQ353" s="30">
        <f>VLOOKUP($B353,Pitchers!$A1:$S251,18,FALSE)</f>
        <v>6.5</v>
      </c>
      <c r="AR353" s="30">
        <f>VLOOKUP($B353,Pitchers!$A1:$S251,19,FALSE)</f>
        <v>0</v>
      </c>
    </row>
    <row r="354" spans="1:44" ht="18.600000000000001" customHeight="1">
      <c r="A354" s="24">
        <f ca="1">RANK(I354,I$2:I$651)</f>
        <v>350</v>
      </c>
      <c r="B354" s="25" t="s">
        <v>448</v>
      </c>
      <c r="C354" s="26" t="s">
        <v>87</v>
      </c>
      <c r="D354" s="26" t="s">
        <v>70</v>
      </c>
      <c r="E354" s="45" t="s">
        <v>19</v>
      </c>
      <c r="F354" s="46">
        <f ca="1">VLOOKUP(B354,'C'!A1:I54,IF(Settings!$J$13="points",4,7),FALSE)</f>
        <v>18</v>
      </c>
      <c r="G354" s="29">
        <f>(M354*Settings!$B$2)+(N354*Settings!$B$3)+(O354*Settings!$B$4)+(P354*Settings!$B$5)+(Q354*Settings!$B$6)+(T354*Settings!$B$9)+(U354*Settings!$B$10)+(V354*Settings!$B$11)+(W354*Settings!$B$12)+(X354*Settings!$B$13)+(AA354*Settings!$B$16)</f>
        <v>267.71666666666675</v>
      </c>
      <c r="H354" s="30">
        <f>VLOOKUP(B354,'Standard Deviations'!$A1:$D651,4,FALSE)</f>
        <v>-2.1844212044836917</v>
      </c>
      <c r="I354" s="31">
        <f ca="1">VLOOKUP(B354,'C'!A1:I54,IF(Settings!$J$13="points",6,9),FALSE)</f>
        <v>-1.8673292023515793</v>
      </c>
      <c r="J354" s="30"/>
      <c r="K354" s="30">
        <f ca="1">J354-A354</f>
        <v>-350</v>
      </c>
      <c r="L354" s="30"/>
      <c r="M354" s="30">
        <f>VLOOKUP($B354,Hitters!$A1:$R401,4,FALSE)</f>
        <v>368.66666666666703</v>
      </c>
      <c r="N354" s="30">
        <f>VLOOKUP($B354,Hitters!$A1:$R401,5,FALSE)</f>
        <v>43.7</v>
      </c>
      <c r="O354" s="30">
        <f>VLOOKUP($B354,Hitters!$A1:$R401,6,FALSE)</f>
        <v>13.866666666666699</v>
      </c>
      <c r="P354" s="30">
        <f>VLOOKUP($B354,Hitters!$A1:$R401,7,FALSE)</f>
        <v>46.966666666666697</v>
      </c>
      <c r="Q354" s="30">
        <f>VLOOKUP($B354,Hitters!$A1:$R401,8,FALSE)</f>
        <v>2.43333333333333</v>
      </c>
      <c r="R354" s="32">
        <f>VLOOKUP($B354,Hitters!$A1:$R401,9,FALSE)</f>
        <v>0.229023508137432</v>
      </c>
      <c r="S354" s="32">
        <f>VLOOKUP($B354,Hitters!$A1:$R401,10,FALSE)</f>
        <v>0.289296998420221</v>
      </c>
      <c r="T354" s="30">
        <f>VLOOKUP($B354,Hitters!$A1:$R401,11,FALSE)</f>
        <v>84.433333333333294</v>
      </c>
      <c r="U354" s="30">
        <f>VLOOKUP($B354,Hitters!$A1:$R401,12,FALSE)</f>
        <v>17.933333333333302</v>
      </c>
      <c r="V354" s="30">
        <f>VLOOKUP($B354,Hitters!$A1:$R401,13,FALSE)</f>
        <v>0.96666666666666701</v>
      </c>
      <c r="W354" s="30">
        <f>VLOOKUP($B354,Hitters!$A1:$R401,14,FALSE)</f>
        <v>32.766666666666701</v>
      </c>
      <c r="X354" s="30">
        <f>VLOOKUP($B354,Hitters!$A1:$R401,15,FALSE)</f>
        <v>78.5</v>
      </c>
      <c r="Y354" s="32">
        <f>VLOOKUP($B354,Hitters!$A1:$R401,16,FALSE)</f>
        <v>0.395750452079566</v>
      </c>
      <c r="Z354" s="32">
        <f>VLOOKUP($B354,Hitters!$A1:$R401,17,FALSE)</f>
        <v>0.68504745049978699</v>
      </c>
      <c r="AA354" s="30">
        <f>VLOOKUP($B354,Hitters!$A1:$R401,18,FALSE)</f>
        <v>0</v>
      </c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</row>
    <row r="355" spans="1:44" ht="18.600000000000001" customHeight="1">
      <c r="A355" s="24">
        <f ca="1">RANK(I355,I$2:I$651)</f>
        <v>457</v>
      </c>
      <c r="B355" s="25" t="s">
        <v>553</v>
      </c>
      <c r="C355" s="26" t="s">
        <v>95</v>
      </c>
      <c r="D355" s="26" t="s">
        <v>70</v>
      </c>
      <c r="E355" s="47" t="s">
        <v>11</v>
      </c>
      <c r="F355" s="48">
        <f ca="1">VLOOKUP(B355,'2B'!A1:I50,IF(Settings!$J$13="points",4,7),FALSE)</f>
        <v>34</v>
      </c>
      <c r="G355" s="29">
        <f>(M355*Settings!$B$2)+(N355*Settings!$B$3)+(O355*Settings!$B$4)+(P355*Settings!$B$5)+(Q355*Settings!$B$6)+(T355*Settings!$B$9)+(U355*Settings!$B$10)+(V355*Settings!$B$11)+(W355*Settings!$B$12)+(X355*Settings!$B$13)+(AA355*Settings!$B$16)</f>
        <v>265.88333333333344</v>
      </c>
      <c r="H355" s="30">
        <f>VLOOKUP(B355,'Standard Deviations'!$A1:$D651,4,FALSE)</f>
        <v>-0.72502880495413513</v>
      </c>
      <c r="I355" s="31">
        <f ca="1">IF(Settings!$J$16="no",VLOOKUP(B355,'2B'!A1:I50,IF(Settings!$J$13="points",6,9),FALSE),VLOOKUP(B355,'2B+SS'!$A1:$I94,IF(Settings!$J$13="points",6,9),FALSE))</f>
        <v>-3.032764798320839</v>
      </c>
      <c r="J355" s="30"/>
      <c r="K355" s="30">
        <f ca="1">J355-A355</f>
        <v>-457</v>
      </c>
      <c r="L355" s="30"/>
      <c r="M355" s="30">
        <f>VLOOKUP($B355,Hitters!$A1:$R401,4,FALSE)</f>
        <v>362</v>
      </c>
      <c r="N355" s="30">
        <f>VLOOKUP($B355,Hitters!$A1:$R401,5,FALSE)</f>
        <v>45.466666666666697</v>
      </c>
      <c r="O355" s="30">
        <f>VLOOKUP($B355,Hitters!$A1:$R401,6,FALSE)</f>
        <v>6.1666666666666696</v>
      </c>
      <c r="P355" s="30">
        <f>VLOOKUP($B355,Hitters!$A1:$R401,7,FALSE)</f>
        <v>40.033333333333303</v>
      </c>
      <c r="Q355" s="30">
        <f>VLOOKUP($B355,Hitters!$A1:$R401,8,FALSE)</f>
        <v>6.7</v>
      </c>
      <c r="R355" s="32">
        <f>VLOOKUP($B355,Hitters!$A1:$R401,9,FALSE)</f>
        <v>0.27044198895027599</v>
      </c>
      <c r="S355" s="32">
        <f>VLOOKUP($B355,Hitters!$A1:$R401,10,FALSE)</f>
        <v>0.32374585319030702</v>
      </c>
      <c r="T355" s="30">
        <f>VLOOKUP($B355,Hitters!$A1:$R401,11,FALSE)</f>
        <v>97.9</v>
      </c>
      <c r="U355" s="30">
        <f>VLOOKUP($B355,Hitters!$A1:$R401,12,FALSE)</f>
        <v>20.8</v>
      </c>
      <c r="V355" s="30">
        <f>VLOOKUP($B355,Hitters!$A1:$R401,13,FALSE)</f>
        <v>0.53333333333333299</v>
      </c>
      <c r="W355" s="30">
        <f>VLOOKUP($B355,Hitters!$A1:$R401,14,FALSE)</f>
        <v>30.266666666666701</v>
      </c>
      <c r="X355" s="30">
        <f>VLOOKUP($B355,Hitters!$A1:$R401,15,FALSE)</f>
        <v>58.1</v>
      </c>
      <c r="Y355" s="32">
        <f>VLOOKUP($B355,Hitters!$A1:$R401,16,FALSE)</f>
        <v>0.38195211786372002</v>
      </c>
      <c r="Z355" s="32">
        <f>VLOOKUP($B355,Hitters!$A1:$R401,17,FALSE)</f>
        <v>0.70569797105402698</v>
      </c>
      <c r="AA355" s="30">
        <f>VLOOKUP($B355,Hitters!$A1:$R401,18,FALSE)</f>
        <v>0</v>
      </c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</row>
    <row r="356" spans="1:44" ht="18.600000000000001" customHeight="1">
      <c r="A356" s="24">
        <f ca="1">RANK(I356,I$2:I$651)</f>
        <v>253</v>
      </c>
      <c r="B356" s="25" t="s">
        <v>350</v>
      </c>
      <c r="C356" s="26" t="s">
        <v>225</v>
      </c>
      <c r="D356" s="26" t="s">
        <v>75</v>
      </c>
      <c r="E356" s="41" t="s">
        <v>34</v>
      </c>
      <c r="F356" s="42">
        <f ca="1">VLOOKUP(B356,RP!A1:I91,IF(Settings!$J$13="points",4,7),FALSE)</f>
        <v>21</v>
      </c>
      <c r="G356" s="29">
        <f>(AC356*Settings!$F$2)+(AF356*Settings!$F$5)+(AG356*Settings!$F$6)+(AH356*Settings!$F$7)+(AI356*Settings!$F$8)+(AJ356*Settings!$F$9)+(AK356*Settings!$F$10)+(AL356*Settings!$F$11)+(AM356*Settings!$F$12)+(AN356*Settings!$F$13)+(AO356*Settings!$F$14)+(AP356*Settings!$F$15)+(AQ356*Settings!$F$16)+(AR356*Settings!$F$17)</f>
        <v>265.66666666666663</v>
      </c>
      <c r="H356" s="30">
        <f>VLOOKUP(B356,'Standard Deviations'!$A1:$D651,4,FALSE)</f>
        <v>1.3927889504114179</v>
      </c>
      <c r="I356" s="31">
        <f ca="1">IF(Settings!$J$16="no",VLOOKUP(B356,RP!A1:I91,IF(Settings!$J$13="points",6,9),FALSE),VLOOKUP(B356,'SP+RP'!$A1:$I251,IF(Settings!$J$13="points",6,9),FALSE))</f>
        <v>-0.17827391113976643</v>
      </c>
      <c r="J356" s="30"/>
      <c r="K356" s="30">
        <f ca="1">J356-A356</f>
        <v>-253</v>
      </c>
      <c r="L356" s="30"/>
      <c r="M356" s="30"/>
      <c r="N356" s="30"/>
      <c r="O356" s="30"/>
      <c r="P356" s="30"/>
      <c r="Q356" s="30"/>
      <c r="R356" s="32"/>
      <c r="S356" s="32"/>
      <c r="T356" s="30"/>
      <c r="U356" s="30"/>
      <c r="V356" s="30"/>
      <c r="W356" s="30"/>
      <c r="X356" s="30"/>
      <c r="Y356" s="32"/>
      <c r="Z356" s="32"/>
      <c r="AA356" s="30"/>
      <c r="AB356" s="30"/>
      <c r="AC356" s="30">
        <f>VLOOKUP($B356,Pitchers!$A1:$S251,4,FALSE)</f>
        <v>64.166666666666671</v>
      </c>
      <c r="AD356" s="32">
        <f>VLOOKUP($B356,Pitchers!$A1:$S251,5,FALSE)</f>
        <v>3.3381818181818184</v>
      </c>
      <c r="AE356" s="32">
        <f>VLOOKUP($B356,Pitchers!$A1:$S251,6,FALSE)</f>
        <v>1.1755844155844155</v>
      </c>
      <c r="AF356" s="30">
        <f>VLOOKUP($B356,Pitchers!$A1:$S251,7,FALSE)</f>
        <v>81.86666666666666</v>
      </c>
      <c r="AG356" s="30">
        <f>VLOOKUP($B356,Pitchers!$A1:$S251,8,FALSE)</f>
        <v>3.7333333333333329</v>
      </c>
      <c r="AH356" s="30">
        <f>VLOOKUP($B356,Pitchers!$A1:$S251,9,FALSE)</f>
        <v>17</v>
      </c>
      <c r="AI356" s="30">
        <f>VLOOKUP($B356,Pitchers!$A1:$S251,10,FALSE)</f>
        <v>23.8</v>
      </c>
      <c r="AJ356" s="30">
        <f>VLOOKUP($B356,Pitchers!$A1:$S251,11,FALSE)</f>
        <v>43.866666666666667</v>
      </c>
      <c r="AK356" s="30">
        <f>VLOOKUP($B356,Pitchers!$A1:$S251,12,FALSE)</f>
        <v>31.566666666666666</v>
      </c>
      <c r="AL356" s="30">
        <f>VLOOKUP($B356,Pitchers!$A1:$S251,13,FALSE)</f>
        <v>9</v>
      </c>
      <c r="AM356" s="30">
        <f>VLOOKUP($B356,Pitchers!$A1:$S251,14,FALSE)</f>
        <v>62.933333333333337</v>
      </c>
      <c r="AN356" s="30">
        <f>VLOOKUP($B356,Pitchers!$A1:$S251,15,FALSE)</f>
        <v>0</v>
      </c>
      <c r="AO356" s="30">
        <f>VLOOKUP($B356,Pitchers!$A1:$S251,16,FALSE)</f>
        <v>2.7333333333333329</v>
      </c>
      <c r="AP356" s="30">
        <f>VLOOKUP($B356,Pitchers!$A1:$S251,17,FALSE)</f>
        <v>0</v>
      </c>
      <c r="AQ356" s="30">
        <f>VLOOKUP($B356,Pitchers!$A1:$S251,18,FALSE)</f>
        <v>9.5</v>
      </c>
      <c r="AR356" s="30">
        <f>VLOOKUP($B356,Pitchers!$A1:$S251,19,FALSE)</f>
        <v>7</v>
      </c>
    </row>
    <row r="357" spans="1:44" ht="18.600000000000001" customHeight="1">
      <c r="A357" s="24">
        <f ca="1">RANK(I357,I$2:I$651)</f>
        <v>534</v>
      </c>
      <c r="B357" s="25" t="s">
        <v>630</v>
      </c>
      <c r="C357" s="26" t="s">
        <v>309</v>
      </c>
      <c r="D357" s="26" t="s">
        <v>75</v>
      </c>
      <c r="E357" s="39" t="s">
        <v>7</v>
      </c>
      <c r="F357" s="40">
        <f ca="1">VLOOKUP(B357,'1B'!A1:I63,IF(Settings!$J$13="points",4,7),FALSE)</f>
        <v>41</v>
      </c>
      <c r="G357" s="29">
        <f>(M357*Settings!$B$2)+(N357*Settings!$B$3)+(O357*Settings!$B$4)+(P357*Settings!$B$5)+(Q357*Settings!$B$6)+(T357*Settings!$B$9)+(U357*Settings!$B$10)+(V357*Settings!$B$11)+(W357*Settings!$B$12)+(X357*Settings!$B$13)+(AA357*Settings!$B$16)</f>
        <v>265.03333333333336</v>
      </c>
      <c r="H357" s="30">
        <f>VLOOKUP(B357,'Standard Deviations'!$A1:$D651,4,FALSE)</f>
        <v>-1.451894460228055</v>
      </c>
      <c r="I357" s="31">
        <f ca="1">IF(Settings!$J$15="no",VLOOKUP(B357,'1B'!A1:I63,IF(Settings!$J$13="points",6,9),FALSE),VLOOKUP(B357,'1B+3B'!$A1:$I104,IF(Settings!$J$13="points",6,9),FALSE))</f>
        <v>-4.0314276137633041</v>
      </c>
      <c r="J357" s="30"/>
      <c r="K357" s="30">
        <f ca="1">J357-A357</f>
        <v>-534</v>
      </c>
      <c r="L357" s="30"/>
      <c r="M357" s="30">
        <f>VLOOKUP($B357,Hitters!$A1:$R401,4,FALSE)</f>
        <v>363</v>
      </c>
      <c r="N357" s="30">
        <f>VLOOKUP($B357,Hitters!$A1:$R401,5,FALSE)</f>
        <v>42.766666666666701</v>
      </c>
      <c r="O357" s="30">
        <f>VLOOKUP($B357,Hitters!$A1:$R401,6,FALSE)</f>
        <v>10.266666666666699</v>
      </c>
      <c r="P357" s="30">
        <f>VLOOKUP($B357,Hitters!$A1:$R401,7,FALSE)</f>
        <v>50.133333333333297</v>
      </c>
      <c r="Q357" s="30">
        <f>VLOOKUP($B357,Hitters!$A1:$R401,8,FALSE)</f>
        <v>2.1333333333333302</v>
      </c>
      <c r="R357" s="32">
        <f>VLOOKUP($B357,Hitters!$A1:$R401,9,FALSE)</f>
        <v>0.252066115702479</v>
      </c>
      <c r="S357" s="32">
        <f>VLOOKUP($B357,Hitters!$A1:$R401,10,FALSE)</f>
        <v>0.30440168887315799</v>
      </c>
      <c r="T357" s="30">
        <f>VLOOKUP($B357,Hitters!$A1:$R401,11,FALSE)</f>
        <v>91.5</v>
      </c>
      <c r="U357" s="30">
        <f>VLOOKUP($B357,Hitters!$A1:$R401,12,FALSE)</f>
        <v>23.733333333333299</v>
      </c>
      <c r="V357" s="30">
        <f>VLOOKUP($B357,Hitters!$A1:$R401,13,FALSE)</f>
        <v>1.0333333333333301</v>
      </c>
      <c r="W357" s="30">
        <f>VLOOKUP($B357,Hitters!$A1:$R401,14,FALSE)</f>
        <v>28.9</v>
      </c>
      <c r="X357" s="30">
        <f>VLOOKUP($B357,Hitters!$A1:$R401,15,FALSE)</f>
        <v>88.3333333333333</v>
      </c>
      <c r="Y357" s="32">
        <f>VLOOKUP($B357,Hitters!$A1:$R401,16,FALSE)</f>
        <v>0.407988980716253</v>
      </c>
      <c r="Z357" s="32">
        <f>VLOOKUP($B357,Hitters!$A1:$R401,17,FALSE)</f>
        <v>0.712390669589411</v>
      </c>
      <c r="AA357" s="30">
        <f>VLOOKUP($B357,Hitters!$A1:$R401,18,FALSE)</f>
        <v>0</v>
      </c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</row>
    <row r="358" spans="1:44" ht="20.100000000000001" customHeight="1">
      <c r="A358" s="24">
        <f ca="1">RANK(I358,I$2:I$651)</f>
        <v>285</v>
      </c>
      <c r="B358" s="25" t="s">
        <v>382</v>
      </c>
      <c r="C358" s="26" t="s">
        <v>92</v>
      </c>
      <c r="D358" s="26" t="s">
        <v>75</v>
      </c>
      <c r="E358" s="27" t="s">
        <v>23</v>
      </c>
      <c r="F358" s="28">
        <f ca="1">VLOOKUP(B358,OF!A1:I139,IF(Settings!$J$13="points",4,7),FALSE)</f>
        <v>79</v>
      </c>
      <c r="G358" s="29">
        <f>(M358*Settings!$B$2)+(N358*Settings!$B$3)+(O358*Settings!$B$4)+(P358*Settings!$B$5)+(Q358*Settings!$B$6)+(T358*Settings!$B$9)+(U358*Settings!$B$10)+(V358*Settings!$B$11)+(W358*Settings!$B$12)+(X358*Settings!$B$13)+(AA358*Settings!$B$16)</f>
        <v>264.76666666666642</v>
      </c>
      <c r="H358" s="30">
        <f>VLOOKUP(B358,'Standard Deviations'!$A1:$D651,4,FALSE)</f>
        <v>-0.60421032389056717</v>
      </c>
      <c r="I358" s="31">
        <f ca="1">VLOOKUP(B358,OF!A1:I139,IF(Settings!$J$13="points",6,9),FALSE)</f>
        <v>-0.72293003136183487</v>
      </c>
      <c r="J358" s="30"/>
      <c r="K358" s="30">
        <f ca="1">J358-A358</f>
        <v>-285</v>
      </c>
      <c r="L358" s="30"/>
      <c r="M358" s="30">
        <f>VLOOKUP($B358,Hitters!$A1:$R401,4,FALSE)</f>
        <v>416.33333333333297</v>
      </c>
      <c r="N358" s="30">
        <f>VLOOKUP($B358,Hitters!$A1:$R401,5,FALSE)</f>
        <v>50.1666666666667</v>
      </c>
      <c r="O358" s="30">
        <f>VLOOKUP($B358,Hitters!$A1:$R401,6,FALSE)</f>
        <v>9.6333333333333293</v>
      </c>
      <c r="P358" s="30">
        <f>VLOOKUP($B358,Hitters!$A1:$R401,7,FALSE)</f>
        <v>44.633333333333297</v>
      </c>
      <c r="Q358" s="30">
        <f>VLOOKUP($B358,Hitters!$A1:$R401,8,FALSE)</f>
        <v>10.733333333333301</v>
      </c>
      <c r="R358" s="32">
        <f>VLOOKUP($B358,Hitters!$A1:$R401,9,FALSE)</f>
        <v>0.24283426741393099</v>
      </c>
      <c r="S358" s="32">
        <f>VLOOKUP($B358,Hitters!$A1:$R401,10,FALSE)</f>
        <v>0.29740649220187898</v>
      </c>
      <c r="T358" s="30">
        <f>VLOOKUP($B358,Hitters!$A1:$R401,11,FALSE)</f>
        <v>101.1</v>
      </c>
      <c r="U358" s="30">
        <f>VLOOKUP($B358,Hitters!$A1:$R401,12,FALSE)</f>
        <v>19.2</v>
      </c>
      <c r="V358" s="30">
        <f>VLOOKUP($B358,Hitters!$A1:$R401,13,FALSE)</f>
        <v>3.5</v>
      </c>
      <c r="W358" s="30">
        <f>VLOOKUP($B358,Hitters!$A1:$R401,14,FALSE)</f>
        <v>34.1</v>
      </c>
      <c r="X358" s="30">
        <f>VLOOKUP($B358,Hitters!$A1:$R401,15,FALSE)</f>
        <v>148.26666666666699</v>
      </c>
      <c r="Y358" s="32">
        <f>VLOOKUP($B358,Hitters!$A1:$R401,16,FALSE)</f>
        <v>0.37518014411529199</v>
      </c>
      <c r="Z358" s="32">
        <f>VLOOKUP($B358,Hitters!$A1:$R401,17,FALSE)</f>
        <v>0.67258663631717097</v>
      </c>
      <c r="AA358" s="30">
        <f>VLOOKUP($B358,Hitters!$A1:$R401,18,FALSE)</f>
        <v>0</v>
      </c>
      <c r="AB358" s="30"/>
      <c r="AC358" s="30"/>
      <c r="AD358" s="32"/>
      <c r="AE358" s="32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</row>
    <row r="359" spans="1:44" ht="18.600000000000001" customHeight="1">
      <c r="A359" s="24">
        <f ca="1">RANK(I359,I$2:I$651)</f>
        <v>325</v>
      </c>
      <c r="B359" s="25" t="s">
        <v>422</v>
      </c>
      <c r="C359" s="26" t="s">
        <v>105</v>
      </c>
      <c r="D359" s="26" t="s">
        <v>70</v>
      </c>
      <c r="E359" s="27" t="s">
        <v>23</v>
      </c>
      <c r="F359" s="28">
        <f ca="1">VLOOKUP(B359,OF!A1:I139,IF(Settings!$J$13="points",4,7),FALSE)</f>
        <v>91</v>
      </c>
      <c r="G359" s="29">
        <f>(M359*Settings!$B$2)+(N359*Settings!$B$3)+(O359*Settings!$B$4)+(P359*Settings!$B$5)+(Q359*Settings!$B$6)+(T359*Settings!$B$9)+(U359*Settings!$B$10)+(V359*Settings!$B$11)+(W359*Settings!$B$12)+(X359*Settings!$B$13)+(AA359*Settings!$B$16)</f>
        <v>264.53333333333325</v>
      </c>
      <c r="H359" s="30">
        <f>VLOOKUP(B359,'Standard Deviations'!$A1:$D651,4,FALSE)</f>
        <v>-1.3967435424712717</v>
      </c>
      <c r="I359" s="31">
        <f ca="1">VLOOKUP(B359,OF!A1:I139,IF(Settings!$J$13="points",6,9),FALSE)</f>
        <v>-1.5154564192090689</v>
      </c>
      <c r="J359" s="30"/>
      <c r="K359" s="30">
        <f ca="1">J359-A359</f>
        <v>-325</v>
      </c>
      <c r="L359" s="30"/>
      <c r="M359" s="30">
        <f>VLOOKUP($B359,Hitters!$A1:$R401,4,FALSE)</f>
        <v>356.33333333333297</v>
      </c>
      <c r="N359" s="30">
        <f>VLOOKUP($B359,Hitters!$A1:$R401,5,FALSE)</f>
        <v>47.033333333333303</v>
      </c>
      <c r="O359" s="30">
        <f>VLOOKUP($B359,Hitters!$A1:$R401,6,FALSE)</f>
        <v>20.100000000000001</v>
      </c>
      <c r="P359" s="30">
        <f>VLOOKUP($B359,Hitters!$A1:$R401,7,FALSE)</f>
        <v>55.533333333333303</v>
      </c>
      <c r="Q359" s="30">
        <f>VLOOKUP($B359,Hitters!$A1:$R401,8,FALSE)</f>
        <v>2</v>
      </c>
      <c r="R359" s="32">
        <f>VLOOKUP($B359,Hitters!$A1:$R401,9,FALSE)</f>
        <v>0.219270346117867</v>
      </c>
      <c r="S359" s="32">
        <f>VLOOKUP($B359,Hitters!$A1:$R401,10,FALSE)</f>
        <v>0.26965845566317298</v>
      </c>
      <c r="T359" s="30">
        <f>VLOOKUP($B359,Hitters!$A1:$R401,11,FALSE)</f>
        <v>78.133333333333297</v>
      </c>
      <c r="U359" s="30">
        <f>VLOOKUP($B359,Hitters!$A1:$R401,12,FALSE)</f>
        <v>14.966666666666701</v>
      </c>
      <c r="V359" s="30">
        <f>VLOOKUP($B359,Hitters!$A1:$R401,13,FALSE)</f>
        <v>1.0333333333333301</v>
      </c>
      <c r="W359" s="30">
        <f>VLOOKUP($B359,Hitters!$A1:$R401,14,FALSE)</f>
        <v>25.9</v>
      </c>
      <c r="X359" s="30">
        <f>VLOOKUP($B359,Hitters!$A1:$R401,15,FALSE)</f>
        <v>119</v>
      </c>
      <c r="Y359" s="32">
        <f>VLOOKUP($B359,Hitters!$A1:$R401,16,FALSE)</f>
        <v>0.43629560336763301</v>
      </c>
      <c r="Z359" s="32">
        <f>VLOOKUP($B359,Hitters!$A1:$R401,17,FALSE)</f>
        <v>0.70595405903080699</v>
      </c>
      <c r="AA359" s="30">
        <f>VLOOKUP($B359,Hitters!$A1:$R401,18,FALSE)</f>
        <v>0</v>
      </c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</row>
    <row r="360" spans="1:44" ht="18.600000000000001" customHeight="1">
      <c r="A360" s="24">
        <f ca="1">RANK(I360,I$2:I$651)</f>
        <v>295</v>
      </c>
      <c r="B360" s="25" t="s">
        <v>390</v>
      </c>
      <c r="C360" s="26" t="s">
        <v>87</v>
      </c>
      <c r="D360" s="26" t="s">
        <v>70</v>
      </c>
      <c r="E360" s="27" t="s">
        <v>23</v>
      </c>
      <c r="F360" s="28">
        <f ca="1">VLOOKUP(B360,OF!A1:I139,IF(Settings!$J$13="points",4,7),FALSE)</f>
        <v>81</v>
      </c>
      <c r="G360" s="29">
        <f>(M360*Settings!$B$2)+(N360*Settings!$B$3)+(O360*Settings!$B$4)+(P360*Settings!$B$5)+(Q360*Settings!$B$6)+(T360*Settings!$B$9)+(U360*Settings!$B$10)+(V360*Settings!$B$11)+(W360*Settings!$B$12)+(X360*Settings!$B$13)+(AA360*Settings!$B$16)</f>
        <v>264.51666666666682</v>
      </c>
      <c r="H360" s="30">
        <f>VLOOKUP(B360,'Standard Deviations'!$A1:$D651,4,FALSE)</f>
        <v>-0.69033778037684523</v>
      </c>
      <c r="I360" s="31">
        <f ca="1">VLOOKUP(B360,OF!A1:I139,IF(Settings!$J$13="points",6,9),FALSE)</f>
        <v>-0.80905526341564937</v>
      </c>
      <c r="J360" s="30"/>
      <c r="K360" s="30">
        <f ca="1">J360-A360</f>
        <v>-295</v>
      </c>
      <c r="L360" s="30"/>
      <c r="M360" s="30">
        <f>VLOOKUP($B360,Hitters!$A1:$R401,4,FALSE)</f>
        <v>384.66666666666703</v>
      </c>
      <c r="N360" s="30">
        <f>VLOOKUP($B360,Hitters!$A1:$R401,5,FALSE)</f>
        <v>46</v>
      </c>
      <c r="O360" s="30">
        <f>VLOOKUP($B360,Hitters!$A1:$R401,6,FALSE)</f>
        <v>9.2666666666666693</v>
      </c>
      <c r="P360" s="30">
        <f>VLOOKUP($B360,Hitters!$A1:$R401,7,FALSE)</f>
        <v>39.6666666666667</v>
      </c>
      <c r="Q360" s="30">
        <f>VLOOKUP($B360,Hitters!$A1:$R401,8,FALSE)</f>
        <v>14.8333333333333</v>
      </c>
      <c r="R360" s="32">
        <f>VLOOKUP($B360,Hitters!$A1:$R401,9,FALSE)</f>
        <v>0.23795493934142101</v>
      </c>
      <c r="S360" s="32">
        <f>VLOOKUP($B360,Hitters!$A1:$R401,10,FALSE)</f>
        <v>0.29056249203720202</v>
      </c>
      <c r="T360" s="30">
        <f>VLOOKUP($B360,Hitters!$A1:$R401,11,FALSE)</f>
        <v>91.533333333333303</v>
      </c>
      <c r="U360" s="30">
        <f>VLOOKUP($B360,Hitters!$A1:$R401,12,FALSE)</f>
        <v>18.5</v>
      </c>
      <c r="V360" s="30">
        <f>VLOOKUP($B360,Hitters!$A1:$R401,13,FALSE)</f>
        <v>2.4666666666666699</v>
      </c>
      <c r="W360" s="30">
        <f>VLOOKUP($B360,Hitters!$A1:$R401,14,FALSE)</f>
        <v>30.1</v>
      </c>
      <c r="X360" s="30">
        <f>VLOOKUP($B360,Hitters!$A1:$R401,15,FALSE)</f>
        <v>107.833333333333</v>
      </c>
      <c r="Y360" s="32">
        <f>VLOOKUP($B360,Hitters!$A1:$R401,16,FALSE)</f>
        <v>0.37114384748700202</v>
      </c>
      <c r="Z360" s="32">
        <f>VLOOKUP($B360,Hitters!$A1:$R401,17,FALSE)</f>
        <v>0.66170633952420399</v>
      </c>
      <c r="AA360" s="30">
        <f>VLOOKUP($B360,Hitters!$A1:$R401,18,FALSE)</f>
        <v>0</v>
      </c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</row>
    <row r="361" spans="1:44" ht="18.600000000000001" customHeight="1">
      <c r="A361" s="24">
        <f ca="1">RANK(I361,I$2:I$651)</f>
        <v>375</v>
      </c>
      <c r="B361" s="25" t="s">
        <v>472</v>
      </c>
      <c r="C361" s="26"/>
      <c r="D361" s="26" t="s">
        <v>70</v>
      </c>
      <c r="E361" s="27" t="s">
        <v>23</v>
      </c>
      <c r="F361" s="28">
        <f ca="1">VLOOKUP(B361,OF!A1:I139,IF(Settings!$J$13="points",4,7),FALSE)</f>
        <v>105</v>
      </c>
      <c r="G361" s="29">
        <f>(M361*Settings!$B$2)+(N361*Settings!$B$3)+(O361*Settings!$B$4)+(P361*Settings!$B$5)+(Q361*Settings!$B$6)+(T361*Settings!$B$9)+(U361*Settings!$B$10)+(V361*Settings!$B$11)+(W361*Settings!$B$12)+(X361*Settings!$B$13)+(AA361*Settings!$B$16)</f>
        <v>263.68333333333294</v>
      </c>
      <c r="H361" s="30">
        <f>VLOOKUP(B361,'Standard Deviations'!$A1:$D651,4,FALSE)</f>
        <v>-2.0240123646165515</v>
      </c>
      <c r="I361" s="31">
        <f ca="1">VLOOKUP(B361,OF!A1:I139,IF(Settings!$J$13="points",6,9),FALSE)</f>
        <v>-2.1427277366089204</v>
      </c>
      <c r="J361" s="30"/>
      <c r="K361" s="30">
        <f ca="1">J361-A361</f>
        <v>-375</v>
      </c>
      <c r="L361" s="30"/>
      <c r="M361" s="30">
        <f>VLOOKUP($B361,Hitters!$A1:$R401,4,FALSE)</f>
        <v>357.66666666666703</v>
      </c>
      <c r="N361" s="30">
        <f>VLOOKUP($B361,Hitters!$A1:$R401,5,FALSE)</f>
        <v>47.9</v>
      </c>
      <c r="O361" s="30">
        <f>VLOOKUP($B361,Hitters!$A1:$R401,6,FALSE)</f>
        <v>10.3333333333333</v>
      </c>
      <c r="P361" s="30">
        <f>VLOOKUP($B361,Hitters!$A1:$R401,7,FALSE)</f>
        <v>39.6</v>
      </c>
      <c r="Q361" s="30">
        <f>VLOOKUP($B361,Hitters!$A1:$R401,8,FALSE)</f>
        <v>8.8333333333333304</v>
      </c>
      <c r="R361" s="32">
        <f>VLOOKUP($B361,Hitters!$A1:$R401,9,FALSE)</f>
        <v>0.22469711090400701</v>
      </c>
      <c r="S361" s="32">
        <f>VLOOKUP($B361,Hitters!$A1:$R401,10,FALSE)</f>
        <v>0.31954325583648902</v>
      </c>
      <c r="T361" s="30">
        <f>VLOOKUP($B361,Hitters!$A1:$R401,11,FALSE)</f>
        <v>80.366666666666703</v>
      </c>
      <c r="U361" s="30">
        <f>VLOOKUP($B361,Hitters!$A1:$R401,12,FALSE)</f>
        <v>16.733333333333299</v>
      </c>
      <c r="V361" s="30">
        <f>VLOOKUP($B361,Hitters!$A1:$R401,13,FALSE)</f>
        <v>1.2666666666666699</v>
      </c>
      <c r="W361" s="30">
        <f>VLOOKUP($B361,Hitters!$A1:$R401,14,FALSE)</f>
        <v>51.533333333333303</v>
      </c>
      <c r="X361" s="30">
        <f>VLOOKUP($B361,Hitters!$A1:$R401,15,FALSE)</f>
        <v>103.966666666667</v>
      </c>
      <c r="Y361" s="32">
        <f>VLOOKUP($B361,Hitters!$A1:$R401,16,FALSE)</f>
        <v>0.36523765144454801</v>
      </c>
      <c r="Z361" s="32">
        <f>VLOOKUP($B361,Hitters!$A1:$R401,17,FALSE)</f>
        <v>0.68478090728103702</v>
      </c>
      <c r="AA361" s="30">
        <f>VLOOKUP($B361,Hitters!$A1:$R401,18,FALSE)</f>
        <v>0</v>
      </c>
      <c r="AB361" s="30"/>
      <c r="AC361" s="30"/>
      <c r="AD361" s="32"/>
      <c r="AE361" s="32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</row>
    <row r="362" spans="1:44" ht="18.600000000000001" customHeight="1">
      <c r="A362" s="24">
        <f ca="1">RANK(I362,I$2:I$651)</f>
        <v>426</v>
      </c>
      <c r="B362" s="25" t="s">
        <v>524</v>
      </c>
      <c r="C362" s="26" t="s">
        <v>77</v>
      </c>
      <c r="D362" s="26" t="s">
        <v>70</v>
      </c>
      <c r="E362" s="35" t="s">
        <v>31</v>
      </c>
      <c r="F362" s="36">
        <f ca="1">VLOOKUP(B362,SP!A1:I161,IF(Settings!$J$13="points",4,7),FALSE)</f>
        <v>123</v>
      </c>
      <c r="G362" s="29">
        <f>(AC362*Settings!$F$2)+(AF362*Settings!$F$5)+(AG362*Settings!$F$6)+(AH362*Settings!$F$7)+(AI362*Settings!$F$8)+(AJ362*Settings!$F$9)+(AK362*Settings!$F$10)+(AL362*Settings!$F$11)+(AM362*Settings!$F$12)+(AN362*Settings!$F$13)+(AO362*Settings!$F$14)+(AP362*Settings!$F$15)+(AQ362*Settings!$F$16)+(AR362*Settings!$F$17)</f>
        <v>262.67066666666665</v>
      </c>
      <c r="H362" s="30">
        <f>VLOOKUP(B362,'Standard Deviations'!$A1:$D651,4,FALSE)</f>
        <v>-2.6149462948099038</v>
      </c>
      <c r="I362" s="31">
        <f ca="1">IF(Settings!$J$16="no",VLOOKUP(B362,SP!A1:I161,IF(Settings!$J$13="points",6,9),FALSE),VLOOKUP(B362,'SP+RP'!$A1:$I251,IF(Settings!$J$13="points",6,9),FALSE))</f>
        <v>-2.7509331044255578</v>
      </c>
      <c r="J362" s="30"/>
      <c r="K362" s="30">
        <f ca="1">J362-A362</f>
        <v>-426</v>
      </c>
      <c r="L362" s="30"/>
      <c r="M362" s="30"/>
      <c r="N362" s="30"/>
      <c r="O362" s="30"/>
      <c r="P362" s="30"/>
      <c r="Q362" s="30"/>
      <c r="R362" s="32"/>
      <c r="S362" s="32"/>
      <c r="T362" s="30"/>
      <c r="U362" s="30"/>
      <c r="V362" s="30"/>
      <c r="W362" s="30"/>
      <c r="X362" s="30"/>
      <c r="Y362" s="32"/>
      <c r="Z362" s="32"/>
      <c r="AA362" s="30"/>
      <c r="AB362" s="30"/>
      <c r="AC362" s="30">
        <f>VLOOKUP($B362,Pitchers!$A1:$S251,4,FALSE)</f>
        <v>139.06666666666666</v>
      </c>
      <c r="AD362" s="32">
        <f>VLOOKUP($B362,Pitchers!$A1:$S251,5,FALSE)</f>
        <v>4.5806375838926181</v>
      </c>
      <c r="AE362" s="32">
        <f>VLOOKUP($B362,Pitchers!$A1:$S251,6,FALSE)</f>
        <v>1.2739693192713326</v>
      </c>
      <c r="AF362" s="30">
        <f>VLOOKUP($B362,Pitchers!$A1:$S251,7,FALSE)</f>
        <v>105.96666666666665</v>
      </c>
      <c r="AG362" s="30">
        <f>VLOOKUP($B362,Pitchers!$A1:$S251,8,FALSE)</f>
        <v>7.4666666666666659</v>
      </c>
      <c r="AH362" s="30">
        <f>VLOOKUP($B362,Pitchers!$A1:$S251,9,FALSE)</f>
        <v>0</v>
      </c>
      <c r="AI362" s="30">
        <f>VLOOKUP($B362,Pitchers!$A1:$S251,10,FALSE)</f>
        <v>70.779333333333341</v>
      </c>
      <c r="AJ362" s="30">
        <f>VLOOKUP($B362,Pitchers!$A1:$S251,11,FALSE)</f>
        <v>141.06666666666666</v>
      </c>
      <c r="AK362" s="30">
        <f>VLOOKUP($B362,Pitchers!$A1:$S251,12,FALSE)</f>
        <v>36.1</v>
      </c>
      <c r="AL362" s="30">
        <f>VLOOKUP($B362,Pitchers!$A1:$S251,13,FALSE)</f>
        <v>22</v>
      </c>
      <c r="AM362" s="30">
        <f>VLOOKUP($B362,Pitchers!$A1:$S251,14,FALSE)</f>
        <v>25.066666666666666</v>
      </c>
      <c r="AN362" s="30">
        <f>VLOOKUP($B362,Pitchers!$A1:$S251,15,FALSE)</f>
        <v>24.733333333333334</v>
      </c>
      <c r="AO362" s="30">
        <f>VLOOKUP($B362,Pitchers!$A1:$S251,16,FALSE)</f>
        <v>8.3666666666666671</v>
      </c>
      <c r="AP362" s="30">
        <f>VLOOKUP($B362,Pitchers!$A1:$S251,17,FALSE)</f>
        <v>10</v>
      </c>
      <c r="AQ362" s="30">
        <f>VLOOKUP($B362,Pitchers!$A1:$S251,18,FALSE)</f>
        <v>0</v>
      </c>
      <c r="AR362" s="30">
        <f>VLOOKUP($B362,Pitchers!$A1:$S251,19,FALSE)</f>
        <v>0</v>
      </c>
    </row>
    <row r="363" spans="1:44" ht="18.600000000000001" customHeight="1">
      <c r="A363" s="24">
        <f ca="1">RANK(I363,I$2:I$651)</f>
        <v>369</v>
      </c>
      <c r="B363" s="25" t="s">
        <v>466</v>
      </c>
      <c r="C363" s="26" t="s">
        <v>158</v>
      </c>
      <c r="D363" s="26" t="s">
        <v>70</v>
      </c>
      <c r="E363" s="41" t="s">
        <v>34</v>
      </c>
      <c r="F363" s="42">
        <f ca="1">VLOOKUP(B363,RP!A1:I91,IF(Settings!$J$13="points",4,7),FALSE)</f>
        <v>34</v>
      </c>
      <c r="G363" s="29">
        <f>(AC363*Settings!$F$2)+(AF363*Settings!$F$5)+(AG363*Settings!$F$6)+(AH363*Settings!$F$7)+(AI363*Settings!$F$8)+(AJ363*Settings!$F$9)+(AK363*Settings!$F$10)+(AL363*Settings!$F$11)+(AM363*Settings!$F$12)+(AN363*Settings!$F$13)+(AO363*Settings!$F$14)+(AP363*Settings!$F$15)+(AQ363*Settings!$F$16)+(AR363*Settings!$F$17)</f>
        <v>262.5333333333333</v>
      </c>
      <c r="H363" s="30">
        <f>VLOOKUP(B363,'Standard Deviations'!$A1:$D651,4,FALSE)</f>
        <v>-0.47764108103079522</v>
      </c>
      <c r="I363" s="31">
        <f ca="1">IF(Settings!$J$16="no",VLOOKUP(B363,RP!A1:I91,IF(Settings!$J$13="points",6,9),FALSE),VLOOKUP(B363,'SP+RP'!$A1:$I251,IF(Settings!$J$13="points",6,9),FALSE))</f>
        <v>-2.0487116434792911</v>
      </c>
      <c r="J363" s="30"/>
      <c r="K363" s="30">
        <f ca="1">J363-A363</f>
        <v>-369</v>
      </c>
      <c r="L363" s="30"/>
      <c r="M363" s="30"/>
      <c r="N363" s="30"/>
      <c r="O363" s="30"/>
      <c r="P363" s="30"/>
      <c r="Q363" s="30"/>
      <c r="R363" s="32"/>
      <c r="S363" s="32"/>
      <c r="T363" s="30"/>
      <c r="U363" s="30"/>
      <c r="V363" s="30"/>
      <c r="W363" s="30"/>
      <c r="X363" s="30"/>
      <c r="Y363" s="32"/>
      <c r="Z363" s="32"/>
      <c r="AA363" s="30"/>
      <c r="AB363" s="30"/>
      <c r="AC363" s="30">
        <f>VLOOKUP($B363,Pitchers!$A1:$S251,4,FALSE)</f>
        <v>67.066666666666663</v>
      </c>
      <c r="AD363" s="32">
        <f>VLOOKUP($B363,Pitchers!$A1:$S251,5,FALSE)</f>
        <v>3.7261431411530812</v>
      </c>
      <c r="AE363" s="32">
        <f>VLOOKUP($B363,Pitchers!$A1:$S251,6,FALSE)</f>
        <v>1.268389662027833</v>
      </c>
      <c r="AF363" s="30">
        <f>VLOOKUP($B363,Pitchers!$A1:$S251,7,FALSE)</f>
        <v>67.600000000000009</v>
      </c>
      <c r="AG363" s="30">
        <f>VLOOKUP($B363,Pitchers!$A1:$S251,8,FALSE)</f>
        <v>3.1</v>
      </c>
      <c r="AH363" s="30">
        <f>VLOOKUP($B363,Pitchers!$A1:$S251,9,FALSE)</f>
        <v>19.333333333333332</v>
      </c>
      <c r="AI363" s="30">
        <f>VLOOKUP($B363,Pitchers!$A1:$S251,10,FALSE)</f>
        <v>27.766666666666666</v>
      </c>
      <c r="AJ363" s="30">
        <f>VLOOKUP($B363,Pitchers!$A1:$S251,11,FALSE)</f>
        <v>61</v>
      </c>
      <c r="AK363" s="30">
        <f>VLOOKUP($B363,Pitchers!$A1:$S251,12,FALSE)</f>
        <v>24.066666666666666</v>
      </c>
      <c r="AL363" s="30">
        <f>VLOOKUP($B363,Pitchers!$A1:$S251,13,FALSE)</f>
        <v>7</v>
      </c>
      <c r="AM363" s="30">
        <f>VLOOKUP($B363,Pitchers!$A1:$S251,14,FALSE)</f>
        <v>62.933333333333337</v>
      </c>
      <c r="AN363" s="30">
        <f>VLOOKUP($B363,Pitchers!$A1:$S251,15,FALSE)</f>
        <v>0</v>
      </c>
      <c r="AO363" s="30">
        <f>VLOOKUP($B363,Pitchers!$A1:$S251,16,FALSE)</f>
        <v>3.3333333333333335</v>
      </c>
      <c r="AP363" s="30">
        <f>VLOOKUP($B363,Pitchers!$A1:$S251,17,FALSE)</f>
        <v>0</v>
      </c>
      <c r="AQ363" s="30">
        <f>VLOOKUP($B363,Pitchers!$A1:$S251,18,FALSE)</f>
        <v>3.5</v>
      </c>
      <c r="AR363" s="30">
        <f>VLOOKUP($B363,Pitchers!$A1:$S251,19,FALSE)</f>
        <v>1</v>
      </c>
    </row>
    <row r="364" spans="1:44" ht="18.600000000000001" customHeight="1">
      <c r="A364" s="24">
        <f ca="1">RANK(I364,I$2:I$651)</f>
        <v>248</v>
      </c>
      <c r="B364" s="25" t="s">
        <v>345</v>
      </c>
      <c r="C364" s="26" t="s">
        <v>103</v>
      </c>
      <c r="D364" s="26" t="s">
        <v>70</v>
      </c>
      <c r="E364" s="27" t="s">
        <v>23</v>
      </c>
      <c r="F364" s="28">
        <f ca="1">VLOOKUP(B364,OF!A1:I139,IF(Settings!$J$13="points",4,7),FALSE)</f>
        <v>69</v>
      </c>
      <c r="G364" s="29">
        <f>(M364*Settings!$B$2)+(N364*Settings!$B$3)+(O364*Settings!$B$4)+(P364*Settings!$B$5)+(Q364*Settings!$B$6)+(T364*Settings!$B$9)+(U364*Settings!$B$10)+(V364*Settings!$B$11)+(W364*Settings!$B$12)+(X364*Settings!$B$13)+(AA364*Settings!$B$16)</f>
        <v>261.58333333333343</v>
      </c>
      <c r="H364" s="30">
        <f>VLOOKUP(B364,'Standard Deviations'!$A1:$D651,4,FALSE)</f>
        <v>2.3747295842080351E-3</v>
      </c>
      <c r="I364" s="31">
        <f ca="1">VLOOKUP(B364,OF!A1:I139,IF(Settings!$J$13="points",6,9),FALSE)</f>
        <v>-0.11634579110425608</v>
      </c>
      <c r="J364" s="30"/>
      <c r="K364" s="30">
        <f ca="1">J364-A364</f>
        <v>-248</v>
      </c>
      <c r="L364" s="30"/>
      <c r="M364" s="30">
        <f>VLOOKUP($B364,Hitters!$A1:$R401,4,FALSE)</f>
        <v>359.33333333333297</v>
      </c>
      <c r="N364" s="30">
        <f>VLOOKUP($B364,Hitters!$A1:$R401,5,FALSE)</f>
        <v>51.033333333333303</v>
      </c>
      <c r="O364" s="30">
        <f>VLOOKUP($B364,Hitters!$A1:$R401,6,FALSE)</f>
        <v>13.266666666666699</v>
      </c>
      <c r="P364" s="30">
        <f>VLOOKUP($B364,Hitters!$A1:$R401,7,FALSE)</f>
        <v>41.8</v>
      </c>
      <c r="Q364" s="30">
        <f>VLOOKUP($B364,Hitters!$A1:$R401,8,FALSE)</f>
        <v>15.766666666666699</v>
      </c>
      <c r="R364" s="32">
        <f>VLOOKUP($B364,Hitters!$A1:$R401,9,FALSE)</f>
        <v>0.232282003710575</v>
      </c>
      <c r="S364" s="32">
        <f>VLOOKUP($B364,Hitters!$A1:$R401,10,FALSE)</f>
        <v>0.27705918874172197</v>
      </c>
      <c r="T364" s="30">
        <f>VLOOKUP($B364,Hitters!$A1:$R401,11,FALSE)</f>
        <v>83.466666666666697</v>
      </c>
      <c r="U364" s="30">
        <f>VLOOKUP($B364,Hitters!$A1:$R401,12,FALSE)</f>
        <v>15.966666666666701</v>
      </c>
      <c r="V364" s="30">
        <f>VLOOKUP($B364,Hitters!$A1:$R401,13,FALSE)</f>
        <v>2.8666666666666698</v>
      </c>
      <c r="W364" s="30">
        <f>VLOOKUP($B364,Hitters!$A1:$R401,14,FALSE)</f>
        <v>23.633333333333301</v>
      </c>
      <c r="X364" s="30">
        <f>VLOOKUP($B364,Hitters!$A1:$R401,15,FALSE)</f>
        <v>126.966666666667</v>
      </c>
      <c r="Y364" s="32">
        <f>VLOOKUP($B364,Hitters!$A1:$R401,16,FALSE)</f>
        <v>0.40343228200371101</v>
      </c>
      <c r="Z364" s="32">
        <f>VLOOKUP($B364,Hitters!$A1:$R401,17,FALSE)</f>
        <v>0.68049147074543304</v>
      </c>
      <c r="AA364" s="30">
        <f>VLOOKUP($B364,Hitters!$A1:$R401,18,FALSE)</f>
        <v>0</v>
      </c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</row>
    <row r="365" spans="1:44" ht="18.600000000000001" customHeight="1">
      <c r="A365" s="24">
        <f ca="1">RANK(I365,I$2:I$651)</f>
        <v>485</v>
      </c>
      <c r="B365" s="25" t="s">
        <v>582</v>
      </c>
      <c r="C365" s="26" t="s">
        <v>64</v>
      </c>
      <c r="D365" s="26" t="s">
        <v>75</v>
      </c>
      <c r="E365" s="43" t="s">
        <v>114</v>
      </c>
      <c r="F365" s="44">
        <f ca="1">VLOOKUP(B365,'1B'!A1:I63,IF(Settings!$J$13="points",4,7),FALSE)</f>
        <v>35</v>
      </c>
      <c r="G365" s="29">
        <f>(M365*Settings!$B$2)+(N365*Settings!$B$3)+(O365*Settings!$B$4)+(P365*Settings!$B$5)+(Q365*Settings!$B$6)+(T365*Settings!$B$9)+(U365*Settings!$B$10)+(V365*Settings!$B$11)+(W365*Settings!$B$12)+(X365*Settings!$B$13)+(AA365*Settings!$B$16)</f>
        <v>259.33333333333337</v>
      </c>
      <c r="H365" s="30">
        <f>VLOOKUP(B365,'Standard Deviations'!$A1:$D651,4,FALSE)</f>
        <v>-0.87581500990964445</v>
      </c>
      <c r="I365" s="31">
        <f ca="1">VLOOKUP(B365,'1B'!A1:I63,IF(Settings!$J$13="points",6,9),FALSE)</f>
        <v>-3.4553413917063294</v>
      </c>
      <c r="J365" s="30"/>
      <c r="K365" s="30">
        <f ca="1">J365-A365</f>
        <v>-485</v>
      </c>
      <c r="L365" s="30"/>
      <c r="M365" s="30">
        <f>VLOOKUP($B365,Hitters!$A1:$R401,4,FALSE)</f>
        <v>339.33333333333297</v>
      </c>
      <c r="N365" s="30">
        <f>VLOOKUP($B365,Hitters!$A1:$R401,5,FALSE)</f>
        <v>45.033333333333303</v>
      </c>
      <c r="O365" s="30">
        <f>VLOOKUP($B365,Hitters!$A1:$R401,6,FALSE)</f>
        <v>14.5</v>
      </c>
      <c r="P365" s="30">
        <f>VLOOKUP($B365,Hitters!$A1:$R401,7,FALSE)</f>
        <v>49.966666666666697</v>
      </c>
      <c r="Q365" s="30">
        <f>VLOOKUP($B365,Hitters!$A1:$R401,8,FALSE)</f>
        <v>1.86666666666667</v>
      </c>
      <c r="R365" s="32">
        <f>VLOOKUP($B365,Hitters!$A1:$R401,9,FALSE)</f>
        <v>0.251866404715128</v>
      </c>
      <c r="S365" s="32">
        <f>VLOOKUP($B365,Hitters!$A1:$R401,10,FALSE)</f>
        <v>0.31826372694509197</v>
      </c>
      <c r="T365" s="30">
        <f>VLOOKUP($B365,Hitters!$A1:$R401,11,FALSE)</f>
        <v>85.466666666666697</v>
      </c>
      <c r="U365" s="30">
        <f>VLOOKUP($B365,Hitters!$A1:$R401,12,FALSE)</f>
        <v>13.8</v>
      </c>
      <c r="V365" s="30">
        <f>VLOOKUP($B365,Hitters!$A1:$R401,13,FALSE)</f>
        <v>0.133333333333333</v>
      </c>
      <c r="W365" s="30">
        <f>VLOOKUP($B365,Hitters!$A1:$R401,14,FALSE)</f>
        <v>34.633333333333297</v>
      </c>
      <c r="X365" s="30">
        <f>VLOOKUP($B365,Hitters!$A1:$R401,15,FALSE)</f>
        <v>91</v>
      </c>
      <c r="Y365" s="32">
        <f>VLOOKUP($B365,Hitters!$A1:$R401,16,FALSE)</f>
        <v>0.42151277013752397</v>
      </c>
      <c r="Z365" s="32">
        <f>VLOOKUP($B365,Hitters!$A1:$R401,17,FALSE)</f>
        <v>0.73977649708261695</v>
      </c>
      <c r="AA365" s="30">
        <f>VLOOKUP($B365,Hitters!$A1:$R401,18,FALSE)</f>
        <v>0</v>
      </c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</row>
    <row r="366" spans="1:44" ht="18.600000000000001" customHeight="1">
      <c r="A366" s="24">
        <f ca="1">RANK(I366,I$2:I$651)</f>
        <v>274</v>
      </c>
      <c r="B366" s="25" t="s">
        <v>371</v>
      </c>
      <c r="C366" s="26" t="s">
        <v>119</v>
      </c>
      <c r="D366" s="26" t="s">
        <v>70</v>
      </c>
      <c r="E366" s="27" t="s">
        <v>23</v>
      </c>
      <c r="F366" s="28">
        <f ca="1">VLOOKUP(B366,OF!A1:I139,IF(Settings!$J$13="points",4,7),FALSE)</f>
        <v>74</v>
      </c>
      <c r="G366" s="29">
        <f>(M366*Settings!$B$2)+(N366*Settings!$B$3)+(O366*Settings!$B$4)+(P366*Settings!$B$5)+(Q366*Settings!$B$6)+(T366*Settings!$B$9)+(U366*Settings!$B$10)+(V366*Settings!$B$11)+(W366*Settings!$B$12)+(X366*Settings!$B$13)+(AA366*Settings!$B$16)</f>
        <v>258.78333333333319</v>
      </c>
      <c r="H366" s="30">
        <f>VLOOKUP(B366,'Standard Deviations'!$A1:$D651,4,FALSE)</f>
        <v>-0.48270888785140298</v>
      </c>
      <c r="I366" s="31">
        <f ca="1">VLOOKUP(B366,OF!A1:I139,IF(Settings!$J$13="points",6,9),FALSE)</f>
        <v>-0.60142759507382237</v>
      </c>
      <c r="J366" s="30"/>
      <c r="K366" s="30">
        <f ca="1">J366-A366</f>
        <v>-274</v>
      </c>
      <c r="L366" s="30"/>
      <c r="M366" s="30">
        <f>VLOOKUP($B366,Hitters!$A1:$R401,4,FALSE)</f>
        <v>358.66666666666703</v>
      </c>
      <c r="N366" s="30">
        <f>VLOOKUP($B366,Hitters!$A1:$R401,5,FALSE)</f>
        <v>45.966666666666697</v>
      </c>
      <c r="O366" s="30">
        <f>VLOOKUP($B366,Hitters!$A1:$R401,6,FALSE)</f>
        <v>11.533333333333299</v>
      </c>
      <c r="P366" s="30">
        <f>VLOOKUP($B366,Hitters!$A1:$R401,7,FALSE)</f>
        <v>41.466666666666697</v>
      </c>
      <c r="Q366" s="30">
        <f>VLOOKUP($B366,Hitters!$A1:$R401,8,FALSE)</f>
        <v>6.2333333333333298</v>
      </c>
      <c r="R366" s="32">
        <f>VLOOKUP($B366,Hitters!$A1:$R401,9,FALSE)</f>
        <v>0.26124535315985098</v>
      </c>
      <c r="S366" s="32">
        <f>VLOOKUP($B366,Hitters!$A1:$R401,10,FALSE)</f>
        <v>0.30478228603972901</v>
      </c>
      <c r="T366" s="30">
        <f>VLOOKUP($B366,Hitters!$A1:$R401,11,FALSE)</f>
        <v>93.7</v>
      </c>
      <c r="U366" s="30">
        <f>VLOOKUP($B366,Hitters!$A1:$R401,12,FALSE)</f>
        <v>15.3333333333333</v>
      </c>
      <c r="V366" s="30">
        <f>VLOOKUP($B366,Hitters!$A1:$R401,13,FALSE)</f>
        <v>1.1666666666666701</v>
      </c>
      <c r="W366" s="30">
        <f>VLOOKUP($B366,Hitters!$A1:$R401,14,FALSE)</f>
        <v>24.033333333333299</v>
      </c>
      <c r="X366" s="30">
        <f>VLOOKUP($B366,Hitters!$A1:$R401,15,FALSE)</f>
        <v>78.3</v>
      </c>
      <c r="Y366" s="32">
        <f>VLOOKUP($B366,Hitters!$A1:$R401,16,FALSE)</f>
        <v>0.406970260223048</v>
      </c>
      <c r="Z366" s="32">
        <f>VLOOKUP($B366,Hitters!$A1:$R401,17,FALSE)</f>
        <v>0.71175254626277695</v>
      </c>
      <c r="AA366" s="30">
        <f>VLOOKUP($B366,Hitters!$A1:$R401,18,FALSE)</f>
        <v>0</v>
      </c>
      <c r="AB366" s="30"/>
      <c r="AC366" s="30"/>
      <c r="AD366" s="32"/>
      <c r="AE366" s="32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</row>
    <row r="367" spans="1:44" ht="18.600000000000001" customHeight="1">
      <c r="A367" s="24">
        <f ca="1">RANK(I367,I$2:I$651)</f>
        <v>479</v>
      </c>
      <c r="B367" s="25" t="s">
        <v>578</v>
      </c>
      <c r="C367" s="26" t="s">
        <v>101</v>
      </c>
      <c r="D367" s="26" t="s">
        <v>70</v>
      </c>
      <c r="E367" s="35" t="s">
        <v>31</v>
      </c>
      <c r="F367" s="36">
        <f ca="1">VLOOKUP(B367,SP!A1:I161,IF(Settings!$J$13="points",4,7),FALSE)</f>
        <v>139</v>
      </c>
      <c r="G367" s="29">
        <f>(AC367*Settings!$F$2)+(AF367*Settings!$F$5)+(AG367*Settings!$F$6)+(AH367*Settings!$F$7)+(AI367*Settings!$F$8)+(AJ367*Settings!$F$9)+(AK367*Settings!$F$10)+(AL367*Settings!$F$11)+(AM367*Settings!$F$12)+(AN367*Settings!$F$13)+(AO367*Settings!$F$14)+(AP367*Settings!$F$15)+(AQ367*Settings!$F$16)+(AR367*Settings!$F$17)</f>
        <v>258.72600000000006</v>
      </c>
      <c r="H367" s="30">
        <f>VLOOKUP(B367,'Standard Deviations'!$A1:$D651,4,FALSE)</f>
        <v>-3.2648036913351879</v>
      </c>
      <c r="I367" s="31">
        <f ca="1">IF(Settings!$J$16="no",VLOOKUP(B367,SP!A1:I161,IF(Settings!$J$13="points",6,9),FALSE),VLOOKUP(B367,'SP+RP'!$A1:$I251,IF(Settings!$J$13="points",6,9),FALSE))</f>
        <v>-3.4007843029036278</v>
      </c>
      <c r="J367" s="30"/>
      <c r="K367" s="30">
        <f ca="1">J367-A367</f>
        <v>-479</v>
      </c>
      <c r="L367" s="30"/>
      <c r="M367" s="30"/>
      <c r="N367" s="30"/>
      <c r="O367" s="30"/>
      <c r="P367" s="30"/>
      <c r="Q367" s="30"/>
      <c r="R367" s="32"/>
      <c r="S367" s="32"/>
      <c r="T367" s="30"/>
      <c r="U367" s="30"/>
      <c r="V367" s="30"/>
      <c r="W367" s="30"/>
      <c r="X367" s="30"/>
      <c r="Y367" s="32"/>
      <c r="Z367" s="32"/>
      <c r="AA367" s="30"/>
      <c r="AB367" s="30"/>
      <c r="AC367" s="30">
        <f>VLOOKUP($B367,Pitchers!$A1:$S251,4,FALSE)</f>
        <v>137.9</v>
      </c>
      <c r="AD367" s="32">
        <f>VLOOKUP($B367,Pitchers!$A1:$S251,5,FALSE)</f>
        <v>4.5298477157360404</v>
      </c>
      <c r="AE367" s="32">
        <f>VLOOKUP($B367,Pitchers!$A1:$S251,6,FALSE)</f>
        <v>1.3594392071549433</v>
      </c>
      <c r="AF367" s="30">
        <f>VLOOKUP($B367,Pitchers!$A1:$S251,7,FALSE)</f>
        <v>128.06666666666666</v>
      </c>
      <c r="AG367" s="30">
        <f>VLOOKUP($B367,Pitchers!$A1:$S251,8,FALSE)</f>
        <v>6.2666666666666666</v>
      </c>
      <c r="AH367" s="30">
        <f>VLOOKUP($B367,Pitchers!$A1:$S251,9,FALSE)</f>
        <v>0</v>
      </c>
      <c r="AI367" s="30">
        <f>VLOOKUP($B367,Pitchers!$A1:$S251,10,FALSE)</f>
        <v>69.407333333333341</v>
      </c>
      <c r="AJ367" s="30">
        <f>VLOOKUP($B367,Pitchers!$A1:$S251,11,FALSE)</f>
        <v>135.9</v>
      </c>
      <c r="AK367" s="30">
        <f>VLOOKUP($B367,Pitchers!$A1:$S251,12,FALSE)</f>
        <v>51.566666666666663</v>
      </c>
      <c r="AL367" s="30">
        <f>VLOOKUP($B367,Pitchers!$A1:$S251,13,FALSE)</f>
        <v>19</v>
      </c>
      <c r="AM367" s="30">
        <f>VLOOKUP($B367,Pitchers!$A1:$S251,14,FALSE)</f>
        <v>27.099999999999998</v>
      </c>
      <c r="AN367" s="30">
        <f>VLOOKUP($B367,Pitchers!$A1:$S251,15,FALSE)</f>
        <v>26.766666666666666</v>
      </c>
      <c r="AO367" s="30">
        <f>VLOOKUP($B367,Pitchers!$A1:$S251,16,FALSE)</f>
        <v>8.4</v>
      </c>
      <c r="AP367" s="30">
        <f>VLOOKUP($B367,Pitchers!$A1:$S251,17,FALSE)</f>
        <v>12</v>
      </c>
      <c r="AQ367" s="30">
        <f>VLOOKUP($B367,Pitchers!$A1:$S251,18,FALSE)</f>
        <v>0</v>
      </c>
      <c r="AR367" s="30">
        <f>VLOOKUP($B367,Pitchers!$A1:$S251,19,FALSE)</f>
        <v>0</v>
      </c>
    </row>
    <row r="368" spans="1:44" ht="18.600000000000001" customHeight="1">
      <c r="A368" s="24">
        <f ca="1">RANK(I368,I$2:I$651)</f>
        <v>573</v>
      </c>
      <c r="B368" s="25" t="s">
        <v>670</v>
      </c>
      <c r="C368" s="26" t="s">
        <v>225</v>
      </c>
      <c r="D368" s="26" t="s">
        <v>75</v>
      </c>
      <c r="E368" s="37" t="s">
        <v>27</v>
      </c>
      <c r="F368" s="38">
        <f ca="1">VLOOKUP(B368,SS!A1:I45,IF(Settings!$J$13="points",4,7),FALSE)</f>
        <v>31</v>
      </c>
      <c r="G368" s="29">
        <f>(M368*Settings!$B$2)+(N368*Settings!$B$3)+(O368*Settings!$B$4)+(P368*Settings!$B$5)+(Q368*Settings!$B$6)+(T368*Settings!$B$9)+(U368*Settings!$B$10)+(V368*Settings!$B$11)+(W368*Settings!$B$12)+(X368*Settings!$B$13)+(AA368*Settings!$B$16)</f>
        <v>257.44999999999993</v>
      </c>
      <c r="H368" s="30">
        <f>VLOOKUP(B368,'Standard Deviations'!$A1:$D651,4,FALSE)</f>
        <v>-1.7589783181100407</v>
      </c>
      <c r="I368" s="31">
        <f ca="1">IF(Settings!$J$16="no",VLOOKUP(B368,SS!A1:I45,IF(Settings!$J$13="points",6,9),FALSE),VLOOKUP(B368,'2B+SS'!$A1:$I94,IF(Settings!$J$13="points",6,9),FALSE))</f>
        <v>-4.7634030110752992</v>
      </c>
      <c r="J368" s="30"/>
      <c r="K368" s="30">
        <f ca="1">J368-A368</f>
        <v>-573</v>
      </c>
      <c r="L368" s="30"/>
      <c r="M368" s="30">
        <f>VLOOKUP($B368,Hitters!$A1:$R401,4,FALSE)</f>
        <v>394</v>
      </c>
      <c r="N368" s="30">
        <f>VLOOKUP($B368,Hitters!$A1:$R401,5,FALSE)</f>
        <v>42.766666666666701</v>
      </c>
      <c r="O368" s="30">
        <f>VLOOKUP($B368,Hitters!$A1:$R401,6,FALSE)</f>
        <v>4.7</v>
      </c>
      <c r="P368" s="30">
        <f>VLOOKUP($B368,Hitters!$A1:$R401,7,FALSE)</f>
        <v>36.133333333333297</v>
      </c>
      <c r="Q368" s="30">
        <f>VLOOKUP($B368,Hitters!$A1:$R401,8,FALSE)</f>
        <v>6.7333333333333298</v>
      </c>
      <c r="R368" s="32">
        <f>VLOOKUP($B368,Hitters!$A1:$R401,9,FALSE)</f>
        <v>0.25913705583756302</v>
      </c>
      <c r="S368" s="32">
        <f>VLOOKUP($B368,Hitters!$A1:$R401,10,FALSE)</f>
        <v>0.29741454378493098</v>
      </c>
      <c r="T368" s="30">
        <f>VLOOKUP($B368,Hitters!$A1:$R401,11,FALSE)</f>
        <v>102.1</v>
      </c>
      <c r="U368" s="30">
        <f>VLOOKUP($B368,Hitters!$A1:$R401,12,FALSE)</f>
        <v>21.3333333333333</v>
      </c>
      <c r="V368" s="30">
        <f>VLOOKUP($B368,Hitters!$A1:$R401,13,FALSE)</f>
        <v>1.6666666666666701</v>
      </c>
      <c r="W368" s="30">
        <f>VLOOKUP($B368,Hitters!$A1:$R401,14,FALSE)</f>
        <v>23.133333333333301</v>
      </c>
      <c r="X368" s="30">
        <f>VLOOKUP($B368,Hitters!$A1:$R401,15,FALSE)</f>
        <v>53.233333333333299</v>
      </c>
      <c r="Y368" s="32">
        <f>VLOOKUP($B368,Hitters!$A1:$R401,16,FALSE)</f>
        <v>0.35752961082910301</v>
      </c>
      <c r="Z368" s="32">
        <f>VLOOKUP($B368,Hitters!$A1:$R401,17,FALSE)</f>
        <v>0.65494415461403399</v>
      </c>
      <c r="AA368" s="30">
        <f>VLOOKUP($B368,Hitters!$A1:$R401,18,FALSE)</f>
        <v>0</v>
      </c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</row>
    <row r="369" spans="1:44" ht="18.600000000000001" customHeight="1">
      <c r="A369" s="24">
        <f ca="1">RANK(I369,I$2:I$651)</f>
        <v>299</v>
      </c>
      <c r="B369" s="25" t="s">
        <v>396</v>
      </c>
      <c r="C369" s="26" t="s">
        <v>101</v>
      </c>
      <c r="D369" s="26" t="s">
        <v>70</v>
      </c>
      <c r="E369" s="35" t="s">
        <v>31</v>
      </c>
      <c r="F369" s="36">
        <f ca="1">VLOOKUP(B369,SP!A1:I161,IF(Settings!$J$13="points",4,7),FALSE)</f>
        <v>90</v>
      </c>
      <c r="G369" s="29">
        <f>(AC369*Settings!$F$2)+(AF369*Settings!$F$5)+(AG369*Settings!$F$6)+(AH369*Settings!$F$7)+(AI369*Settings!$F$8)+(AJ369*Settings!$F$9)+(AK369*Settings!$F$10)+(AL369*Settings!$F$11)+(AM369*Settings!$F$12)+(AN369*Settings!$F$13)+(AO369*Settings!$F$14)+(AP369*Settings!$F$15)+(AQ369*Settings!$F$16)+(AR369*Settings!$F$17)</f>
        <v>256.55000000000007</v>
      </c>
      <c r="H369" s="30">
        <f>VLOOKUP(B369,'Standard Deviations'!$A1:$D651,4,FALSE)</f>
        <v>-0.750407299744979</v>
      </c>
      <c r="I369" s="31">
        <f ca="1">IF(Settings!$J$16="no",VLOOKUP(B369,SP!A1:I161,IF(Settings!$J$13="points",6,9),FALSE),VLOOKUP(B369,'SP+RP'!$A1:$I251,IF(Settings!$J$13="points",6,9),FALSE))</f>
        <v>-0.88639319207115319</v>
      </c>
      <c r="J369" s="30"/>
      <c r="K369" s="30">
        <f ca="1">J369-A369</f>
        <v>-299</v>
      </c>
      <c r="L369" s="30"/>
      <c r="M369" s="30"/>
      <c r="N369" s="30"/>
      <c r="O369" s="30"/>
      <c r="P369" s="30"/>
      <c r="Q369" s="30"/>
      <c r="R369" s="32"/>
      <c r="S369" s="32"/>
      <c r="T369" s="30"/>
      <c r="U369" s="30"/>
      <c r="V369" s="30"/>
      <c r="W369" s="30"/>
      <c r="X369" s="30"/>
      <c r="Y369" s="32"/>
      <c r="Z369" s="32"/>
      <c r="AA369" s="30"/>
      <c r="AB369" s="30"/>
      <c r="AC369" s="30">
        <f>VLOOKUP($B369,Pitchers!$A1:$S251,4,FALSE)</f>
        <v>113.26666666666667</v>
      </c>
      <c r="AD369" s="32">
        <f>VLOOKUP($B369,Pitchers!$A1:$S251,5,FALSE)</f>
        <v>3.8034137728075339</v>
      </c>
      <c r="AE369" s="32">
        <f>VLOOKUP($B369,Pitchers!$A1:$S251,6,FALSE)</f>
        <v>1.2242495585638611</v>
      </c>
      <c r="AF369" s="30">
        <f>VLOOKUP($B369,Pitchers!$A1:$S251,7,FALSE)</f>
        <v>116.83333333333333</v>
      </c>
      <c r="AG369" s="30">
        <f>VLOOKUP($B369,Pitchers!$A1:$S251,8,FALSE)</f>
        <v>6.2666666666666666</v>
      </c>
      <c r="AH369" s="30">
        <f>VLOOKUP($B369,Pitchers!$A1:$S251,9,FALSE)</f>
        <v>0</v>
      </c>
      <c r="AI369" s="30">
        <f>VLOOKUP($B369,Pitchers!$A1:$S251,10,FALSE)</f>
        <v>47.866666666666667</v>
      </c>
      <c r="AJ369" s="30">
        <f>VLOOKUP($B369,Pitchers!$A1:$S251,11,FALSE)</f>
        <v>100.89999999999999</v>
      </c>
      <c r="AK369" s="30">
        <f>VLOOKUP($B369,Pitchers!$A1:$S251,12,FALSE)</f>
        <v>37.766666666666666</v>
      </c>
      <c r="AL369" s="30">
        <f>VLOOKUP($B369,Pitchers!$A1:$S251,13,FALSE)</f>
        <v>18</v>
      </c>
      <c r="AM369" s="30">
        <f>VLOOKUP($B369,Pitchers!$A1:$S251,14,FALSE)</f>
        <v>21.433333333333334</v>
      </c>
      <c r="AN369" s="30">
        <f>VLOOKUP($B369,Pitchers!$A1:$S251,15,FALSE)</f>
        <v>21.433333333333334</v>
      </c>
      <c r="AO369" s="30">
        <f>VLOOKUP($B369,Pitchers!$A1:$S251,16,FALSE)</f>
        <v>7</v>
      </c>
      <c r="AP369" s="30">
        <f>VLOOKUP($B369,Pitchers!$A1:$S251,17,FALSE)</f>
        <v>12</v>
      </c>
      <c r="AQ369" s="30">
        <f>VLOOKUP($B369,Pitchers!$A1:$S251,18,FALSE)</f>
        <v>0</v>
      </c>
      <c r="AR369" s="30">
        <f>VLOOKUP($B369,Pitchers!$A1:$S251,19,FALSE)</f>
        <v>0</v>
      </c>
    </row>
    <row r="370" spans="1:44" ht="20.100000000000001" customHeight="1">
      <c r="A370" s="24">
        <f ca="1">RANK(I370,I$2:I$651)</f>
        <v>454</v>
      </c>
      <c r="B370" s="25" t="s">
        <v>552</v>
      </c>
      <c r="C370" s="26" t="s">
        <v>119</v>
      </c>
      <c r="D370" s="26" t="s">
        <v>70</v>
      </c>
      <c r="E370" s="35" t="s">
        <v>31</v>
      </c>
      <c r="F370" s="36">
        <f ca="1">VLOOKUP(B370,SP!A1:I161,IF(Settings!$J$13="points",4,7),FALSE)</f>
        <v>132</v>
      </c>
      <c r="G370" s="29">
        <f>(AC370*Settings!$F$2)+(AF370*Settings!$F$5)+(AG370*Settings!$F$6)+(AH370*Settings!$F$7)+(AI370*Settings!$F$8)+(AJ370*Settings!$F$9)+(AK370*Settings!$F$10)+(AL370*Settings!$F$11)+(AM370*Settings!$F$12)+(AN370*Settings!$F$13)+(AO370*Settings!$F$14)+(AP370*Settings!$F$15)+(AQ370*Settings!$F$16)+(AR370*Settings!$F$17)</f>
        <v>255.96400000000003</v>
      </c>
      <c r="H370" s="30">
        <f>VLOOKUP(B370,'Standard Deviations'!$A1:$D651,4,FALSE)</f>
        <v>-2.8794102205870207</v>
      </c>
      <c r="I370" s="31">
        <f ca="1">IF(Settings!$J$16="no",VLOOKUP(B370,SP!A1:I161,IF(Settings!$J$13="points",6,9),FALSE),VLOOKUP(B370,'SP+RP'!$A1:$I251,IF(Settings!$J$13="points",6,9),FALSE))</f>
        <v>-3.0153953826138964</v>
      </c>
      <c r="J370" s="30"/>
      <c r="K370" s="30">
        <f ca="1">J370-A370</f>
        <v>-454</v>
      </c>
      <c r="L370" s="30"/>
      <c r="M370" s="30"/>
      <c r="N370" s="30"/>
      <c r="O370" s="30"/>
      <c r="P370" s="30"/>
      <c r="Q370" s="30"/>
      <c r="R370" s="32"/>
      <c r="S370" s="32"/>
      <c r="T370" s="30"/>
      <c r="U370" s="30"/>
      <c r="V370" s="30"/>
      <c r="W370" s="30"/>
      <c r="X370" s="30"/>
      <c r="Y370" s="32"/>
      <c r="Z370" s="32"/>
      <c r="AA370" s="30"/>
      <c r="AB370" s="30"/>
      <c r="AC370" s="30">
        <f>VLOOKUP($B370,Pitchers!$A1:$S251,4,FALSE)</f>
        <v>140.56666666666669</v>
      </c>
      <c r="AD370" s="32">
        <f>VLOOKUP($B370,Pitchers!$A1:$S251,5,FALSE)</f>
        <v>4.349708323452691</v>
      </c>
      <c r="AE370" s="32">
        <f>VLOOKUP($B370,Pitchers!$A1:$S251,6,FALSE)</f>
        <v>1.3004505572681999</v>
      </c>
      <c r="AF370" s="30">
        <f>VLOOKUP($B370,Pitchers!$A1:$S251,7,FALSE)</f>
        <v>92.8</v>
      </c>
      <c r="AG370" s="30">
        <f>VLOOKUP($B370,Pitchers!$A1:$S251,8,FALSE)</f>
        <v>6.9666666666666659</v>
      </c>
      <c r="AH370" s="30">
        <f>VLOOKUP($B370,Pitchers!$A1:$S251,9,FALSE)</f>
        <v>0</v>
      </c>
      <c r="AI370" s="30">
        <f>VLOOKUP($B370,Pitchers!$A1:$S251,10,FALSE)</f>
        <v>67.935999999999993</v>
      </c>
      <c r="AJ370" s="30">
        <f>VLOOKUP($B370,Pitchers!$A1:$S251,11,FALSE)</f>
        <v>153.93333333333334</v>
      </c>
      <c r="AK370" s="30">
        <f>VLOOKUP($B370,Pitchers!$A1:$S251,12,FALSE)</f>
        <v>28.866666666666664</v>
      </c>
      <c r="AL370" s="30">
        <f>VLOOKUP($B370,Pitchers!$A1:$S251,13,FALSE)</f>
        <v>19</v>
      </c>
      <c r="AM370" s="30">
        <f>VLOOKUP($B370,Pitchers!$A1:$S251,14,FALSE)</f>
        <v>25.733333333333334</v>
      </c>
      <c r="AN370" s="30">
        <f>VLOOKUP($B370,Pitchers!$A1:$S251,15,FALSE)</f>
        <v>25.733333333333334</v>
      </c>
      <c r="AO370" s="30">
        <f>VLOOKUP($B370,Pitchers!$A1:$S251,16,FALSE)</f>
        <v>8.0333333333333332</v>
      </c>
      <c r="AP370" s="30">
        <f>VLOOKUP($B370,Pitchers!$A1:$S251,17,FALSE)</f>
        <v>10</v>
      </c>
      <c r="AQ370" s="30">
        <f>VLOOKUP($B370,Pitchers!$A1:$S251,18,FALSE)</f>
        <v>0</v>
      </c>
      <c r="AR370" s="30">
        <f>VLOOKUP($B370,Pitchers!$A1:$S251,19,FALSE)</f>
        <v>0</v>
      </c>
    </row>
    <row r="371" spans="1:44" ht="18.600000000000001" customHeight="1">
      <c r="A371" s="24">
        <f ca="1">RANK(I371,I$2:I$651)</f>
        <v>318</v>
      </c>
      <c r="B371" s="25" t="s">
        <v>415</v>
      </c>
      <c r="C371" s="26" t="s">
        <v>125</v>
      </c>
      <c r="D371" s="26" t="s">
        <v>75</v>
      </c>
      <c r="E371" s="27" t="s">
        <v>23</v>
      </c>
      <c r="F371" s="28">
        <f ca="1">VLOOKUP(B371,OF!A1:I139,IF(Settings!$J$13="points",4,7),FALSE)</f>
        <v>88</v>
      </c>
      <c r="G371" s="29">
        <f>(M371*Settings!$B$2)+(N371*Settings!$B$3)+(O371*Settings!$B$4)+(P371*Settings!$B$5)+(Q371*Settings!$B$6)+(T371*Settings!$B$9)+(U371*Settings!$B$10)+(V371*Settings!$B$11)+(W371*Settings!$B$12)+(X371*Settings!$B$13)+(AA371*Settings!$B$16)</f>
        <v>255.24999999999974</v>
      </c>
      <c r="H371" s="30">
        <f>VLOOKUP(B371,'Standard Deviations'!$A1:$D651,4,FALSE)</f>
        <v>-1.1961242495652833</v>
      </c>
      <c r="I371" s="31">
        <f ca="1">VLOOKUP(B371,OF!A1:I139,IF(Settings!$J$13="points",6,9),FALSE)</f>
        <v>-1.3148445963681348</v>
      </c>
      <c r="J371" s="30"/>
      <c r="K371" s="30">
        <f ca="1">J371-A371</f>
        <v>-318</v>
      </c>
      <c r="L371" s="30"/>
      <c r="M371" s="30">
        <f>VLOOKUP($B371,Hitters!$A1:$R401,4,FALSE)</f>
        <v>323</v>
      </c>
      <c r="N371" s="30">
        <f>VLOOKUP($B371,Hitters!$A1:$R401,5,FALSE)</f>
        <v>41.5</v>
      </c>
      <c r="O371" s="30">
        <f>VLOOKUP($B371,Hitters!$A1:$R401,6,FALSE)</f>
        <v>16.133333333333301</v>
      </c>
      <c r="P371" s="30">
        <f>VLOOKUP($B371,Hitters!$A1:$R401,7,FALSE)</f>
        <v>45.633333333333297</v>
      </c>
      <c r="Q371" s="30">
        <f>VLOOKUP($B371,Hitters!$A1:$R401,8,FALSE)</f>
        <v>1</v>
      </c>
      <c r="R371" s="32">
        <f>VLOOKUP($B371,Hitters!$A1:$R401,9,FALSE)</f>
        <v>0.25118679050567599</v>
      </c>
      <c r="S371" s="32">
        <f>VLOOKUP($B371,Hitters!$A1:$R401,10,FALSE)</f>
        <v>0.30151326601373601</v>
      </c>
      <c r="T371" s="30">
        <f>VLOOKUP($B371,Hitters!$A1:$R401,11,FALSE)</f>
        <v>81.133333333333297</v>
      </c>
      <c r="U371" s="30">
        <f>VLOOKUP($B371,Hitters!$A1:$R401,12,FALSE)</f>
        <v>16.8333333333333</v>
      </c>
      <c r="V371" s="30">
        <f>VLOOKUP($B371,Hitters!$A1:$R401,13,FALSE)</f>
        <v>0.5</v>
      </c>
      <c r="W371" s="30">
        <f>VLOOKUP($B371,Hitters!$A1:$R401,14,FALSE)</f>
        <v>24.6666666666667</v>
      </c>
      <c r="X371" s="30">
        <f>VLOOKUP($B371,Hitters!$A1:$R401,15,FALSE)</f>
        <v>78.766666666666694</v>
      </c>
      <c r="Y371" s="32">
        <f>VLOOKUP($B371,Hitters!$A1:$R401,16,FALSE)</f>
        <v>0.4562435500516</v>
      </c>
      <c r="Z371" s="32">
        <f>VLOOKUP($B371,Hitters!$A1:$R401,17,FALSE)</f>
        <v>0.75775681606533596</v>
      </c>
      <c r="AA371" s="30">
        <f>VLOOKUP($B371,Hitters!$A1:$R401,18,FALSE)</f>
        <v>0</v>
      </c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</row>
    <row r="372" spans="1:44" ht="18.600000000000001" customHeight="1">
      <c r="A372" s="24">
        <f ca="1">RANK(I372,I$2:I$651)</f>
        <v>543</v>
      </c>
      <c r="B372" s="25" t="s">
        <v>640</v>
      </c>
      <c r="C372" s="26" t="s">
        <v>99</v>
      </c>
      <c r="D372" s="26" t="s">
        <v>75</v>
      </c>
      <c r="E372" s="37" t="s">
        <v>27</v>
      </c>
      <c r="F372" s="38">
        <f ca="1">VLOOKUP(B372,SS!A1:I45,IF(Settings!$J$13="points",4,7),FALSE)</f>
        <v>27</v>
      </c>
      <c r="G372" s="29">
        <f>(M372*Settings!$B$2)+(N372*Settings!$B$3)+(O372*Settings!$B$4)+(P372*Settings!$B$5)+(Q372*Settings!$B$6)+(T372*Settings!$B$9)+(U372*Settings!$B$10)+(V372*Settings!$B$11)+(W372*Settings!$B$12)+(X372*Settings!$B$13)+(AA372*Settings!$B$16)</f>
        <v>254.15</v>
      </c>
      <c r="H372" s="30">
        <f>VLOOKUP(B372,'Standard Deviations'!$A1:$D651,4,FALSE)</f>
        <v>-1.1932637437167188</v>
      </c>
      <c r="I372" s="31">
        <f ca="1">IF(Settings!$J$16="no",VLOOKUP(B372,SS!A1:I45,IF(Settings!$J$13="points",6,9),FALSE),VLOOKUP(B372,'2B+SS'!$A1:$I94,IF(Settings!$J$13="points",6,9),FALSE))</f>
        <v>-4.1976912078004114</v>
      </c>
      <c r="J372" s="30"/>
      <c r="K372" s="30">
        <f ca="1">J372-A372</f>
        <v>-543</v>
      </c>
      <c r="L372" s="30"/>
      <c r="M372" s="30">
        <f>VLOOKUP($B372,Hitters!$A1:$R401,4,FALSE)</f>
        <v>349</v>
      </c>
      <c r="N372" s="30">
        <f>VLOOKUP($B372,Hitters!$A1:$R401,5,FALSE)</f>
        <v>44</v>
      </c>
      <c r="O372" s="30">
        <f>VLOOKUP($B372,Hitters!$A1:$R401,6,FALSE)</f>
        <v>7.6</v>
      </c>
      <c r="P372" s="30">
        <f>VLOOKUP($B372,Hitters!$A1:$R401,7,FALSE)</f>
        <v>37</v>
      </c>
      <c r="Q372" s="30">
        <f>VLOOKUP($B372,Hitters!$A1:$R401,8,FALSE)</f>
        <v>11.7</v>
      </c>
      <c r="R372" s="32">
        <f>VLOOKUP($B372,Hitters!$A1:$R401,9,FALSE)</f>
        <v>0.245988538681948</v>
      </c>
      <c r="S372" s="32">
        <f>VLOOKUP($B372,Hitters!$A1:$R401,10,FALSE)</f>
        <v>0.3125</v>
      </c>
      <c r="T372" s="30">
        <f>VLOOKUP($B372,Hitters!$A1:$R401,11,FALSE)</f>
        <v>85.85</v>
      </c>
      <c r="U372" s="30">
        <f>VLOOKUP($B372,Hitters!$A1:$R401,12,FALSE)</f>
        <v>16.649999999999999</v>
      </c>
      <c r="V372" s="30">
        <f>VLOOKUP($B372,Hitters!$A1:$R401,13,FALSE)</f>
        <v>1.65</v>
      </c>
      <c r="W372" s="30">
        <f>VLOOKUP($B372,Hitters!$A1:$R401,14,FALSE)</f>
        <v>35.35</v>
      </c>
      <c r="X372" s="30">
        <f>VLOOKUP($B372,Hitters!$A1:$R401,15,FALSE)</f>
        <v>80.2</v>
      </c>
      <c r="Y372" s="32">
        <f>VLOOKUP($B372,Hitters!$A1:$R401,16,FALSE)</f>
        <v>0.368481375358166</v>
      </c>
      <c r="Z372" s="32">
        <f>VLOOKUP($B372,Hitters!$A1:$R401,17,FALSE)</f>
        <v>0.68098137535816605</v>
      </c>
      <c r="AA372" s="30">
        <f>VLOOKUP($B372,Hitters!$A1:$R401,18,FALSE)</f>
        <v>0</v>
      </c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</row>
    <row r="373" spans="1:44" ht="20.100000000000001" customHeight="1">
      <c r="A373" s="24">
        <f ca="1">RANK(I373,I$2:I$651)</f>
        <v>324</v>
      </c>
      <c r="B373" s="25" t="s">
        <v>421</v>
      </c>
      <c r="C373" s="26" t="s">
        <v>158</v>
      </c>
      <c r="D373" s="26" t="s">
        <v>70</v>
      </c>
      <c r="E373" s="33" t="s">
        <v>15</v>
      </c>
      <c r="F373" s="34">
        <f ca="1">VLOOKUP(B373,'3B'!A1:I55,IF(Settings!$J$13="points",4,7),FALSE)</f>
        <v>27</v>
      </c>
      <c r="G373" s="29">
        <f>(M373*Settings!$B$2)+(N373*Settings!$B$3)+(O373*Settings!$B$4)+(P373*Settings!$B$5)+(Q373*Settings!$B$6)+(T373*Settings!$B$9)+(U373*Settings!$B$10)+(V373*Settings!$B$11)+(W373*Settings!$B$12)+(X373*Settings!$B$13)+(AA373*Settings!$B$16)</f>
        <v>253.51666666666671</v>
      </c>
      <c r="H373" s="30">
        <f>VLOOKUP(B373,'Standard Deviations'!$A1:$D651,4,FALSE)</f>
        <v>-0.78418180392773484</v>
      </c>
      <c r="I373" s="31">
        <f ca="1">IF(Settings!$J$15="no",VLOOKUP(B373,'3B'!A1:I55,IF(Settings!$J$13="points",6,9),FALSE),VLOOKUP(B373,'1B+3B'!$A1:$I104,IF(Settings!$J$13="points",6,9),FALSE))</f>
        <v>-1.511863212569728</v>
      </c>
      <c r="J373" s="30"/>
      <c r="K373" s="30">
        <f ca="1">J373-A373</f>
        <v>-324</v>
      </c>
      <c r="L373" s="30"/>
      <c r="M373" s="30">
        <f>VLOOKUP($B373,Hitters!$A1:$R401,4,FALSE)</f>
        <v>361.66666666666703</v>
      </c>
      <c r="N373" s="30">
        <f>VLOOKUP($B373,Hitters!$A1:$R401,5,FALSE)</f>
        <v>40.966666666666697</v>
      </c>
      <c r="O373" s="30">
        <f>VLOOKUP($B373,Hitters!$A1:$R401,6,FALSE)</f>
        <v>8.56666666666667</v>
      </c>
      <c r="P373" s="30">
        <f>VLOOKUP($B373,Hitters!$A1:$R401,7,FALSE)</f>
        <v>42.8</v>
      </c>
      <c r="Q373" s="30">
        <f>VLOOKUP($B373,Hitters!$A1:$R401,8,FALSE)</f>
        <v>9.6999999999999993</v>
      </c>
      <c r="R373" s="32">
        <f>VLOOKUP($B373,Hitters!$A1:$R401,9,FALSE)</f>
        <v>0.25539170506912401</v>
      </c>
      <c r="S373" s="32">
        <f>VLOOKUP($B373,Hitters!$A1:$R401,10,FALSE)</f>
        <v>0.29244263924296798</v>
      </c>
      <c r="T373" s="30">
        <f>VLOOKUP($B373,Hitters!$A1:$R401,11,FALSE)</f>
        <v>92.366666666666703</v>
      </c>
      <c r="U373" s="30">
        <f>VLOOKUP($B373,Hitters!$A1:$R401,12,FALSE)</f>
        <v>20.6</v>
      </c>
      <c r="V373" s="30">
        <f>VLOOKUP($B373,Hitters!$A1:$R401,13,FALSE)</f>
        <v>2.93333333333333</v>
      </c>
      <c r="W373" s="30">
        <f>VLOOKUP($B373,Hitters!$A1:$R401,14,FALSE)</f>
        <v>20.433333333333302</v>
      </c>
      <c r="X373" s="30">
        <f>VLOOKUP($B373,Hitters!$A1:$R401,15,FALSE)</f>
        <v>93.433333333333294</v>
      </c>
      <c r="Y373" s="32">
        <f>VLOOKUP($B373,Hitters!$A1:$R401,16,FALSE)</f>
        <v>0.39963133640553</v>
      </c>
      <c r="Z373" s="32">
        <f>VLOOKUP($B373,Hitters!$A1:$R401,17,FALSE)</f>
        <v>0.69207397564849804</v>
      </c>
      <c r="AA373" s="30">
        <f>VLOOKUP($B373,Hitters!$A1:$R401,18,FALSE)</f>
        <v>0</v>
      </c>
      <c r="AB373" s="30"/>
      <c r="AC373" s="30"/>
      <c r="AD373" s="32"/>
      <c r="AE373" s="32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</row>
    <row r="374" spans="1:44" ht="18.600000000000001" customHeight="1">
      <c r="A374" s="24">
        <f ca="1">RANK(I374,I$2:I$651)</f>
        <v>305</v>
      </c>
      <c r="B374" s="25" t="s">
        <v>401</v>
      </c>
      <c r="C374" s="26" t="s">
        <v>178</v>
      </c>
      <c r="D374" s="26" t="s">
        <v>75</v>
      </c>
      <c r="E374" s="27" t="s">
        <v>23</v>
      </c>
      <c r="F374" s="28">
        <f ca="1">VLOOKUP(B374,OF!A1:I139,IF(Settings!$J$13="points",4,7),FALSE)</f>
        <v>86</v>
      </c>
      <c r="G374" s="29">
        <f>(M374*Settings!$B$2)+(N374*Settings!$B$3)+(O374*Settings!$B$4)+(P374*Settings!$B$5)+(Q374*Settings!$B$6)+(T374*Settings!$B$9)+(U374*Settings!$B$10)+(V374*Settings!$B$11)+(W374*Settings!$B$12)+(X374*Settings!$B$13)+(AA374*Settings!$B$16)</f>
        <v>253.0500000000003</v>
      </c>
      <c r="H374" s="30">
        <f>VLOOKUP(B374,'Standard Deviations'!$A1:$D651,4,FALSE)</f>
        <v>-0.85448340771770881</v>
      </c>
      <c r="I374" s="31">
        <f ca="1">VLOOKUP(B374,OF!A1:I139,IF(Settings!$J$13="points",6,9),FALSE)</f>
        <v>-0.973195580992265</v>
      </c>
      <c r="J374" s="30"/>
      <c r="K374" s="30">
        <f ca="1">J374-A374</f>
        <v>-305</v>
      </c>
      <c r="L374" s="30"/>
      <c r="M374" s="30">
        <f>VLOOKUP($B374,Hitters!$A1:$R401,4,FALSE)</f>
        <v>385.33333333333297</v>
      </c>
      <c r="N374" s="30">
        <f>VLOOKUP($B374,Hitters!$A1:$R401,5,FALSE)</f>
        <v>49.9</v>
      </c>
      <c r="O374" s="30">
        <f>VLOOKUP($B374,Hitters!$A1:$R401,6,FALSE)</f>
        <v>3.7666666666666702</v>
      </c>
      <c r="P374" s="30">
        <f>VLOOKUP($B374,Hitters!$A1:$R401,7,FALSE)</f>
        <v>36.633333333333297</v>
      </c>
      <c r="Q374" s="30">
        <f>VLOOKUP($B374,Hitters!$A1:$R401,8,FALSE)</f>
        <v>2.8666666666666698</v>
      </c>
      <c r="R374" s="32">
        <f>VLOOKUP($B374,Hitters!$A1:$R401,9,FALSE)</f>
        <v>0.28486159169550201</v>
      </c>
      <c r="S374" s="32">
        <f>VLOOKUP($B374,Hitters!$A1:$R401,10,FALSE)</f>
        <v>0.32748744444266198</v>
      </c>
      <c r="T374" s="30">
        <f>VLOOKUP($B374,Hitters!$A1:$R401,11,FALSE)</f>
        <v>109.76666666666701</v>
      </c>
      <c r="U374" s="30">
        <f>VLOOKUP($B374,Hitters!$A1:$R401,12,FALSE)</f>
        <v>19.100000000000001</v>
      </c>
      <c r="V374" s="30">
        <f>VLOOKUP($B374,Hitters!$A1:$R401,13,FALSE)</f>
        <v>2.06666666666667</v>
      </c>
      <c r="W374" s="30">
        <f>VLOOKUP($B374,Hitters!$A1:$R401,14,FALSE)</f>
        <v>26.3</v>
      </c>
      <c r="X374" s="30">
        <f>VLOOKUP($B374,Hitters!$A1:$R401,15,FALSE)</f>
        <v>69.5</v>
      </c>
      <c r="Y374" s="32">
        <f>VLOOKUP($B374,Hitters!$A1:$R401,16,FALSE)</f>
        <v>0.37448096885813098</v>
      </c>
      <c r="Z374" s="32">
        <f>VLOOKUP($B374,Hitters!$A1:$R401,17,FALSE)</f>
        <v>0.70196841330079296</v>
      </c>
      <c r="AA374" s="30">
        <f>VLOOKUP($B374,Hitters!$A1:$R401,18,FALSE)</f>
        <v>0</v>
      </c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</row>
    <row r="375" spans="1:44" ht="18.600000000000001" customHeight="1">
      <c r="A375" s="24">
        <f ca="1">RANK(I375,I$2:I$651)</f>
        <v>391</v>
      </c>
      <c r="B375" s="25" t="s">
        <v>489</v>
      </c>
      <c r="C375" s="26" t="s">
        <v>122</v>
      </c>
      <c r="D375" s="26" t="s">
        <v>75</v>
      </c>
      <c r="E375" s="33" t="s">
        <v>15</v>
      </c>
      <c r="F375" s="34">
        <f ca="1">VLOOKUP(B375,'3B'!A1:I55,IF(Settings!$J$13="points",4,7),FALSE)</f>
        <v>31</v>
      </c>
      <c r="G375" s="29">
        <f>(M375*Settings!$B$2)+(N375*Settings!$B$3)+(O375*Settings!$B$4)+(P375*Settings!$B$5)+(Q375*Settings!$B$6)+(T375*Settings!$B$9)+(U375*Settings!$B$10)+(V375*Settings!$B$11)+(W375*Settings!$B$12)+(X375*Settings!$B$13)+(AA375*Settings!$B$16)</f>
        <v>252.30000000000004</v>
      </c>
      <c r="H375" s="30">
        <f>VLOOKUP(B375,'Standard Deviations'!$A1:$D651,4,FALSE)</f>
        <v>-1.6043980473336195</v>
      </c>
      <c r="I375" s="31">
        <f ca="1">IF(Settings!$J$15="no",VLOOKUP(B375,'3B'!A1:I55,IF(Settings!$J$13="points",6,9),FALSE),VLOOKUP(B375,'1B+3B'!$A1:$I104,IF(Settings!$J$13="points",6,9),FALSE))</f>
        <v>-2.3320719471219991</v>
      </c>
      <c r="J375" s="30"/>
      <c r="K375" s="30">
        <f ca="1">J375-A375</f>
        <v>-391</v>
      </c>
      <c r="L375" s="30"/>
      <c r="M375" s="30">
        <f>VLOOKUP($B375,Hitters!$A1:$R401,4,FALSE)</f>
        <v>337.66666666666703</v>
      </c>
      <c r="N375" s="30">
        <f>VLOOKUP($B375,Hitters!$A1:$R401,5,FALSE)</f>
        <v>43.2</v>
      </c>
      <c r="O375" s="30">
        <f>VLOOKUP($B375,Hitters!$A1:$R401,6,FALSE)</f>
        <v>14.266666666666699</v>
      </c>
      <c r="P375" s="30">
        <f>VLOOKUP($B375,Hitters!$A1:$R401,7,FALSE)</f>
        <v>47.733333333333299</v>
      </c>
      <c r="Q375" s="30">
        <f>VLOOKUP($B375,Hitters!$A1:$R401,8,FALSE)</f>
        <v>1.1000000000000001</v>
      </c>
      <c r="R375" s="32">
        <f>VLOOKUP($B375,Hitters!$A1:$R401,9,FALSE)</f>
        <v>0.24373149062191499</v>
      </c>
      <c r="S375" s="32">
        <f>VLOOKUP($B375,Hitters!$A1:$R401,10,FALSE)</f>
        <v>0.30652265194357298</v>
      </c>
      <c r="T375" s="30">
        <f>VLOOKUP($B375,Hitters!$A1:$R401,11,FALSE)</f>
        <v>82.3</v>
      </c>
      <c r="U375" s="30">
        <f>VLOOKUP($B375,Hitters!$A1:$R401,12,FALSE)</f>
        <v>16.733333333333299</v>
      </c>
      <c r="V375" s="30">
        <f>VLOOKUP($B375,Hitters!$A1:$R401,13,FALSE)</f>
        <v>0.53333333333333299</v>
      </c>
      <c r="W375" s="30">
        <f>VLOOKUP($B375,Hitters!$A1:$R401,14,FALSE)</f>
        <v>32.066666666666698</v>
      </c>
      <c r="X375" s="30">
        <f>VLOOKUP($B375,Hitters!$A1:$R401,15,FALSE)</f>
        <v>94.6666666666667</v>
      </c>
      <c r="Y375" s="32">
        <f>VLOOKUP($B375,Hitters!$A1:$R401,16,FALSE)</f>
        <v>0.42319842053307</v>
      </c>
      <c r="Z375" s="32">
        <f>VLOOKUP($B375,Hitters!$A1:$R401,17,FALSE)</f>
        <v>0.72972107247664297</v>
      </c>
      <c r="AA375" s="30">
        <f>VLOOKUP($B375,Hitters!$A1:$R401,18,FALSE)</f>
        <v>0</v>
      </c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</row>
    <row r="376" spans="1:44" ht="18.600000000000001" customHeight="1">
      <c r="A376" s="24">
        <f ca="1">RANK(I376,I$2:I$651)</f>
        <v>593</v>
      </c>
      <c r="B376" s="25" t="s">
        <v>689</v>
      </c>
      <c r="C376" s="26" t="s">
        <v>122</v>
      </c>
      <c r="D376" s="26" t="s">
        <v>75</v>
      </c>
      <c r="E376" s="37" t="s">
        <v>27</v>
      </c>
      <c r="F376" s="38">
        <f ca="1">VLOOKUP(B376,SS!A1:I45,IF(Settings!$J$13="points",4,7),FALSE)</f>
        <v>34</v>
      </c>
      <c r="G376" s="29">
        <f>(M376*Settings!$B$2)+(N376*Settings!$B$3)+(O376*Settings!$B$4)+(P376*Settings!$B$5)+(Q376*Settings!$B$6)+(T376*Settings!$B$9)+(U376*Settings!$B$10)+(V376*Settings!$B$11)+(W376*Settings!$B$12)+(X376*Settings!$B$13)+(AA376*Settings!$B$16)</f>
        <v>251.81666666666661</v>
      </c>
      <c r="H376" s="30">
        <f>VLOOKUP(B376,'Standard Deviations'!$A1:$D651,4,FALSE)</f>
        <v>-2.2035909459084766</v>
      </c>
      <c r="I376" s="31">
        <f ca="1">IF(Settings!$J$16="no",VLOOKUP(B376,SS!A1:I45,IF(Settings!$J$13="points",6,9),FALSE),VLOOKUP(B376,'2B+SS'!$A1:$I94,IF(Settings!$J$13="points",6,9),FALSE))</f>
        <v>-5.2080161203523705</v>
      </c>
      <c r="J376" s="30"/>
      <c r="K376" s="30">
        <f ca="1">J376-A376</f>
        <v>-593</v>
      </c>
      <c r="L376" s="30"/>
      <c r="M376" s="30">
        <f>VLOOKUP($B376,Hitters!$A1:$R401,4,FALSE)</f>
        <v>379.33333333333297</v>
      </c>
      <c r="N376" s="30">
        <f>VLOOKUP($B376,Hitters!$A1:$R401,5,FALSE)</f>
        <v>44.4</v>
      </c>
      <c r="O376" s="30">
        <f>VLOOKUP($B376,Hitters!$A1:$R401,6,FALSE)</f>
        <v>8.1999999999999993</v>
      </c>
      <c r="P376" s="30">
        <f>VLOOKUP($B376,Hitters!$A1:$R401,7,FALSE)</f>
        <v>39.9</v>
      </c>
      <c r="Q376" s="30">
        <f>VLOOKUP($B376,Hitters!$A1:$R401,8,FALSE)</f>
        <v>6.56666666666667</v>
      </c>
      <c r="R376" s="32">
        <f>VLOOKUP($B376,Hitters!$A1:$R401,9,FALSE)</f>
        <v>0.236467486818981</v>
      </c>
      <c r="S376" s="32">
        <f>VLOOKUP($B376,Hitters!$A1:$R401,10,FALSE)</f>
        <v>0.287730200343075</v>
      </c>
      <c r="T376" s="30">
        <f>VLOOKUP($B376,Hitters!$A1:$R401,11,FALSE)</f>
        <v>89.7</v>
      </c>
      <c r="U376" s="30">
        <f>VLOOKUP($B376,Hitters!$A1:$R401,12,FALSE)</f>
        <v>21.1</v>
      </c>
      <c r="V376" s="30">
        <f>VLOOKUP($B376,Hitters!$A1:$R401,13,FALSE)</f>
        <v>2.1333333333333302</v>
      </c>
      <c r="W376" s="30">
        <f>VLOOKUP($B376,Hitters!$A1:$R401,14,FALSE)</f>
        <v>28.8333333333333</v>
      </c>
      <c r="X376" s="30">
        <f>VLOOKUP($B376,Hitters!$A1:$R401,15,FALSE)</f>
        <v>91.1</v>
      </c>
      <c r="Y376" s="32">
        <f>VLOOKUP($B376,Hitters!$A1:$R401,16,FALSE)</f>
        <v>0.36818980667838302</v>
      </c>
      <c r="Z376" s="32">
        <f>VLOOKUP($B376,Hitters!$A1:$R401,17,FALSE)</f>
        <v>0.65592000702145903</v>
      </c>
      <c r="AA376" s="30">
        <f>VLOOKUP($B376,Hitters!$A1:$R401,18,FALSE)</f>
        <v>0</v>
      </c>
      <c r="AB376" s="30"/>
      <c r="AC376" s="30"/>
      <c r="AD376" s="32"/>
      <c r="AE376" s="32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</row>
    <row r="377" spans="1:44" ht="18.600000000000001" customHeight="1">
      <c r="A377" s="24">
        <f ca="1">RANK(I377,I$2:I$651)</f>
        <v>175</v>
      </c>
      <c r="B377" s="25" t="s">
        <v>272</v>
      </c>
      <c r="C377" s="26" t="s">
        <v>103</v>
      </c>
      <c r="D377" s="26" t="s">
        <v>70</v>
      </c>
      <c r="E377" s="41" t="s">
        <v>34</v>
      </c>
      <c r="F377" s="42">
        <f ca="1">VLOOKUP(B377,RP!A1:I91,IF(Settings!$J$13="points",4,7),FALSE)</f>
        <v>15</v>
      </c>
      <c r="G377" s="29">
        <f>(AC377*Settings!$F$2)+(AF377*Settings!$F$5)+(AG377*Settings!$F$6)+(AH377*Settings!$F$7)+(AI377*Settings!$F$8)+(AJ377*Settings!$F$9)+(AK377*Settings!$F$10)+(AL377*Settings!$F$11)+(AM377*Settings!$F$12)+(AN377*Settings!$F$13)+(AO377*Settings!$F$14)+(AP377*Settings!$F$15)+(AQ377*Settings!$F$16)+(AR377*Settings!$F$17)</f>
        <v>251.10000000000002</v>
      </c>
      <c r="H377" s="30">
        <f>VLOOKUP(B377,'Standard Deviations'!$A1:$D651,4,FALSE)</f>
        <v>2.5339503973568061</v>
      </c>
      <c r="I377" s="31">
        <f ca="1">IF(Settings!$J$16="no",VLOOKUP(B377,RP!A1:I91,IF(Settings!$J$13="points",6,9),FALSE),VLOOKUP(B377,'SP+RP'!$A1:$I251,IF(Settings!$J$13="points",6,9),FALSE))</f>
        <v>0.96288392069502726</v>
      </c>
      <c r="J377" s="30"/>
      <c r="K377" s="30">
        <f ca="1">J377-A377</f>
        <v>-175</v>
      </c>
      <c r="L377" s="30"/>
      <c r="M377" s="30"/>
      <c r="N377" s="30"/>
      <c r="O377" s="30"/>
      <c r="P377" s="30"/>
      <c r="Q377" s="30"/>
      <c r="R377" s="32"/>
      <c r="S377" s="32"/>
      <c r="T377" s="30"/>
      <c r="U377" s="30"/>
      <c r="V377" s="30"/>
      <c r="W377" s="30"/>
      <c r="X377" s="30"/>
      <c r="Y377" s="32"/>
      <c r="Z377" s="32"/>
      <c r="AA377" s="30"/>
      <c r="AB377" s="30"/>
      <c r="AC377" s="30">
        <f>VLOOKUP($B377,Pitchers!$A1:$S251,4,FALSE)</f>
        <v>57.066666666666663</v>
      </c>
      <c r="AD377" s="32">
        <f>VLOOKUP($B377,Pitchers!$A1:$S251,5,FALSE)</f>
        <v>2.8019859813084111</v>
      </c>
      <c r="AE377" s="32">
        <f>VLOOKUP($B377,Pitchers!$A1:$S251,6,FALSE)</f>
        <v>1.1337616822429908</v>
      </c>
      <c r="AF377" s="30">
        <f>VLOOKUP($B377,Pitchers!$A1:$S251,7,FALSE)</f>
        <v>76</v>
      </c>
      <c r="AG377" s="30">
        <f>VLOOKUP($B377,Pitchers!$A1:$S251,8,FALSE)</f>
        <v>3.4333333333333336</v>
      </c>
      <c r="AH377" s="30">
        <f>VLOOKUP($B377,Pitchers!$A1:$S251,9,FALSE)</f>
        <v>16.333333333333332</v>
      </c>
      <c r="AI377" s="30">
        <f>VLOOKUP($B377,Pitchers!$A1:$S251,10,FALSE)</f>
        <v>17.766666666666666</v>
      </c>
      <c r="AJ377" s="30">
        <f>VLOOKUP($B377,Pitchers!$A1:$S251,11,FALSE)</f>
        <v>44.366666666666667</v>
      </c>
      <c r="AK377" s="30">
        <f>VLOOKUP($B377,Pitchers!$A1:$S251,12,FALSE)</f>
        <v>20.333333333333332</v>
      </c>
      <c r="AL377" s="30">
        <f>VLOOKUP($B377,Pitchers!$A1:$S251,13,FALSE)</f>
        <v>6</v>
      </c>
      <c r="AM377" s="30">
        <f>VLOOKUP($B377,Pitchers!$A1:$S251,14,FALSE)</f>
        <v>57.433333333333337</v>
      </c>
      <c r="AN377" s="30">
        <f>VLOOKUP($B377,Pitchers!$A1:$S251,15,FALSE)</f>
        <v>0</v>
      </c>
      <c r="AO377" s="30">
        <f>VLOOKUP($B377,Pitchers!$A1:$S251,16,FALSE)</f>
        <v>2.8000000000000003</v>
      </c>
      <c r="AP377" s="30">
        <f>VLOOKUP($B377,Pitchers!$A1:$S251,17,FALSE)</f>
        <v>0</v>
      </c>
      <c r="AQ377" s="30">
        <f>VLOOKUP($B377,Pitchers!$A1:$S251,18,FALSE)</f>
        <v>8.5</v>
      </c>
      <c r="AR377" s="30">
        <f>VLOOKUP($B377,Pitchers!$A1:$S251,19,FALSE)</f>
        <v>4</v>
      </c>
    </row>
    <row r="378" spans="1:44" ht="18.600000000000001" customHeight="1">
      <c r="A378" s="24">
        <f ca="1">RANK(I378,I$2:I$651)</f>
        <v>331</v>
      </c>
      <c r="B378" s="25" t="s">
        <v>428</v>
      </c>
      <c r="C378" s="26" t="s">
        <v>116</v>
      </c>
      <c r="D378" s="26" t="s">
        <v>70</v>
      </c>
      <c r="E378" s="27" t="s">
        <v>23</v>
      </c>
      <c r="F378" s="28">
        <f ca="1">VLOOKUP(B378,OF!A1:I139,IF(Settings!$J$13="points",4,7),FALSE)</f>
        <v>93</v>
      </c>
      <c r="G378" s="29">
        <f>(M378*Settings!$B$2)+(N378*Settings!$B$3)+(O378*Settings!$B$4)+(P378*Settings!$B$5)+(Q378*Settings!$B$6)+(T378*Settings!$B$9)+(U378*Settings!$B$10)+(V378*Settings!$B$11)+(W378*Settings!$B$12)+(X378*Settings!$B$13)+(AA378*Settings!$B$16)</f>
        <v>250.76666666666662</v>
      </c>
      <c r="H378" s="30">
        <f>VLOOKUP(B378,'Standard Deviations'!$A1:$D651,4,FALSE)</f>
        <v>-1.4621625544954697</v>
      </c>
      <c r="I378" s="31">
        <f ca="1">VLOOKUP(B378,OF!A1:I139,IF(Settings!$J$13="points",6,9),FALSE)</f>
        <v>-1.5808810714532933</v>
      </c>
      <c r="J378" s="30"/>
      <c r="K378" s="30">
        <f ca="1">J378-A378</f>
        <v>-331</v>
      </c>
      <c r="L378" s="30"/>
      <c r="M378" s="30">
        <f>VLOOKUP($B378,Hitters!$A1:$R401,4,FALSE)</f>
        <v>318.66666666666703</v>
      </c>
      <c r="N378" s="30">
        <f>VLOOKUP($B378,Hitters!$A1:$R401,5,FALSE)</f>
        <v>38.933333333333302</v>
      </c>
      <c r="O378" s="30">
        <f>VLOOKUP($B378,Hitters!$A1:$R401,6,FALSE)</f>
        <v>15.133333333333301</v>
      </c>
      <c r="P378" s="30">
        <f>VLOOKUP($B378,Hitters!$A1:$R401,7,FALSE)</f>
        <v>48.6666666666667</v>
      </c>
      <c r="Q378" s="30">
        <f>VLOOKUP($B378,Hitters!$A1:$R401,8,FALSE)</f>
        <v>0.6</v>
      </c>
      <c r="R378" s="32">
        <f>VLOOKUP($B378,Hitters!$A1:$R401,9,FALSE)</f>
        <v>0.24905857740585799</v>
      </c>
      <c r="S378" s="32">
        <f>VLOOKUP($B378,Hitters!$A1:$R401,10,FALSE)</f>
        <v>0.30463791389462402</v>
      </c>
      <c r="T378" s="30">
        <f>VLOOKUP($B378,Hitters!$A1:$R401,11,FALSE)</f>
        <v>79.366666666666703</v>
      </c>
      <c r="U378" s="30">
        <f>VLOOKUP($B378,Hitters!$A1:$R401,12,FALSE)</f>
        <v>15.866666666666699</v>
      </c>
      <c r="V378" s="30">
        <f>VLOOKUP($B378,Hitters!$A1:$R401,13,FALSE)</f>
        <v>0.43333333333333302</v>
      </c>
      <c r="W378" s="30">
        <f>VLOOKUP($B378,Hitters!$A1:$R401,14,FALSE)</f>
        <v>26.866666666666699</v>
      </c>
      <c r="X378" s="30">
        <f>VLOOKUP($B378,Hitters!$A1:$R401,15,FALSE)</f>
        <v>75.6666666666667</v>
      </c>
      <c r="Y378" s="32">
        <f>VLOOKUP($B378,Hitters!$A1:$R401,16,FALSE)</f>
        <v>0.44403765690376601</v>
      </c>
      <c r="Z378" s="32">
        <f>VLOOKUP($B378,Hitters!$A1:$R401,17,FALSE)</f>
        <v>0.74867557079838998</v>
      </c>
      <c r="AA378" s="30">
        <f>VLOOKUP($B378,Hitters!$A1:$R401,18,FALSE)</f>
        <v>0</v>
      </c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</row>
    <row r="379" spans="1:44" ht="18.600000000000001" customHeight="1">
      <c r="A379" s="24">
        <f ca="1">RANK(I379,I$2:I$651)</f>
        <v>550</v>
      </c>
      <c r="B379" s="25" t="s">
        <v>647</v>
      </c>
      <c r="C379" s="26" t="s">
        <v>142</v>
      </c>
      <c r="D379" s="26" t="s">
        <v>70</v>
      </c>
      <c r="E379" s="47" t="s">
        <v>11</v>
      </c>
      <c r="F379" s="48">
        <f ca="1">VLOOKUP(B379,'2B'!A1:I50,IF(Settings!$J$13="points",4,7),FALSE)</f>
        <v>40</v>
      </c>
      <c r="G379" s="29">
        <f>(M379*Settings!$B$2)+(N379*Settings!$B$3)+(O379*Settings!$B$4)+(P379*Settings!$B$5)+(Q379*Settings!$B$6)+(T379*Settings!$B$9)+(U379*Settings!$B$10)+(V379*Settings!$B$11)+(W379*Settings!$B$12)+(X379*Settings!$B$13)+(AA379*Settings!$B$16)</f>
        <v>249.23333333333335</v>
      </c>
      <c r="H379" s="30">
        <f>VLOOKUP(B379,'Standard Deviations'!$A1:$D651,4,FALSE)</f>
        <v>-1.9876812461590556</v>
      </c>
      <c r="I379" s="31">
        <f ca="1">IF(Settings!$J$16="no",VLOOKUP(B379,'2B'!A1:I50,IF(Settings!$J$13="points",6,9),FALSE),VLOOKUP(B379,'2B+SS'!$A1:$I94,IF(Settings!$J$13="points",6,9),FALSE))</f>
        <v>-4.2954179951769547</v>
      </c>
      <c r="J379" s="30"/>
      <c r="K379" s="30">
        <f ca="1">J379-A379</f>
        <v>-550</v>
      </c>
      <c r="L379" s="30"/>
      <c r="M379" s="30">
        <f>VLOOKUP($B379,Hitters!$A1:$R401,4,FALSE)</f>
        <v>353.33333333333297</v>
      </c>
      <c r="N379" s="30">
        <f>VLOOKUP($B379,Hitters!$A1:$R401,5,FALSE)</f>
        <v>39.633333333333297</v>
      </c>
      <c r="O379" s="30">
        <f>VLOOKUP($B379,Hitters!$A1:$R401,6,FALSE)</f>
        <v>11.633333333333301</v>
      </c>
      <c r="P379" s="30">
        <f>VLOOKUP($B379,Hitters!$A1:$R401,7,FALSE)</f>
        <v>44.6</v>
      </c>
      <c r="Q379" s="30">
        <f>VLOOKUP($B379,Hitters!$A1:$R401,8,FALSE)</f>
        <v>1.7333333333333301</v>
      </c>
      <c r="R379" s="32">
        <f>VLOOKUP($B379,Hitters!$A1:$R401,9,FALSE)</f>
        <v>0.24698113207547201</v>
      </c>
      <c r="S379" s="32">
        <f>VLOOKUP($B379,Hitters!$A1:$R401,10,FALSE)</f>
        <v>0.28852920478536198</v>
      </c>
      <c r="T379" s="30">
        <f>VLOOKUP($B379,Hitters!$A1:$R401,11,FALSE)</f>
        <v>87.266666666666694</v>
      </c>
      <c r="U379" s="30">
        <f>VLOOKUP($B379,Hitters!$A1:$R401,12,FALSE)</f>
        <v>18.966666666666701</v>
      </c>
      <c r="V379" s="30">
        <f>VLOOKUP($B379,Hitters!$A1:$R401,13,FALSE)</f>
        <v>0.56666666666666698</v>
      </c>
      <c r="W379" s="30">
        <f>VLOOKUP($B379,Hitters!$A1:$R401,14,FALSE)</f>
        <v>22.066666666666698</v>
      </c>
      <c r="X379" s="30">
        <f>VLOOKUP($B379,Hitters!$A1:$R401,15,FALSE)</f>
        <v>67.933333333333294</v>
      </c>
      <c r="Y379" s="32">
        <f>VLOOKUP($B379,Hitters!$A1:$R401,16,FALSE)</f>
        <v>0.40264150943396199</v>
      </c>
      <c r="Z379" s="32">
        <f>VLOOKUP($B379,Hitters!$A1:$R401,17,FALSE)</f>
        <v>0.69117071421932497</v>
      </c>
      <c r="AA379" s="30">
        <f>VLOOKUP($B379,Hitters!$A1:$R401,18,FALSE)</f>
        <v>0</v>
      </c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</row>
    <row r="380" spans="1:44" ht="18.600000000000001" customHeight="1">
      <c r="A380" s="24">
        <f ca="1">RANK(I380,I$2:I$651)</f>
        <v>290</v>
      </c>
      <c r="B380" s="25" t="s">
        <v>386</v>
      </c>
      <c r="C380" s="26" t="s">
        <v>74</v>
      </c>
      <c r="D380" s="26" t="s">
        <v>75</v>
      </c>
      <c r="E380" s="45" t="s">
        <v>19</v>
      </c>
      <c r="F380" s="46">
        <f ca="1">VLOOKUP(B380,'C'!A1:I54,IF(Settings!$J$13="points",4,7),FALSE)</f>
        <v>14</v>
      </c>
      <c r="G380" s="29">
        <f>(M380*Settings!$B$2)+(N380*Settings!$B$3)+(O380*Settings!$B$4)+(P380*Settings!$B$5)+(Q380*Settings!$B$6)+(T380*Settings!$B$9)+(U380*Settings!$B$10)+(V380*Settings!$B$11)+(W380*Settings!$B$12)+(X380*Settings!$B$13)+(AA380*Settings!$B$16)</f>
        <v>248.71666666666647</v>
      </c>
      <c r="H380" s="30">
        <f>VLOOKUP(B380,'Standard Deviations'!$A1:$D651,4,FALSE)</f>
        <v>-1.0740329641838748</v>
      </c>
      <c r="I380" s="31">
        <f ca="1">VLOOKUP(B380,'C'!A1:I54,IF(Settings!$J$13="points",6,9),FALSE)</f>
        <v>-0.7569403867457144</v>
      </c>
      <c r="J380" s="30"/>
      <c r="K380" s="30">
        <f ca="1">J380-A380</f>
        <v>-290</v>
      </c>
      <c r="L380" s="30"/>
      <c r="M380" s="30">
        <f>VLOOKUP($B380,Hitters!$A1:$R401,4,FALSE)</f>
        <v>326.33333333333297</v>
      </c>
      <c r="N380" s="30">
        <f>VLOOKUP($B380,Hitters!$A1:$R401,5,FALSE)</f>
        <v>43.366666666666703</v>
      </c>
      <c r="O380" s="30">
        <f>VLOOKUP($B380,Hitters!$A1:$R401,6,FALSE)</f>
        <v>13.3333333333333</v>
      </c>
      <c r="P380" s="30">
        <f>VLOOKUP($B380,Hitters!$A1:$R401,7,FALSE)</f>
        <v>47.366666666666703</v>
      </c>
      <c r="Q380" s="30">
        <f>VLOOKUP($B380,Hitters!$A1:$R401,8,FALSE)</f>
        <v>0.233333333333333</v>
      </c>
      <c r="R380" s="32">
        <f>VLOOKUP($B380,Hitters!$A1:$R401,9,FALSE)</f>
        <v>0.25985699693564901</v>
      </c>
      <c r="S380" s="32">
        <f>VLOOKUP($B380,Hitters!$A1:$R401,10,FALSE)</f>
        <v>0.303625105491234</v>
      </c>
      <c r="T380" s="30">
        <f>VLOOKUP($B380,Hitters!$A1:$R401,11,FALSE)</f>
        <v>84.8</v>
      </c>
      <c r="U380" s="30">
        <f>VLOOKUP($B380,Hitters!$A1:$R401,12,FALSE)</f>
        <v>17.733333333333299</v>
      </c>
      <c r="V380" s="30">
        <f>VLOOKUP($B380,Hitters!$A1:$R401,13,FALSE)</f>
        <v>0.56666666666666698</v>
      </c>
      <c r="W380" s="30">
        <f>VLOOKUP($B380,Hitters!$A1:$R401,14,FALSE)</f>
        <v>21.933333333333302</v>
      </c>
      <c r="X380" s="30">
        <f>VLOOKUP($B380,Hitters!$A1:$R401,15,FALSE)</f>
        <v>79.433333333333294</v>
      </c>
      <c r="Y380" s="32">
        <f>VLOOKUP($B380,Hitters!$A1:$R401,16,FALSE)</f>
        <v>0.44024514811031701</v>
      </c>
      <c r="Z380" s="32">
        <f>VLOOKUP($B380,Hitters!$A1:$R401,17,FALSE)</f>
        <v>0.74387025360155001</v>
      </c>
      <c r="AA380" s="30">
        <f>VLOOKUP($B380,Hitters!$A1:$R401,18,FALSE)</f>
        <v>0</v>
      </c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</row>
    <row r="381" spans="1:44" ht="18.600000000000001" customHeight="1">
      <c r="A381" s="24">
        <f ca="1">RANK(I381,I$2:I$651)</f>
        <v>346</v>
      </c>
      <c r="B381" s="25" t="s">
        <v>444</v>
      </c>
      <c r="C381" s="26" t="s">
        <v>260</v>
      </c>
      <c r="D381" s="26" t="s">
        <v>70</v>
      </c>
      <c r="E381" s="35" t="s">
        <v>31</v>
      </c>
      <c r="F381" s="36">
        <f ca="1">VLOOKUP(B381,SP!A1:I161,IF(Settings!$J$13="points",4,7),FALSE)</f>
        <v>103</v>
      </c>
      <c r="G381" s="29">
        <f>(AC381*Settings!$F$2)+(AF381*Settings!$F$5)+(AG381*Settings!$F$6)+(AH381*Settings!$F$7)+(AI381*Settings!$F$8)+(AJ381*Settings!$F$9)+(AK381*Settings!$F$10)+(AL381*Settings!$F$11)+(AM381*Settings!$F$12)+(AN381*Settings!$F$13)+(AO381*Settings!$F$14)+(AP381*Settings!$F$15)+(AQ381*Settings!$F$16)+(AR381*Settings!$F$17)</f>
        <v>248.46199999999999</v>
      </c>
      <c r="H381" s="30">
        <f>VLOOKUP(B381,'Standard Deviations'!$A1:$D651,4,FALSE)</f>
        <v>-1.6819054893064389</v>
      </c>
      <c r="I381" s="31">
        <f ca="1">IF(Settings!$J$16="no",VLOOKUP(B381,SP!A1:I161,IF(Settings!$J$13="points",6,9),FALSE),VLOOKUP(B381,'SP+RP'!$A1:$I251,IF(Settings!$J$13="points",6,9),FALSE))</f>
        <v>-1.8178870853716285</v>
      </c>
      <c r="J381" s="30"/>
      <c r="K381" s="30">
        <f ca="1">J381-A381</f>
        <v>-346</v>
      </c>
      <c r="L381" s="30"/>
      <c r="M381" s="30"/>
      <c r="N381" s="30"/>
      <c r="O381" s="30"/>
      <c r="P381" s="30"/>
      <c r="Q381" s="30"/>
      <c r="R381" s="32"/>
      <c r="S381" s="32"/>
      <c r="T381" s="30"/>
      <c r="U381" s="30"/>
      <c r="V381" s="30"/>
      <c r="W381" s="30"/>
      <c r="X381" s="30"/>
      <c r="Y381" s="32"/>
      <c r="Z381" s="32"/>
      <c r="AA381" s="30"/>
      <c r="AB381" s="30"/>
      <c r="AC381" s="30">
        <f>VLOOKUP($B381,Pitchers!$A1:$S251,4,FALSE)</f>
        <v>120.45</v>
      </c>
      <c r="AD381" s="32">
        <f>VLOOKUP($B381,Pitchers!$A1:$S251,5,FALSE)</f>
        <v>4.1255043586550428</v>
      </c>
      <c r="AE381" s="32">
        <f>VLOOKUP($B381,Pitchers!$A1:$S251,6,FALSE)</f>
        <v>1.2266500622665006</v>
      </c>
      <c r="AF381" s="30">
        <f>VLOOKUP($B381,Pitchers!$A1:$S251,7,FALSE)</f>
        <v>108.55</v>
      </c>
      <c r="AG381" s="30">
        <f>VLOOKUP($B381,Pitchers!$A1:$S251,8,FALSE)</f>
        <v>5.9</v>
      </c>
      <c r="AH381" s="30">
        <f>VLOOKUP($B381,Pitchers!$A1:$S251,9,FALSE)</f>
        <v>0</v>
      </c>
      <c r="AI381" s="30">
        <f>VLOOKUP($B381,Pitchers!$A1:$S251,10,FALSE)</f>
        <v>55.212999999999994</v>
      </c>
      <c r="AJ381" s="30">
        <f>VLOOKUP($B381,Pitchers!$A1:$S251,11,FALSE)</f>
        <v>111.95</v>
      </c>
      <c r="AK381" s="30">
        <f>VLOOKUP($B381,Pitchers!$A1:$S251,12,FALSE)</f>
        <v>35.799999999999997</v>
      </c>
      <c r="AL381" s="30">
        <f>VLOOKUP($B381,Pitchers!$A1:$S251,13,FALSE)</f>
        <v>22</v>
      </c>
      <c r="AM381" s="30">
        <f>VLOOKUP($B381,Pitchers!$A1:$S251,14,FALSE)</f>
        <v>24.65</v>
      </c>
      <c r="AN381" s="30">
        <f>VLOOKUP($B381,Pitchers!$A1:$S251,15,FALSE)</f>
        <v>24.15</v>
      </c>
      <c r="AO381" s="30">
        <f>VLOOKUP($B381,Pitchers!$A1:$S251,16,FALSE)</f>
        <v>8.9</v>
      </c>
      <c r="AP381" s="30">
        <f>VLOOKUP($B381,Pitchers!$A1:$S251,17,FALSE)</f>
        <v>13</v>
      </c>
      <c r="AQ381" s="30">
        <f>VLOOKUP($B381,Pitchers!$A1:$S251,18,FALSE)</f>
        <v>0</v>
      </c>
      <c r="AR381" s="30">
        <f>VLOOKUP($B381,Pitchers!$A1:$S251,19,FALSE)</f>
        <v>0</v>
      </c>
    </row>
    <row r="382" spans="1:44" ht="18.600000000000001" customHeight="1">
      <c r="A382" s="24">
        <f ca="1">RANK(I382,I$2:I$651)</f>
        <v>127</v>
      </c>
      <c r="B382" s="25" t="s">
        <v>222</v>
      </c>
      <c r="C382" s="26" t="s">
        <v>158</v>
      </c>
      <c r="D382" s="26" t="s">
        <v>70</v>
      </c>
      <c r="E382" s="41" t="s">
        <v>34</v>
      </c>
      <c r="F382" s="42">
        <f ca="1">VLOOKUP(B382,RP!A1:I91,IF(Settings!$J$13="points",4,7),FALSE)</f>
        <v>10</v>
      </c>
      <c r="G382" s="29">
        <f>(AC382*Settings!$F$2)+(AF382*Settings!$F$5)+(AG382*Settings!$F$6)+(AH382*Settings!$F$7)+(AI382*Settings!$F$8)+(AJ382*Settings!$F$9)+(AK382*Settings!$F$10)+(AL382*Settings!$F$11)+(AM382*Settings!$F$12)+(AN382*Settings!$F$13)+(AO382*Settings!$F$14)+(AP382*Settings!$F$15)+(AQ382*Settings!$F$16)+(AR382*Settings!$F$17)</f>
        <v>247.8666666666667</v>
      </c>
      <c r="H382" s="30">
        <f>VLOOKUP(B382,'Standard Deviations'!$A1:$D651,4,FALSE)</f>
        <v>3.7573611650874223</v>
      </c>
      <c r="I382" s="31">
        <f ca="1">IF(Settings!$J$16="no",VLOOKUP(B382,RP!A1:I91,IF(Settings!$J$13="points",6,9),FALSE),VLOOKUP(B382,'SP+RP'!$A1:$I251,IF(Settings!$J$13="points",6,9),FALSE))</f>
        <v>2.1862982844729819</v>
      </c>
      <c r="J382" s="30"/>
      <c r="K382" s="30">
        <f ca="1">J382-A382</f>
        <v>-127</v>
      </c>
      <c r="L382" s="30"/>
      <c r="M382" s="30"/>
      <c r="N382" s="30"/>
      <c r="O382" s="30"/>
      <c r="P382" s="30"/>
      <c r="Q382" s="30"/>
      <c r="R382" s="32"/>
      <c r="S382" s="32"/>
      <c r="T382" s="30"/>
      <c r="U382" s="30"/>
      <c r="V382" s="30"/>
      <c r="W382" s="30"/>
      <c r="X382" s="30"/>
      <c r="Y382" s="32"/>
      <c r="Z382" s="32"/>
      <c r="AA382" s="30"/>
      <c r="AB382" s="30"/>
      <c r="AC382" s="30">
        <f>VLOOKUP($B382,Pitchers!$A1:$S251,4,FALSE)</f>
        <v>70.8</v>
      </c>
      <c r="AD382" s="32">
        <f>VLOOKUP($B382,Pitchers!$A1:$S251,5,FALSE)</f>
        <v>2.3644067796610169</v>
      </c>
      <c r="AE382" s="32">
        <f>VLOOKUP($B382,Pitchers!$A1:$S251,6,FALSE)</f>
        <v>1.0494350282485876</v>
      </c>
      <c r="AF382" s="30">
        <f>VLOOKUP($B382,Pitchers!$A1:$S251,7,FALSE)</f>
        <v>92.333333333333329</v>
      </c>
      <c r="AG382" s="30">
        <f>VLOOKUP($B382,Pitchers!$A1:$S251,8,FALSE)</f>
        <v>2.9333333333333336</v>
      </c>
      <c r="AH382" s="30">
        <f>VLOOKUP($B382,Pitchers!$A1:$S251,9,FALSE)</f>
        <v>11.333333333333334</v>
      </c>
      <c r="AI382" s="30">
        <f>VLOOKUP($B382,Pitchers!$A1:$S251,10,FALSE)</f>
        <v>18.599999999999998</v>
      </c>
      <c r="AJ382" s="30">
        <f>VLOOKUP($B382,Pitchers!$A1:$S251,11,FALSE)</f>
        <v>53.466666666666669</v>
      </c>
      <c r="AK382" s="30">
        <f>VLOOKUP($B382,Pitchers!$A1:$S251,12,FALSE)</f>
        <v>20.833333333333332</v>
      </c>
      <c r="AL382" s="30">
        <f>VLOOKUP($B382,Pitchers!$A1:$S251,13,FALSE)</f>
        <v>5</v>
      </c>
      <c r="AM382" s="30">
        <f>VLOOKUP($B382,Pitchers!$A1:$S251,14,FALSE)</f>
        <v>61.300000000000004</v>
      </c>
      <c r="AN382" s="30">
        <f>VLOOKUP($B382,Pitchers!$A1:$S251,15,FALSE)</f>
        <v>0</v>
      </c>
      <c r="AO382" s="30">
        <f>VLOOKUP($B382,Pitchers!$A1:$S251,16,FALSE)</f>
        <v>3.5333333333333332</v>
      </c>
      <c r="AP382" s="30">
        <f>VLOOKUP($B382,Pitchers!$A1:$S251,17,FALSE)</f>
        <v>0</v>
      </c>
      <c r="AQ382" s="30">
        <f>VLOOKUP($B382,Pitchers!$A1:$S251,18,FALSE)</f>
        <v>19.5</v>
      </c>
      <c r="AR382" s="30">
        <f>VLOOKUP($B382,Pitchers!$A1:$S251,19,FALSE)</f>
        <v>3</v>
      </c>
    </row>
    <row r="383" spans="1:44" ht="18.600000000000001" customHeight="1">
      <c r="A383" s="24">
        <f ca="1">RANK(I383,I$2:I$651)</f>
        <v>527</v>
      </c>
      <c r="B383" s="25" t="s">
        <v>624</v>
      </c>
      <c r="C383" s="26" t="s">
        <v>125</v>
      </c>
      <c r="D383" s="26" t="s">
        <v>75</v>
      </c>
      <c r="E383" s="47" t="s">
        <v>11</v>
      </c>
      <c r="F383" s="48">
        <f ca="1">VLOOKUP(B383,'2B'!A1:I50,IF(Settings!$J$13="points",4,7),FALSE)</f>
        <v>37</v>
      </c>
      <c r="G383" s="29">
        <f>(M383*Settings!$B$2)+(N383*Settings!$B$3)+(O383*Settings!$B$4)+(P383*Settings!$B$5)+(Q383*Settings!$B$6)+(T383*Settings!$B$9)+(U383*Settings!$B$10)+(V383*Settings!$B$11)+(W383*Settings!$B$12)+(X383*Settings!$B$13)+(AA383*Settings!$B$16)</f>
        <v>247.36666666666656</v>
      </c>
      <c r="H383" s="30">
        <f>VLOOKUP(B383,'Standard Deviations'!$A1:$D651,4,FALSE)</f>
        <v>-1.5715192801047912</v>
      </c>
      <c r="I383" s="31">
        <f ca="1">IF(Settings!$J$16="no",VLOOKUP(B383,'2B'!A1:I50,IF(Settings!$J$13="points",6,9),FALSE),VLOOKUP(B383,'2B+SS'!$A1:$I94,IF(Settings!$J$13="points",6,9),FALSE))</f>
        <v>-3.8792514844527926</v>
      </c>
      <c r="J383" s="30"/>
      <c r="K383" s="30">
        <f ca="1">J383-A383</f>
        <v>-527</v>
      </c>
      <c r="L383" s="30"/>
      <c r="M383" s="30">
        <f>VLOOKUP($B383,Hitters!$A1:$R401,4,FALSE)</f>
        <v>335.33333333333297</v>
      </c>
      <c r="N383" s="30">
        <f>VLOOKUP($B383,Hitters!$A1:$R401,5,FALSE)</f>
        <v>47.933333333333302</v>
      </c>
      <c r="O383" s="30">
        <f>VLOOKUP($B383,Hitters!$A1:$R401,6,FALSE)</f>
        <v>16.3333333333333</v>
      </c>
      <c r="P383" s="30">
        <f>VLOOKUP($B383,Hitters!$A1:$R401,7,FALSE)</f>
        <v>45.533333333333303</v>
      </c>
      <c r="Q383" s="30">
        <f>VLOOKUP($B383,Hitters!$A1:$R401,8,FALSE)</f>
        <v>1.9666666666666699</v>
      </c>
      <c r="R383" s="32">
        <f>VLOOKUP($B383,Hitters!$A1:$R401,9,FALSE)</f>
        <v>0.234095427435388</v>
      </c>
      <c r="S383" s="32">
        <f>VLOOKUP($B383,Hitters!$A1:$R401,10,FALSE)</f>
        <v>0.29332947055841202</v>
      </c>
      <c r="T383" s="30">
        <f>VLOOKUP($B383,Hitters!$A1:$R401,11,FALSE)</f>
        <v>78.5</v>
      </c>
      <c r="U383" s="30">
        <f>VLOOKUP($B383,Hitters!$A1:$R401,12,FALSE)</f>
        <v>15.6666666666667</v>
      </c>
      <c r="V383" s="30">
        <f>VLOOKUP($B383,Hitters!$A1:$R401,13,FALSE)</f>
        <v>0.5</v>
      </c>
      <c r="W383" s="30">
        <f>VLOOKUP($B383,Hitters!$A1:$R401,14,FALSE)</f>
        <v>29.5</v>
      </c>
      <c r="X383" s="30">
        <f>VLOOKUP($B383,Hitters!$A1:$R401,15,FALSE)</f>
        <v>112.4</v>
      </c>
      <c r="Y383" s="32">
        <f>VLOOKUP($B383,Hitters!$A1:$R401,16,FALSE)</f>
        <v>0.42992047713717702</v>
      </c>
      <c r="Z383" s="32">
        <f>VLOOKUP($B383,Hitters!$A1:$R401,17,FALSE)</f>
        <v>0.72324994769558903</v>
      </c>
      <c r="AA383" s="30">
        <f>VLOOKUP($B383,Hitters!$A1:$R401,18,FALSE)</f>
        <v>0</v>
      </c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</row>
    <row r="384" spans="1:44" ht="18.600000000000001" customHeight="1">
      <c r="A384" s="24">
        <f ca="1">RANK(I384,I$2:I$651)</f>
        <v>363</v>
      </c>
      <c r="B384" s="25" t="s">
        <v>460</v>
      </c>
      <c r="C384" s="26" t="s">
        <v>97</v>
      </c>
      <c r="D384" s="26" t="s">
        <v>75</v>
      </c>
      <c r="E384" s="33" t="s">
        <v>15</v>
      </c>
      <c r="F384" s="34">
        <f ca="1">VLOOKUP(B384,'3B'!A1:I55,IF(Settings!$J$13="points",4,7),FALSE)</f>
        <v>30</v>
      </c>
      <c r="G384" s="29">
        <f>(M384*Settings!$B$2)+(N384*Settings!$B$3)+(O384*Settings!$B$4)+(P384*Settings!$B$5)+(Q384*Settings!$B$6)+(T384*Settings!$B$9)+(U384*Settings!$B$10)+(V384*Settings!$B$11)+(W384*Settings!$B$12)+(X384*Settings!$B$13)+(AA384*Settings!$B$16)</f>
        <v>246.9666666666669</v>
      </c>
      <c r="H384" s="30">
        <f>VLOOKUP(B384,'Standard Deviations'!$A1:$D651,4,FALSE)</f>
        <v>-1.2683697558940734</v>
      </c>
      <c r="I384" s="31">
        <f ca="1">IF(Settings!$J$15="no",VLOOKUP(B384,'3B'!A1:I55,IF(Settings!$J$13="points",6,9),FALSE),VLOOKUP(B384,'1B+3B'!$A1:$I104,IF(Settings!$J$13="points",6,9),FALSE))</f>
        <v>-1.9960498929426782</v>
      </c>
      <c r="J384" s="30"/>
      <c r="K384" s="30">
        <f ca="1">J384-A384</f>
        <v>-363</v>
      </c>
      <c r="L384" s="30"/>
      <c r="M384" s="30">
        <f>VLOOKUP($B384,Hitters!$A1:$R401,4,FALSE)</f>
        <v>318.26666666666699</v>
      </c>
      <c r="N384" s="30">
        <f>VLOOKUP($B384,Hitters!$A1:$R401,5,FALSE)</f>
        <v>43.4</v>
      </c>
      <c r="O384" s="30">
        <f>VLOOKUP($B384,Hitters!$A1:$R401,6,FALSE)</f>
        <v>14.466666666666701</v>
      </c>
      <c r="P384" s="30">
        <f>VLOOKUP($B384,Hitters!$A1:$R401,7,FALSE)</f>
        <v>44.433333333333302</v>
      </c>
      <c r="Q384" s="30">
        <f>VLOOKUP($B384,Hitters!$A1:$R401,8,FALSE)</f>
        <v>1.0333333333333301</v>
      </c>
      <c r="R384" s="32">
        <f>VLOOKUP($B384,Hitters!$A1:$R401,9,FALSE)</f>
        <v>0.253246753246753</v>
      </c>
      <c r="S384" s="32">
        <f>VLOOKUP($B384,Hitters!$A1:$R401,10,FALSE)</f>
        <v>0.32062492713069801</v>
      </c>
      <c r="T384" s="30">
        <f>VLOOKUP($B384,Hitters!$A1:$R401,11,FALSE)</f>
        <v>80.599999999999994</v>
      </c>
      <c r="U384" s="30">
        <f>VLOOKUP($B384,Hitters!$A1:$R401,12,FALSE)</f>
        <v>14.466666666666701</v>
      </c>
      <c r="V384" s="30">
        <f>VLOOKUP($B384,Hitters!$A1:$R401,13,FALSE)</f>
        <v>0</v>
      </c>
      <c r="W384" s="30">
        <f>VLOOKUP($B384,Hitters!$A1:$R401,14,FALSE)</f>
        <v>33.066666666666698</v>
      </c>
      <c r="X384" s="30">
        <f>VLOOKUP($B384,Hitters!$A1:$R401,15,FALSE)</f>
        <v>86.8</v>
      </c>
      <c r="Y384" s="32">
        <f>VLOOKUP($B384,Hitters!$A1:$R401,16,FALSE)</f>
        <v>0.43506493506493499</v>
      </c>
      <c r="Z384" s="32">
        <f>VLOOKUP($B384,Hitters!$A1:$R401,17,FALSE)</f>
        <v>0.75568986219563405</v>
      </c>
      <c r="AA384" s="30">
        <f>VLOOKUP($B384,Hitters!$A1:$R401,18,FALSE)</f>
        <v>0</v>
      </c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</row>
    <row r="385" spans="1:44" ht="18.600000000000001" customHeight="1">
      <c r="A385" s="24">
        <f ca="1">RANK(I385,I$2:I$651)</f>
        <v>333</v>
      </c>
      <c r="B385" s="25" t="s">
        <v>430</v>
      </c>
      <c r="C385" s="26" t="s">
        <v>219</v>
      </c>
      <c r="D385" s="26" t="s">
        <v>75</v>
      </c>
      <c r="E385" s="35" t="s">
        <v>31</v>
      </c>
      <c r="F385" s="36">
        <f ca="1">VLOOKUP(B385,SP!A1:I161,IF(Settings!$J$13="points",4,7),FALSE)</f>
        <v>96</v>
      </c>
      <c r="G385" s="29">
        <f>(AC385*Settings!$F$2)+(AF385*Settings!$F$5)+(AG385*Settings!$F$6)+(AH385*Settings!$F$7)+(AI385*Settings!$F$8)+(AJ385*Settings!$F$9)+(AK385*Settings!$F$10)+(AL385*Settings!$F$11)+(AM385*Settings!$F$12)+(AN385*Settings!$F$13)+(AO385*Settings!$F$14)+(AP385*Settings!$F$15)+(AQ385*Settings!$F$16)+(AR385*Settings!$F$17)</f>
        <v>245.51666666666668</v>
      </c>
      <c r="H385" s="30">
        <f>VLOOKUP(B385,'Standard Deviations'!$A1:$D651,4,FALSE)</f>
        <v>-1.4474188008657571</v>
      </c>
      <c r="I385" s="31">
        <f ca="1">IF(Settings!$J$16="no",VLOOKUP(B385,SP!A1:I161,IF(Settings!$J$13="points",6,9),FALSE),VLOOKUP(B385,'SP+RP'!$A1:$I251,IF(Settings!$J$13="points",6,9),FALSE))</f>
        <v>-1.5834059358063377</v>
      </c>
      <c r="J385" s="30"/>
      <c r="K385" s="30">
        <f ca="1">J385-A385</f>
        <v>-333</v>
      </c>
      <c r="L385" s="30"/>
      <c r="M385" s="30"/>
      <c r="N385" s="30"/>
      <c r="O385" s="30"/>
      <c r="P385" s="30"/>
      <c r="Q385" s="30"/>
      <c r="R385" s="32"/>
      <c r="S385" s="32"/>
      <c r="T385" s="30"/>
      <c r="U385" s="30"/>
      <c r="V385" s="30"/>
      <c r="W385" s="30"/>
      <c r="X385" s="30"/>
      <c r="Y385" s="32"/>
      <c r="Z385" s="32"/>
      <c r="AA385" s="30"/>
      <c r="AB385" s="30"/>
      <c r="AC385" s="30">
        <f>VLOOKUP($B385,Pitchers!$A1:$S251,4,FALSE)</f>
        <v>116.73333333333333</v>
      </c>
      <c r="AD385" s="32">
        <f>VLOOKUP($B385,Pitchers!$A1:$S251,5,FALSE)</f>
        <v>4.1684751570531118</v>
      </c>
      <c r="AE385" s="32">
        <f>VLOOKUP($B385,Pitchers!$A1:$S251,6,FALSE)</f>
        <v>1.2438606510565391</v>
      </c>
      <c r="AF385" s="30">
        <f>VLOOKUP($B385,Pitchers!$A1:$S251,7,FALSE)</f>
        <v>116.76666666666667</v>
      </c>
      <c r="AG385" s="30">
        <f>VLOOKUP($B385,Pitchers!$A1:$S251,8,FALSE)</f>
        <v>6.9333333333333336</v>
      </c>
      <c r="AH385" s="30">
        <f>VLOOKUP($B385,Pitchers!$A1:$S251,9,FALSE)</f>
        <v>0</v>
      </c>
      <c r="AI385" s="30">
        <f>VLOOKUP($B385,Pitchers!$A1:$S251,10,FALSE)</f>
        <v>54.066666666666663</v>
      </c>
      <c r="AJ385" s="30">
        <f>VLOOKUP($B385,Pitchers!$A1:$S251,11,FALSE)</f>
        <v>113.93333333333334</v>
      </c>
      <c r="AK385" s="30">
        <f>VLOOKUP($B385,Pitchers!$A1:$S251,12,FALSE)</f>
        <v>31.266666666666666</v>
      </c>
      <c r="AL385" s="30">
        <f>VLOOKUP($B385,Pitchers!$A1:$S251,13,FALSE)</f>
        <v>14</v>
      </c>
      <c r="AM385" s="30">
        <f>VLOOKUP($B385,Pitchers!$A1:$S251,14,FALSE)</f>
        <v>27.033333333333331</v>
      </c>
      <c r="AN385" s="30">
        <f>VLOOKUP($B385,Pitchers!$A1:$S251,15,FALSE)</f>
        <v>21.366666666666664</v>
      </c>
      <c r="AO385" s="30">
        <f>VLOOKUP($B385,Pitchers!$A1:$S251,16,FALSE)</f>
        <v>7.2666666666666666</v>
      </c>
      <c r="AP385" s="30">
        <f>VLOOKUP($B385,Pitchers!$A1:$S251,17,FALSE)</f>
        <v>8</v>
      </c>
      <c r="AQ385" s="30">
        <f>VLOOKUP($B385,Pitchers!$A1:$S251,18,FALSE)</f>
        <v>0</v>
      </c>
      <c r="AR385" s="30">
        <f>VLOOKUP($B385,Pitchers!$A1:$S251,19,FALSE)</f>
        <v>0</v>
      </c>
    </row>
    <row r="386" spans="1:44" ht="20.100000000000001" customHeight="1">
      <c r="A386" s="24">
        <f ca="1">RANK(I386,I$2:I$651)</f>
        <v>355</v>
      </c>
      <c r="B386" s="25" t="s">
        <v>452</v>
      </c>
      <c r="C386" s="26" t="s">
        <v>85</v>
      </c>
      <c r="D386" s="26" t="s">
        <v>70</v>
      </c>
      <c r="E386" s="33" t="s">
        <v>15</v>
      </c>
      <c r="F386" s="34">
        <f ca="1">VLOOKUP(B386,'3B'!A1:I55,IF(Settings!$J$13="points",4,7),FALSE)</f>
        <v>29</v>
      </c>
      <c r="G386" s="29">
        <f>(M386*Settings!$B$2)+(N386*Settings!$B$3)+(O386*Settings!$B$4)+(P386*Settings!$B$5)+(Q386*Settings!$B$6)+(T386*Settings!$B$9)+(U386*Settings!$B$10)+(V386*Settings!$B$11)+(W386*Settings!$B$12)+(X386*Settings!$B$13)+(AA386*Settings!$B$16)</f>
        <v>245.45000000000013</v>
      </c>
      <c r="H386" s="30">
        <f>VLOOKUP(B386,'Standard Deviations'!$A1:$D651,4,FALSE)</f>
        <v>-1.1861244773623556</v>
      </c>
      <c r="I386" s="31">
        <f ca="1">IF(Settings!$J$15="no",VLOOKUP(B386,'3B'!A1:I55,IF(Settings!$J$13="points",6,9),FALSE),VLOOKUP(B386,'1B+3B'!$A1:$I104,IF(Settings!$J$13="points",6,9),FALSE))</f>
        <v>-1.9138050885382651</v>
      </c>
      <c r="J386" s="30"/>
      <c r="K386" s="30">
        <f ca="1">J386-A386</f>
        <v>-355</v>
      </c>
      <c r="L386" s="30"/>
      <c r="M386" s="30">
        <f>VLOOKUP($B386,Hitters!$A1:$R401,4,FALSE)</f>
        <v>337.33333333333297</v>
      </c>
      <c r="N386" s="30">
        <f>VLOOKUP($B386,Hitters!$A1:$R401,5,FALSE)</f>
        <v>41.366666666666703</v>
      </c>
      <c r="O386" s="30">
        <f>VLOOKUP($B386,Hitters!$A1:$R401,6,FALSE)</f>
        <v>9.3666666666666707</v>
      </c>
      <c r="P386" s="30">
        <f>VLOOKUP($B386,Hitters!$A1:$R401,7,FALSE)</f>
        <v>42.8</v>
      </c>
      <c r="Q386" s="30">
        <f>VLOOKUP($B386,Hitters!$A1:$R401,8,FALSE)</f>
        <v>1.2333333333333301</v>
      </c>
      <c r="R386" s="32">
        <f>VLOOKUP($B386,Hitters!$A1:$R401,9,FALSE)</f>
        <v>0.27084980237154199</v>
      </c>
      <c r="S386" s="32">
        <f>VLOOKUP($B386,Hitters!$A1:$R401,10,FALSE)</f>
        <v>0.31856939838938902</v>
      </c>
      <c r="T386" s="30">
        <f>VLOOKUP($B386,Hitters!$A1:$R401,11,FALSE)</f>
        <v>91.366666666666703</v>
      </c>
      <c r="U386" s="30">
        <f>VLOOKUP($B386,Hitters!$A1:$R401,12,FALSE)</f>
        <v>17.566666666666698</v>
      </c>
      <c r="V386" s="30">
        <f>VLOOKUP($B386,Hitters!$A1:$R401,13,FALSE)</f>
        <v>1.7666666666666699</v>
      </c>
      <c r="W386" s="30">
        <f>VLOOKUP($B386,Hitters!$A1:$R401,14,FALSE)</f>
        <v>25.2</v>
      </c>
      <c r="X386" s="30">
        <f>VLOOKUP($B386,Hitters!$A1:$R401,15,FALSE)</f>
        <v>71.3</v>
      </c>
      <c r="Y386" s="32">
        <f>VLOOKUP($B386,Hitters!$A1:$R401,16,FALSE)</f>
        <v>0.41669960474308299</v>
      </c>
      <c r="Z386" s="32">
        <f>VLOOKUP($B386,Hitters!$A1:$R401,17,FALSE)</f>
        <v>0.73526900313247201</v>
      </c>
      <c r="AA386" s="30">
        <f>VLOOKUP($B386,Hitters!$A1:$R401,18,FALSE)</f>
        <v>0</v>
      </c>
      <c r="AB386" s="30"/>
      <c r="AC386" s="30"/>
      <c r="AD386" s="32"/>
      <c r="AE386" s="32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</row>
    <row r="387" spans="1:44" ht="20.100000000000001" customHeight="1">
      <c r="A387" s="24">
        <f ca="1">RANK(I387,I$2:I$651)</f>
        <v>564</v>
      </c>
      <c r="B387" s="25" t="s">
        <v>660</v>
      </c>
      <c r="C387" s="26" t="s">
        <v>82</v>
      </c>
      <c r="D387" s="26" t="s">
        <v>75</v>
      </c>
      <c r="E387" s="37" t="s">
        <v>27</v>
      </c>
      <c r="F387" s="38">
        <f ca="1">VLOOKUP(B387,SS!A1:I45,IF(Settings!$J$13="points",4,7),FALSE)</f>
        <v>29</v>
      </c>
      <c r="G387" s="29">
        <f>(M387*Settings!$B$2)+(N387*Settings!$B$3)+(O387*Settings!$B$4)+(P387*Settings!$B$5)+(Q387*Settings!$B$6)+(T387*Settings!$B$9)+(U387*Settings!$B$10)+(V387*Settings!$B$11)+(W387*Settings!$B$12)+(X387*Settings!$B$13)+(AA387*Settings!$B$16)</f>
        <v>245.18333333333342</v>
      </c>
      <c r="H387" s="30">
        <f>VLOOKUP(B387,'Standard Deviations'!$A1:$D651,4,FALSE)</f>
        <v>-1.6118405407855236</v>
      </c>
      <c r="I387" s="31">
        <f ca="1">IF(Settings!$J$16="no",VLOOKUP(B387,SS!A1:I45,IF(Settings!$J$13="points",6,9),FALSE),VLOOKUP(B387,'2B+SS'!$A1:$I94,IF(Settings!$J$13="points",6,9),FALSE))</f>
        <v>-4.6162693135745609</v>
      </c>
      <c r="J387" s="30"/>
      <c r="K387" s="30">
        <f ca="1">J387-A387</f>
        <v>-564</v>
      </c>
      <c r="L387" s="30"/>
      <c r="M387" s="30">
        <f>VLOOKUP($B387,Hitters!$A1:$R401,4,FALSE)</f>
        <v>343.66666666666703</v>
      </c>
      <c r="N387" s="30">
        <f>VLOOKUP($B387,Hitters!$A1:$R401,5,FALSE)</f>
        <v>39.966666666666697</v>
      </c>
      <c r="O387" s="30">
        <f>VLOOKUP($B387,Hitters!$A1:$R401,6,FALSE)</f>
        <v>6.1</v>
      </c>
      <c r="P387" s="30">
        <f>VLOOKUP($B387,Hitters!$A1:$R401,7,FALSE)</f>
        <v>35.466666666666697</v>
      </c>
      <c r="Q387" s="30">
        <f>VLOOKUP($B387,Hitters!$A1:$R401,8,FALSE)</f>
        <v>7.93333333333333</v>
      </c>
      <c r="R387" s="32">
        <f>VLOOKUP($B387,Hitters!$A1:$R401,9,FALSE)</f>
        <v>0.25809893307468501</v>
      </c>
      <c r="S387" s="32">
        <f>VLOOKUP($B387,Hitters!$A1:$R401,10,FALSE)</f>
        <v>0.302812277972138</v>
      </c>
      <c r="T387" s="30">
        <f>VLOOKUP($B387,Hitters!$A1:$R401,11,FALSE)</f>
        <v>88.7</v>
      </c>
      <c r="U387" s="30">
        <f>VLOOKUP($B387,Hitters!$A1:$R401,12,FALSE)</f>
        <v>18.366666666666699</v>
      </c>
      <c r="V387" s="30">
        <f>VLOOKUP($B387,Hitters!$A1:$R401,13,FALSE)</f>
        <v>1.7</v>
      </c>
      <c r="W387" s="30">
        <f>VLOOKUP($B387,Hitters!$A1:$R401,14,FALSE)</f>
        <v>23.533333333333299</v>
      </c>
      <c r="X387" s="30">
        <f>VLOOKUP($B387,Hitters!$A1:$R401,15,FALSE)</f>
        <v>49.1666666666667</v>
      </c>
      <c r="Y387" s="32">
        <f>VLOOKUP($B387,Hitters!$A1:$R401,16,FALSE)</f>
        <v>0.37468477206595502</v>
      </c>
      <c r="Z387" s="32">
        <f>VLOOKUP($B387,Hitters!$A1:$R401,17,FALSE)</f>
        <v>0.67749705003809302</v>
      </c>
      <c r="AA387" s="30">
        <f>VLOOKUP($B387,Hitters!$A1:$R401,18,FALSE)</f>
        <v>0</v>
      </c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</row>
    <row r="388" spans="1:44" ht="20.100000000000001" customHeight="1">
      <c r="A388" s="24">
        <f ca="1">RANK(I388,I$2:I$651)</f>
        <v>303</v>
      </c>
      <c r="B388" s="25" t="s">
        <v>400</v>
      </c>
      <c r="C388" s="26" t="s">
        <v>116</v>
      </c>
      <c r="D388" s="26" t="s">
        <v>70</v>
      </c>
      <c r="E388" s="27" t="s">
        <v>23</v>
      </c>
      <c r="F388" s="28">
        <f ca="1">VLOOKUP(B388,OF!A1:I139,IF(Settings!$J$13="points",4,7),FALSE)</f>
        <v>85</v>
      </c>
      <c r="G388" s="29">
        <f>(M388*Settings!$B$2)+(N388*Settings!$B$3)+(O388*Settings!$B$4)+(P388*Settings!$B$5)+(Q388*Settings!$B$6)+(T388*Settings!$B$9)+(U388*Settings!$B$10)+(V388*Settings!$B$11)+(W388*Settings!$B$12)+(X388*Settings!$B$13)+(AA388*Settings!$B$16)</f>
        <v>244.04999999999998</v>
      </c>
      <c r="H388" s="30">
        <f>VLOOKUP(B388,'Standard Deviations'!$A1:$D651,4,FALSE)</f>
        <v>-0.83629341059336493</v>
      </c>
      <c r="I388" s="31">
        <f ca="1">VLOOKUP(B388,OF!A1:I139,IF(Settings!$J$13="points",6,9),FALSE)</f>
        <v>-0.95500638419866934</v>
      </c>
      <c r="J388" s="30"/>
      <c r="K388" s="30">
        <f ca="1">J388-A388</f>
        <v>-303</v>
      </c>
      <c r="L388" s="30"/>
      <c r="M388" s="30">
        <f>VLOOKUP($B388,Hitters!$A1:$R401,4,FALSE)</f>
        <v>323.5</v>
      </c>
      <c r="N388" s="30">
        <f>VLOOKUP($B388,Hitters!$A1:$R401,5,FALSE)</f>
        <v>42.15</v>
      </c>
      <c r="O388" s="30">
        <f>VLOOKUP($B388,Hitters!$A1:$R401,6,FALSE)</f>
        <v>14.15</v>
      </c>
      <c r="P388" s="30">
        <f>VLOOKUP($B388,Hitters!$A1:$R401,7,FALSE)</f>
        <v>45.3</v>
      </c>
      <c r="Q388" s="30">
        <f>VLOOKUP($B388,Hitters!$A1:$R401,8,FALSE)</f>
        <v>2.75</v>
      </c>
      <c r="R388" s="32">
        <f>VLOOKUP($B388,Hitters!$A1:$R401,9,FALSE)</f>
        <v>0.25795981452859401</v>
      </c>
      <c r="S388" s="32">
        <f>VLOOKUP($B388,Hitters!$A1:$R401,10,FALSE)</f>
        <v>0.29976830198454402</v>
      </c>
      <c r="T388" s="30">
        <f>VLOOKUP($B388,Hitters!$A1:$R401,11,FALSE)</f>
        <v>83.45</v>
      </c>
      <c r="U388" s="30">
        <f>VLOOKUP($B388,Hitters!$A1:$R401,12,FALSE)</f>
        <v>14.7</v>
      </c>
      <c r="V388" s="30">
        <f>VLOOKUP($B388,Hitters!$A1:$R401,13,FALSE)</f>
        <v>1.2</v>
      </c>
      <c r="W388" s="30">
        <f>VLOOKUP($B388,Hitters!$A1:$R401,14,FALSE)</f>
        <v>20.7</v>
      </c>
      <c r="X388" s="30">
        <f>VLOOKUP($B388,Hitters!$A1:$R401,15,FALSE)</f>
        <v>85.3</v>
      </c>
      <c r="Y388" s="32">
        <f>VLOOKUP($B388,Hitters!$A1:$R401,16,FALSE)</f>
        <v>0.442040185471406</v>
      </c>
      <c r="Z388" s="32">
        <f>VLOOKUP($B388,Hitters!$A1:$R401,17,FALSE)</f>
        <v>0.74180848745594996</v>
      </c>
      <c r="AA388" s="30">
        <f>VLOOKUP($B388,Hitters!$A1:$R401,18,FALSE)</f>
        <v>0</v>
      </c>
      <c r="AB388" s="30"/>
      <c r="AC388" s="30"/>
      <c r="AD388" s="32"/>
      <c r="AE388" s="32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</row>
    <row r="389" spans="1:44" ht="18.600000000000001" customHeight="1">
      <c r="A389" s="24">
        <f ca="1">RANK(I389,I$2:I$651)</f>
        <v>544</v>
      </c>
      <c r="B389" s="25" t="s">
        <v>641</v>
      </c>
      <c r="C389" s="26"/>
      <c r="D389" s="26" t="s">
        <v>70</v>
      </c>
      <c r="E389" s="39" t="s">
        <v>7</v>
      </c>
      <c r="F389" s="40">
        <f ca="1">VLOOKUP(B389,'1B'!A1:I63,IF(Settings!$J$13="points",4,7),FALSE)</f>
        <v>42</v>
      </c>
      <c r="G389" s="29">
        <f>(M389*Settings!$B$2)+(N389*Settings!$B$3)+(O389*Settings!$B$4)+(P389*Settings!$B$5)+(Q389*Settings!$B$6)+(T389*Settings!$B$9)+(U389*Settings!$B$10)+(V389*Settings!$B$11)+(W389*Settings!$B$12)+(X389*Settings!$B$13)+(AA389*Settings!$B$16)</f>
        <v>244.01666666666688</v>
      </c>
      <c r="H389" s="30">
        <f>VLOOKUP(B389,'Standard Deviations'!$A1:$D651,4,FALSE)</f>
        <v>-1.6186269556968558</v>
      </c>
      <c r="I389" s="31">
        <f ca="1">IF(Settings!$J$15="no",VLOOKUP(B389,'1B'!A1:I63,IF(Settings!$J$13="points",6,9),FALSE),VLOOKUP(B389,'1B+3B'!$A1:$I104,IF(Settings!$J$13="points",6,9),FALSE))</f>
        <v>-4.1981528225003997</v>
      </c>
      <c r="J389" s="30"/>
      <c r="K389" s="30">
        <f ca="1">J389-A389</f>
        <v>-544</v>
      </c>
      <c r="L389" s="30"/>
      <c r="M389" s="30">
        <f>VLOOKUP($B389,Hitters!$A1:$R401,4,FALSE)</f>
        <v>320.33333333333297</v>
      </c>
      <c r="N389" s="30">
        <f>VLOOKUP($B389,Hitters!$A1:$R401,5,FALSE)</f>
        <v>42.566666666666698</v>
      </c>
      <c r="O389" s="30">
        <f>VLOOKUP($B389,Hitters!$A1:$R401,6,FALSE)</f>
        <v>16.866666666666699</v>
      </c>
      <c r="P389" s="30">
        <f>VLOOKUP($B389,Hitters!$A1:$R401,7,FALSE)</f>
        <v>49.7</v>
      </c>
      <c r="Q389" s="30">
        <f>VLOOKUP($B389,Hitters!$A1:$R401,8,FALSE)</f>
        <v>0.83333333333333304</v>
      </c>
      <c r="R389" s="32">
        <f>VLOOKUP($B389,Hitters!$A1:$R401,9,FALSE)</f>
        <v>0.23631633714880301</v>
      </c>
      <c r="S389" s="32">
        <f>VLOOKUP($B389,Hitters!$A1:$R401,10,FALSE)</f>
        <v>0.30617482106363297</v>
      </c>
      <c r="T389" s="30">
        <f>VLOOKUP($B389,Hitters!$A1:$R401,11,FALSE)</f>
        <v>75.7</v>
      </c>
      <c r="U389" s="30">
        <f>VLOOKUP($B389,Hitters!$A1:$R401,12,FALSE)</f>
        <v>13</v>
      </c>
      <c r="V389" s="30">
        <f>VLOOKUP($B389,Hitters!$A1:$R401,13,FALSE)</f>
        <v>0.43333333333333302</v>
      </c>
      <c r="W389" s="30">
        <f>VLOOKUP($B389,Hitters!$A1:$R401,14,FALSE)</f>
        <v>33.6666666666667</v>
      </c>
      <c r="X389" s="30">
        <f>VLOOKUP($B389,Hitters!$A1:$R401,15,FALSE)</f>
        <v>108.1</v>
      </c>
      <c r="Y389" s="32">
        <f>VLOOKUP($B389,Hitters!$A1:$R401,16,FALSE)</f>
        <v>0.43756503642039601</v>
      </c>
      <c r="Z389" s="32">
        <f>VLOOKUP($B389,Hitters!$A1:$R401,17,FALSE)</f>
        <v>0.74373985748402904</v>
      </c>
      <c r="AA389" s="30">
        <f>VLOOKUP($B389,Hitters!$A1:$R401,18,FALSE)</f>
        <v>0</v>
      </c>
      <c r="AB389" s="30"/>
      <c r="AC389" s="30"/>
      <c r="AD389" s="32"/>
      <c r="AE389" s="32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</row>
    <row r="390" spans="1:44" ht="18.600000000000001" customHeight="1">
      <c r="A390" s="24">
        <f ca="1">RANK(I390,I$2:I$651)</f>
        <v>367</v>
      </c>
      <c r="B390" s="25" t="s">
        <v>465</v>
      </c>
      <c r="C390" s="26" t="s">
        <v>97</v>
      </c>
      <c r="D390" s="26" t="s">
        <v>75</v>
      </c>
      <c r="E390" s="27" t="s">
        <v>23</v>
      </c>
      <c r="F390" s="28">
        <f ca="1">VLOOKUP(B390,OF!A1:I139,IF(Settings!$J$13="points",4,7),FALSE)</f>
        <v>104</v>
      </c>
      <c r="G390" s="29">
        <f>(M390*Settings!$B$2)+(N390*Settings!$B$3)+(O390*Settings!$B$4)+(P390*Settings!$B$5)+(Q390*Settings!$B$6)+(T390*Settings!$B$9)+(U390*Settings!$B$10)+(V390*Settings!$B$11)+(W390*Settings!$B$12)+(X390*Settings!$B$13)+(AA390*Settings!$B$16)</f>
        <v>240.91666666666663</v>
      </c>
      <c r="H390" s="30">
        <f>VLOOKUP(B390,'Standard Deviations'!$A1:$D651,4,FALSE)</f>
        <v>-1.9170813216589466</v>
      </c>
      <c r="I390" s="31">
        <f ca="1">VLOOKUP(B390,OF!A1:I139,IF(Settings!$J$13="points",6,9),FALSE)</f>
        <v>-2.0357976742800092</v>
      </c>
      <c r="J390" s="30"/>
      <c r="K390" s="30">
        <f ca="1">J390-A390</f>
        <v>-367</v>
      </c>
      <c r="L390" s="30"/>
      <c r="M390" s="30">
        <f>VLOOKUP($B390,Hitters!$A1:$R401,4,FALSE)</f>
        <v>333.66666666666703</v>
      </c>
      <c r="N390" s="30">
        <f>VLOOKUP($B390,Hitters!$A1:$R401,5,FALSE)</f>
        <v>47.966666666666697</v>
      </c>
      <c r="O390" s="30">
        <f>VLOOKUP($B390,Hitters!$A1:$R401,6,FALSE)</f>
        <v>10.3</v>
      </c>
      <c r="P390" s="30">
        <f>VLOOKUP($B390,Hitters!$A1:$R401,7,FALSE)</f>
        <v>37.133333333333297</v>
      </c>
      <c r="Q390" s="30">
        <f>VLOOKUP($B390,Hitters!$A1:$R401,8,FALSE)</f>
        <v>7.43333333333333</v>
      </c>
      <c r="R390" s="32">
        <f>VLOOKUP($B390,Hitters!$A1:$R401,9,FALSE)</f>
        <v>0.233566433566434</v>
      </c>
      <c r="S390" s="32">
        <f>VLOOKUP($B390,Hitters!$A1:$R401,10,FALSE)</f>
        <v>0.31239217559784499</v>
      </c>
      <c r="T390" s="30">
        <f>VLOOKUP($B390,Hitters!$A1:$R401,11,FALSE)</f>
        <v>77.933333333333294</v>
      </c>
      <c r="U390" s="30">
        <f>VLOOKUP($B390,Hitters!$A1:$R401,12,FALSE)</f>
        <v>13.733333333333301</v>
      </c>
      <c r="V390" s="30">
        <f>VLOOKUP($B390,Hitters!$A1:$R401,13,FALSE)</f>
        <v>0.96666666666666701</v>
      </c>
      <c r="W390" s="30">
        <f>VLOOKUP($B390,Hitters!$A1:$R401,14,FALSE)</f>
        <v>39.766666666666701</v>
      </c>
      <c r="X390" s="30">
        <f>VLOOKUP($B390,Hitters!$A1:$R401,15,FALSE)</f>
        <v>96.633333333333297</v>
      </c>
      <c r="Y390" s="32">
        <f>VLOOKUP($B390,Hitters!$A1:$R401,16,FALSE)</f>
        <v>0.37312687312687298</v>
      </c>
      <c r="Z390" s="32">
        <f>VLOOKUP($B390,Hitters!$A1:$R401,17,FALSE)</f>
        <v>0.68551904872471803</v>
      </c>
      <c r="AA390" s="30">
        <f>VLOOKUP($B390,Hitters!$A1:$R401,18,FALSE)</f>
        <v>0</v>
      </c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</row>
    <row r="391" spans="1:44" ht="18.600000000000001" customHeight="1">
      <c r="A391" s="24">
        <f ca="1">RANK(I391,I$2:I$651)</f>
        <v>304</v>
      </c>
      <c r="B391" s="25" t="s">
        <v>403</v>
      </c>
      <c r="C391" s="26" t="s">
        <v>158</v>
      </c>
      <c r="D391" s="26" t="s">
        <v>70</v>
      </c>
      <c r="E391" s="35" t="s">
        <v>31</v>
      </c>
      <c r="F391" s="36">
        <f ca="1">VLOOKUP(B391,SP!A1:I161,IF(Settings!$J$13="points",4,7),FALSE)</f>
        <v>91</v>
      </c>
      <c r="G391" s="29">
        <f>(AC391*Settings!$F$2)+(AF391*Settings!$F$5)+(AG391*Settings!$F$6)+(AH391*Settings!$F$7)+(AI391*Settings!$F$8)+(AJ391*Settings!$F$9)+(AK391*Settings!$F$10)+(AL391*Settings!$F$11)+(AM391*Settings!$F$12)+(AN391*Settings!$F$13)+(AO391*Settings!$F$14)+(AP391*Settings!$F$15)+(AQ391*Settings!$F$16)+(AR391*Settings!$F$17)</f>
        <v>239.27866666666674</v>
      </c>
      <c r="H391" s="30">
        <f>VLOOKUP(B391,'Standard Deviations'!$A1:$D651,4,FALSE)</f>
        <v>-0.83017752150200153</v>
      </c>
      <c r="I391" s="31">
        <f ca="1">IF(Settings!$J$16="no",VLOOKUP(B391,SP!A1:I161,IF(Settings!$J$13="points",6,9),FALSE),VLOOKUP(B391,'SP+RP'!$A1:$I251,IF(Settings!$J$13="points",6,9),FALSE))</f>
        <v>-0.96616093483247711</v>
      </c>
      <c r="J391" s="30"/>
      <c r="K391" s="30">
        <f ca="1">J391-A391</f>
        <v>-304</v>
      </c>
      <c r="L391" s="30"/>
      <c r="M391" s="30"/>
      <c r="N391" s="30"/>
      <c r="O391" s="30"/>
      <c r="P391" s="30"/>
      <c r="Q391" s="30"/>
      <c r="R391" s="32"/>
      <c r="S391" s="32"/>
      <c r="T391" s="30"/>
      <c r="U391" s="30"/>
      <c r="V391" s="30"/>
      <c r="W391" s="30"/>
      <c r="X391" s="30"/>
      <c r="Y391" s="32"/>
      <c r="Z391" s="32"/>
      <c r="AA391" s="30"/>
      <c r="AB391" s="30"/>
      <c r="AC391" s="30">
        <f>VLOOKUP($B391,Pitchers!$A1:$S251,4,FALSE)</f>
        <v>114.7</v>
      </c>
      <c r="AD391" s="32">
        <f>VLOOKUP($B391,Pitchers!$A1:$S251,5,FALSE)</f>
        <v>3.889642545771578</v>
      </c>
      <c r="AE391" s="32">
        <f>VLOOKUP($B391,Pitchers!$A1:$S251,6,FALSE)</f>
        <v>1.181633246149375</v>
      </c>
      <c r="AF391" s="30">
        <f>VLOOKUP($B391,Pitchers!$A1:$S251,7,FALSE)</f>
        <v>109.7</v>
      </c>
      <c r="AG391" s="30">
        <f>VLOOKUP($B391,Pitchers!$A1:$S251,8,FALSE)</f>
        <v>5.6333333333333329</v>
      </c>
      <c r="AH391" s="30">
        <f>VLOOKUP($B391,Pitchers!$A1:$S251,9,FALSE)</f>
        <v>0</v>
      </c>
      <c r="AI391" s="30">
        <f>VLOOKUP($B391,Pitchers!$A1:$S251,10,FALSE)</f>
        <v>49.571333333333335</v>
      </c>
      <c r="AJ391" s="30">
        <f>VLOOKUP($B391,Pitchers!$A1:$S251,11,FALSE)</f>
        <v>108.36666666666667</v>
      </c>
      <c r="AK391" s="30">
        <f>VLOOKUP($B391,Pitchers!$A1:$S251,12,FALSE)</f>
        <v>27.166666666666668</v>
      </c>
      <c r="AL391" s="30">
        <f>VLOOKUP($B391,Pitchers!$A1:$S251,13,FALSE)</f>
        <v>15</v>
      </c>
      <c r="AM391" s="30">
        <f>VLOOKUP($B391,Pitchers!$A1:$S251,14,FALSE)</f>
        <v>24.366666666666664</v>
      </c>
      <c r="AN391" s="30">
        <f>VLOOKUP($B391,Pitchers!$A1:$S251,15,FALSE)</f>
        <v>21.033333333333335</v>
      </c>
      <c r="AO391" s="30">
        <f>VLOOKUP($B391,Pitchers!$A1:$S251,16,FALSE)</f>
        <v>6.3999999999999995</v>
      </c>
      <c r="AP391" s="30">
        <f>VLOOKUP($B391,Pitchers!$A1:$S251,17,FALSE)</f>
        <v>6</v>
      </c>
      <c r="AQ391" s="30">
        <f>VLOOKUP($B391,Pitchers!$A1:$S251,18,FALSE)</f>
        <v>0</v>
      </c>
      <c r="AR391" s="30">
        <f>VLOOKUP($B391,Pitchers!$A1:$S251,19,FALSE)</f>
        <v>0</v>
      </c>
    </row>
    <row r="392" spans="1:44" ht="18.600000000000001" customHeight="1">
      <c r="A392" s="24">
        <f ca="1">RANK(I392,I$2:I$651)</f>
        <v>487</v>
      </c>
      <c r="B392" s="25" t="s">
        <v>583</v>
      </c>
      <c r="C392" s="26" t="s">
        <v>69</v>
      </c>
      <c r="D392" s="26" t="s">
        <v>70</v>
      </c>
      <c r="E392" s="37" t="s">
        <v>27</v>
      </c>
      <c r="F392" s="38">
        <f ca="1">VLOOKUP(B392,SS!A1:I45,IF(Settings!$J$13="points",4,7),FALSE)</f>
        <v>25</v>
      </c>
      <c r="G392" s="29">
        <f>(M392*Settings!$B$2)+(N392*Settings!$B$3)+(O392*Settings!$B$4)+(P392*Settings!$B$5)+(Q392*Settings!$B$6)+(T392*Settings!$B$9)+(U392*Settings!$B$10)+(V392*Settings!$B$11)+(W392*Settings!$B$12)+(X392*Settings!$B$13)+(AA392*Settings!$B$16)</f>
        <v>239.18333333333331</v>
      </c>
      <c r="H392" s="30">
        <f>VLOOKUP(B392,'Standard Deviations'!$A1:$D651,4,FALSE)</f>
        <v>-0.48788879037869504</v>
      </c>
      <c r="I392" s="31">
        <f ca="1">IF(Settings!$J$16="no",VLOOKUP(B392,SS!A1:I45,IF(Settings!$J$13="points",6,9),FALSE),VLOOKUP(B392,'2B+SS'!$A1:$I94,IF(Settings!$J$13="points",6,9),FALSE))</f>
        <v>-3.4923099913295279</v>
      </c>
      <c r="J392" s="30"/>
      <c r="K392" s="30">
        <f ca="1">J392-A392</f>
        <v>-487</v>
      </c>
      <c r="L392" s="30"/>
      <c r="M392" s="30">
        <f>VLOOKUP($B392,Hitters!$A1:$R401,4,FALSE)</f>
        <v>350</v>
      </c>
      <c r="N392" s="30">
        <f>VLOOKUP($B392,Hitters!$A1:$R401,5,FALSE)</f>
        <v>43.7</v>
      </c>
      <c r="O392" s="30">
        <f>VLOOKUP($B392,Hitters!$A1:$R401,6,FALSE)</f>
        <v>3.93333333333333</v>
      </c>
      <c r="P392" s="30">
        <f>VLOOKUP($B392,Hitters!$A1:$R401,7,FALSE)</f>
        <v>31.4</v>
      </c>
      <c r="Q392" s="30">
        <f>VLOOKUP($B392,Hitters!$A1:$R401,8,FALSE)</f>
        <v>13.4</v>
      </c>
      <c r="R392" s="32">
        <f>VLOOKUP($B392,Hitters!$A1:$R401,9,FALSE)</f>
        <v>0.27019047619047598</v>
      </c>
      <c r="S392" s="32">
        <f>VLOOKUP($B392,Hitters!$A1:$R401,10,FALSE)</f>
        <v>0.30926551662813401</v>
      </c>
      <c r="T392" s="30">
        <f>VLOOKUP($B392,Hitters!$A1:$R401,11,FALSE)</f>
        <v>94.566666666666706</v>
      </c>
      <c r="U392" s="30">
        <f>VLOOKUP($B392,Hitters!$A1:$R401,12,FALSE)</f>
        <v>13.9333333333333</v>
      </c>
      <c r="V392" s="30">
        <f>VLOOKUP($B392,Hitters!$A1:$R401,13,FALSE)</f>
        <v>1.2</v>
      </c>
      <c r="W392" s="30">
        <f>VLOOKUP($B392,Hitters!$A1:$R401,14,FALSE)</f>
        <v>21.366666666666699</v>
      </c>
      <c r="X392" s="30">
        <f>VLOOKUP($B392,Hitters!$A1:$R401,15,FALSE)</f>
        <v>51.7</v>
      </c>
      <c r="Y392" s="32">
        <f>VLOOKUP($B392,Hitters!$A1:$R401,16,FALSE)</f>
        <v>0.35057142857142798</v>
      </c>
      <c r="Z392" s="32">
        <f>VLOOKUP($B392,Hitters!$A1:$R401,17,FALSE)</f>
        <v>0.65983694519956304</v>
      </c>
      <c r="AA392" s="30">
        <f>VLOOKUP($B392,Hitters!$A1:$R401,18,FALSE)</f>
        <v>0</v>
      </c>
      <c r="AB392" s="30"/>
      <c r="AC392" s="30"/>
      <c r="AD392" s="32"/>
      <c r="AE392" s="32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</row>
    <row r="393" spans="1:44" ht="18.600000000000001" customHeight="1">
      <c r="A393" s="24">
        <f ca="1">RANK(I393,I$2:I$651)</f>
        <v>364</v>
      </c>
      <c r="B393" s="25" t="s">
        <v>461</v>
      </c>
      <c r="C393" s="26" t="s">
        <v>309</v>
      </c>
      <c r="D393" s="26" t="s">
        <v>75</v>
      </c>
      <c r="E393" s="27" t="s">
        <v>23</v>
      </c>
      <c r="F393" s="28">
        <f ca="1">VLOOKUP(B393,OF!A1:I139,IF(Settings!$J$13="points",4,7),FALSE)</f>
        <v>101</v>
      </c>
      <c r="G393" s="29">
        <f>(M393*Settings!$B$2)+(N393*Settings!$B$3)+(O393*Settings!$B$4)+(P393*Settings!$B$5)+(Q393*Settings!$B$6)+(T393*Settings!$B$9)+(U393*Settings!$B$10)+(V393*Settings!$B$11)+(W393*Settings!$B$12)+(X393*Settings!$B$13)+(AA393*Settings!$B$16)</f>
        <v>238.88333333333327</v>
      </c>
      <c r="H393" s="30">
        <f>VLOOKUP(B393,'Standard Deviations'!$A1:$D651,4,FALSE)</f>
        <v>-1.8929014287448067</v>
      </c>
      <c r="I393" s="31">
        <f ca="1">VLOOKUP(B393,OF!A1:I139,IF(Settings!$J$13="points",6,9),FALSE)</f>
        <v>-2.0116126115575583</v>
      </c>
      <c r="J393" s="30"/>
      <c r="K393" s="30">
        <f ca="1">J393-A393</f>
        <v>-364</v>
      </c>
      <c r="L393" s="30"/>
      <c r="M393" s="30">
        <f>VLOOKUP($B393,Hitters!$A1:$R401,4,FALSE)</f>
        <v>386.33333333333297</v>
      </c>
      <c r="N393" s="30">
        <f>VLOOKUP($B393,Hitters!$A1:$R401,5,FALSE)</f>
        <v>44.7</v>
      </c>
      <c r="O393" s="30">
        <f>VLOOKUP($B393,Hitters!$A1:$R401,6,FALSE)</f>
        <v>7.3333333333333304</v>
      </c>
      <c r="P393" s="30">
        <f>VLOOKUP($B393,Hitters!$A1:$R401,7,FALSE)</f>
        <v>34.933333333333302</v>
      </c>
      <c r="Q393" s="30">
        <f>VLOOKUP($B393,Hitters!$A1:$R401,8,FALSE)</f>
        <v>14.3</v>
      </c>
      <c r="R393" s="32">
        <f>VLOOKUP($B393,Hitters!$A1:$R401,9,FALSE)</f>
        <v>0.22562553925798101</v>
      </c>
      <c r="S393" s="32">
        <f>VLOOKUP($B393,Hitters!$A1:$R401,10,FALSE)</f>
        <v>0.27179006560449898</v>
      </c>
      <c r="T393" s="30">
        <f>VLOOKUP($B393,Hitters!$A1:$R401,11,FALSE)</f>
        <v>87.1666666666667</v>
      </c>
      <c r="U393" s="30">
        <f>VLOOKUP($B393,Hitters!$A1:$R401,12,FALSE)</f>
        <v>18.133333333333301</v>
      </c>
      <c r="V393" s="30">
        <f>VLOOKUP($B393,Hitters!$A1:$R401,13,FALSE)</f>
        <v>1.9666666666666699</v>
      </c>
      <c r="W393" s="30">
        <f>VLOOKUP($B393,Hitters!$A1:$R401,14,FALSE)</f>
        <v>25.933333333333302</v>
      </c>
      <c r="X393" s="30">
        <f>VLOOKUP($B393,Hitters!$A1:$R401,15,FALSE)</f>
        <v>107.9</v>
      </c>
      <c r="Y393" s="32">
        <f>VLOOKUP($B393,Hitters!$A1:$R401,16,FALSE)</f>
        <v>0.33968938740293397</v>
      </c>
      <c r="Z393" s="32">
        <f>VLOOKUP($B393,Hitters!$A1:$R401,17,FALSE)</f>
        <v>0.61147945300743201</v>
      </c>
      <c r="AA393" s="30">
        <f>VLOOKUP($B393,Hitters!$A1:$R401,18,FALSE)</f>
        <v>0</v>
      </c>
      <c r="AB393" s="30"/>
      <c r="AC393" s="30"/>
      <c r="AD393" s="32"/>
      <c r="AE393" s="32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</row>
    <row r="394" spans="1:44" ht="18.600000000000001" customHeight="1">
      <c r="A394" s="24">
        <f ca="1">RANK(I394,I$2:I$651)</f>
        <v>581</v>
      </c>
      <c r="B394" s="25" t="s">
        <v>678</v>
      </c>
      <c r="C394" s="26" t="s">
        <v>122</v>
      </c>
      <c r="D394" s="26" t="s">
        <v>75</v>
      </c>
      <c r="E394" s="35" t="s">
        <v>31</v>
      </c>
      <c r="F394" s="36">
        <f ca="1">VLOOKUP(B394,SP!A1:I161,IF(Settings!$J$13="points",4,7),FALSE)</f>
        <v>158</v>
      </c>
      <c r="G394" s="29">
        <f>(AC394*Settings!$F$2)+(AF394*Settings!$F$5)+(AG394*Settings!$F$6)+(AH394*Settings!$F$7)+(AI394*Settings!$F$8)+(AJ394*Settings!$F$9)+(AK394*Settings!$F$10)+(AL394*Settings!$F$11)+(AM394*Settings!$F$12)+(AN394*Settings!$F$13)+(AO394*Settings!$F$14)+(AP394*Settings!$F$15)+(AQ394*Settings!$F$16)+(AR394*Settings!$F$17)</f>
        <v>238.77200000000005</v>
      </c>
      <c r="H394" s="30">
        <f>VLOOKUP(B394,'Standard Deviations'!$A1:$D651,4,FALSE)</f>
        <v>-4.7223622058404366</v>
      </c>
      <c r="I394" s="31">
        <f ca="1">IF(Settings!$J$16="no",VLOOKUP(B394,SP!A1:I161,IF(Settings!$J$13="points",6,9),FALSE),VLOOKUP(B394,'SP+RP'!$A1:$I251,IF(Settings!$J$13="points",6,9),FALSE))</f>
        <v>-4.8583441457452148</v>
      </c>
      <c r="J394" s="30"/>
      <c r="K394" s="30">
        <f ca="1">J394-A394</f>
        <v>-581</v>
      </c>
      <c r="L394" s="30"/>
      <c r="M394" s="30"/>
      <c r="N394" s="30"/>
      <c r="O394" s="30"/>
      <c r="P394" s="30"/>
      <c r="Q394" s="30"/>
      <c r="R394" s="32"/>
      <c r="S394" s="32"/>
      <c r="T394" s="30"/>
      <c r="U394" s="30"/>
      <c r="V394" s="30"/>
      <c r="W394" s="30"/>
      <c r="X394" s="30"/>
      <c r="Y394" s="32"/>
      <c r="Z394" s="32"/>
      <c r="AA394" s="30"/>
      <c r="AB394" s="30"/>
      <c r="AC394" s="30">
        <f>VLOOKUP($B394,Pitchers!$A1:$S251,4,FALSE)</f>
        <v>150.13333333333333</v>
      </c>
      <c r="AD394" s="32">
        <f>VLOOKUP($B394,Pitchers!$A1:$S251,5,FALSE)</f>
        <v>5.0841607460035529</v>
      </c>
      <c r="AE394" s="32">
        <f>VLOOKUP($B394,Pitchers!$A1:$S251,6,FALSE)</f>
        <v>1.3812166962699821</v>
      </c>
      <c r="AF394" s="30">
        <f>VLOOKUP($B394,Pitchers!$A1:$S251,7,FALSE)</f>
        <v>111.63333333333333</v>
      </c>
      <c r="AG394" s="30">
        <f>VLOOKUP($B394,Pitchers!$A1:$S251,8,FALSE)</f>
        <v>6.8666666666666671</v>
      </c>
      <c r="AH394" s="30">
        <f>VLOOKUP($B394,Pitchers!$A1:$S251,9,FALSE)</f>
        <v>0</v>
      </c>
      <c r="AI394" s="30">
        <f>VLOOKUP($B394,Pitchers!$A1:$S251,10,FALSE)</f>
        <v>84.811333333333337</v>
      </c>
      <c r="AJ394" s="30">
        <f>VLOOKUP($B394,Pitchers!$A1:$S251,11,FALSE)</f>
        <v>162.29999999999998</v>
      </c>
      <c r="AK394" s="30">
        <f>VLOOKUP($B394,Pitchers!$A1:$S251,12,FALSE)</f>
        <v>45.066666666666663</v>
      </c>
      <c r="AL394" s="30">
        <f>VLOOKUP($B394,Pitchers!$A1:$S251,13,FALSE)</f>
        <v>24</v>
      </c>
      <c r="AM394" s="30">
        <f>VLOOKUP($B394,Pitchers!$A1:$S251,14,FALSE)</f>
        <v>27.933333333333334</v>
      </c>
      <c r="AN394" s="30">
        <f>VLOOKUP($B394,Pitchers!$A1:$S251,15,FALSE)</f>
        <v>27.933333333333334</v>
      </c>
      <c r="AO394" s="30">
        <f>VLOOKUP($B394,Pitchers!$A1:$S251,16,FALSE)</f>
        <v>10.666666666666666</v>
      </c>
      <c r="AP394" s="30">
        <f>VLOOKUP($B394,Pitchers!$A1:$S251,17,FALSE)</f>
        <v>10</v>
      </c>
      <c r="AQ394" s="30">
        <f>VLOOKUP($B394,Pitchers!$A1:$S251,18,FALSE)</f>
        <v>0</v>
      </c>
      <c r="AR394" s="30">
        <f>VLOOKUP($B394,Pitchers!$A1:$S251,19,FALSE)</f>
        <v>0</v>
      </c>
    </row>
    <row r="395" spans="1:44" ht="18.600000000000001" customHeight="1">
      <c r="A395" s="24">
        <f ca="1">RANK(I395,I$2:I$651)</f>
        <v>342</v>
      </c>
      <c r="B395" s="25" t="s">
        <v>441</v>
      </c>
      <c r="C395" s="26" t="s">
        <v>116</v>
      </c>
      <c r="D395" s="26" t="s">
        <v>70</v>
      </c>
      <c r="E395" s="35" t="s">
        <v>31</v>
      </c>
      <c r="F395" s="36">
        <f ca="1">VLOOKUP(B395,SP!A1:I161,IF(Settings!$J$13="points",4,7),FALSE)</f>
        <v>102</v>
      </c>
      <c r="G395" s="29">
        <f>(AC395*Settings!$F$2)+(AF395*Settings!$F$5)+(AG395*Settings!$F$6)+(AH395*Settings!$F$7)+(AI395*Settings!$F$8)+(AJ395*Settings!$F$9)+(AK395*Settings!$F$10)+(AL395*Settings!$F$11)+(AM395*Settings!$F$12)+(AN395*Settings!$F$13)+(AO395*Settings!$F$14)+(AP395*Settings!$F$15)+(AQ395*Settings!$F$16)+(AR395*Settings!$F$17)</f>
        <v>238.14533333333333</v>
      </c>
      <c r="H395" s="30">
        <f>VLOOKUP(B395,'Standard Deviations'!$A1:$D651,4,FALSE)</f>
        <v>-1.6132803868456658</v>
      </c>
      <c r="I395" s="31">
        <f ca="1">IF(Settings!$J$16="no",VLOOKUP(B395,SP!A1:I161,IF(Settings!$J$13="points",6,9),FALSE),VLOOKUP(B395,'SP+RP'!$A1:$I251,IF(Settings!$J$13="points",6,9),FALSE))</f>
        <v>-1.7492621144202183</v>
      </c>
      <c r="J395" s="30"/>
      <c r="K395" s="30">
        <f ca="1">J395-A395</f>
        <v>-342</v>
      </c>
      <c r="L395" s="30"/>
      <c r="M395" s="30"/>
      <c r="N395" s="30"/>
      <c r="O395" s="30"/>
      <c r="P395" s="30"/>
      <c r="Q395" s="30"/>
      <c r="R395" s="32"/>
      <c r="S395" s="32"/>
      <c r="T395" s="30"/>
      <c r="U395" s="30"/>
      <c r="V395" s="30"/>
      <c r="W395" s="30"/>
      <c r="X395" s="30"/>
      <c r="Y395" s="32"/>
      <c r="Z395" s="32"/>
      <c r="AA395" s="30"/>
      <c r="AB395" s="30"/>
      <c r="AC395" s="30">
        <f>VLOOKUP($B395,Pitchers!$A1:$S251,4,FALSE)</f>
        <v>106.33333333333333</v>
      </c>
      <c r="AD395" s="32">
        <f>VLOOKUP($B395,Pitchers!$A1:$S251,5,FALSE)</f>
        <v>4.1717115987460822</v>
      </c>
      <c r="AE395" s="32">
        <f>VLOOKUP($B395,Pitchers!$A1:$S251,6,FALSE)</f>
        <v>1.2210031347962385</v>
      </c>
      <c r="AF395" s="30">
        <f>VLOOKUP($B395,Pitchers!$A1:$S251,7,FALSE)</f>
        <v>99.266666666666666</v>
      </c>
      <c r="AG395" s="30">
        <f>VLOOKUP($B395,Pitchers!$A1:$S251,8,FALSE)</f>
        <v>6.8999999999999995</v>
      </c>
      <c r="AH395" s="30">
        <f>VLOOKUP($B395,Pitchers!$A1:$S251,9,FALSE)</f>
        <v>0</v>
      </c>
      <c r="AI395" s="30">
        <f>VLOOKUP($B395,Pitchers!$A1:$S251,10,FALSE)</f>
        <v>49.288000000000004</v>
      </c>
      <c r="AJ395" s="30">
        <f>VLOOKUP($B395,Pitchers!$A1:$S251,11,FALSE)</f>
        <v>97.433333333333337</v>
      </c>
      <c r="AK395" s="30">
        <f>VLOOKUP($B395,Pitchers!$A1:$S251,12,FALSE)</f>
        <v>32.4</v>
      </c>
      <c r="AL395" s="30">
        <f>VLOOKUP($B395,Pitchers!$A1:$S251,13,FALSE)</f>
        <v>25</v>
      </c>
      <c r="AM395" s="30">
        <f>VLOOKUP($B395,Pitchers!$A1:$S251,14,FALSE)</f>
        <v>20.333333333333332</v>
      </c>
      <c r="AN395" s="30">
        <f>VLOOKUP($B395,Pitchers!$A1:$S251,15,FALSE)</f>
        <v>20</v>
      </c>
      <c r="AO395" s="30">
        <f>VLOOKUP($B395,Pitchers!$A1:$S251,16,FALSE)</f>
        <v>5.9333333333333336</v>
      </c>
      <c r="AP395" s="30">
        <f>VLOOKUP($B395,Pitchers!$A1:$S251,17,FALSE)</f>
        <v>10</v>
      </c>
      <c r="AQ395" s="30">
        <f>VLOOKUP($B395,Pitchers!$A1:$S251,18,FALSE)</f>
        <v>0</v>
      </c>
      <c r="AR395" s="30">
        <f>VLOOKUP($B395,Pitchers!$A1:$S251,19,FALSE)</f>
        <v>0</v>
      </c>
    </row>
    <row r="396" spans="1:44" ht="18.600000000000001" customHeight="1">
      <c r="A396" s="24">
        <f ca="1">RANK(I396,I$2:I$651)</f>
        <v>361</v>
      </c>
      <c r="B396" s="25" t="s">
        <v>459</v>
      </c>
      <c r="C396" s="26" t="s">
        <v>82</v>
      </c>
      <c r="D396" s="26" t="s">
        <v>75</v>
      </c>
      <c r="E396" s="27" t="s">
        <v>23</v>
      </c>
      <c r="F396" s="28">
        <f ca="1">VLOOKUP(B396,OF!A1:I139,IF(Settings!$J$13="points",4,7),FALSE)</f>
        <v>100</v>
      </c>
      <c r="G396" s="29">
        <f>(M396*Settings!$B$2)+(N396*Settings!$B$3)+(O396*Settings!$B$4)+(P396*Settings!$B$5)+(Q396*Settings!$B$6)+(T396*Settings!$B$9)+(U396*Settings!$B$10)+(V396*Settings!$B$11)+(W396*Settings!$B$12)+(X396*Settings!$B$13)+(AA396*Settings!$B$16)</f>
        <v>236.18333333333356</v>
      </c>
      <c r="H396" s="30">
        <f>VLOOKUP(B396,'Standard Deviations'!$A1:$D651,4,FALSE)</f>
        <v>-1.8654477139665393</v>
      </c>
      <c r="I396" s="31">
        <f ca="1">VLOOKUP(B396,OF!A1:I139,IF(Settings!$J$13="points",6,9),FALSE)</f>
        <v>-1.9841592914841957</v>
      </c>
      <c r="J396" s="30"/>
      <c r="K396" s="30">
        <f ca="1">J396-A396</f>
        <v>-361</v>
      </c>
      <c r="L396" s="30"/>
      <c r="M396" s="30">
        <f>VLOOKUP($B396,Hitters!$A1:$R401,4,FALSE)</f>
        <v>334.66666666666703</v>
      </c>
      <c r="N396" s="30">
        <f>VLOOKUP($B396,Hitters!$A1:$R401,5,FALSE)</f>
        <v>43.733333333333299</v>
      </c>
      <c r="O396" s="30">
        <f>VLOOKUP($B396,Hitters!$A1:$R401,6,FALSE)</f>
        <v>12.766666666666699</v>
      </c>
      <c r="P396" s="30">
        <f>VLOOKUP($B396,Hitters!$A1:$R401,7,FALSE)</f>
        <v>43.3333333333333</v>
      </c>
      <c r="Q396" s="30">
        <f>VLOOKUP($B396,Hitters!$A1:$R401,8,FALSE)</f>
        <v>5.0999999999999996</v>
      </c>
      <c r="R396" s="32">
        <f>VLOOKUP($B396,Hitters!$A1:$R401,9,FALSE)</f>
        <v>0.23356573705179301</v>
      </c>
      <c r="S396" s="32">
        <f>VLOOKUP($B396,Hitters!$A1:$R401,10,FALSE)</f>
        <v>0.29506981118425801</v>
      </c>
      <c r="T396" s="30">
        <f>VLOOKUP($B396,Hitters!$A1:$R401,11,FALSE)</f>
        <v>78.1666666666667</v>
      </c>
      <c r="U396" s="30">
        <f>VLOOKUP($B396,Hitters!$A1:$R401,12,FALSE)</f>
        <v>15.1</v>
      </c>
      <c r="V396" s="30">
        <f>VLOOKUP($B396,Hitters!$A1:$R401,13,FALSE)</f>
        <v>1.9</v>
      </c>
      <c r="W396" s="30">
        <f>VLOOKUP($B396,Hitters!$A1:$R401,14,FALSE)</f>
        <v>30.6</v>
      </c>
      <c r="X396" s="30">
        <f>VLOOKUP($B396,Hitters!$A1:$R401,15,FALSE)</f>
        <v>113.633333333333</v>
      </c>
      <c r="Y396" s="32">
        <f>VLOOKUP($B396,Hitters!$A1:$R401,16,FALSE)</f>
        <v>0.40448207171314698</v>
      </c>
      <c r="Z396" s="32">
        <f>VLOOKUP($B396,Hitters!$A1:$R401,17,FALSE)</f>
        <v>0.699551882897405</v>
      </c>
      <c r="AA396" s="30">
        <f>VLOOKUP($B396,Hitters!$A1:$R401,18,FALSE)</f>
        <v>0</v>
      </c>
      <c r="AB396" s="30"/>
      <c r="AC396" s="30"/>
      <c r="AD396" s="32"/>
      <c r="AE396" s="32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</row>
    <row r="397" spans="1:44" ht="20.100000000000001" customHeight="1">
      <c r="A397" s="24">
        <f ca="1">RANK(I397,I$2:I$651)</f>
        <v>442</v>
      </c>
      <c r="B397" s="25" t="s">
        <v>539</v>
      </c>
      <c r="C397" s="26" t="s">
        <v>116</v>
      </c>
      <c r="D397" s="26" t="s">
        <v>70</v>
      </c>
      <c r="E397" s="45" t="s">
        <v>19</v>
      </c>
      <c r="F397" s="46">
        <f ca="1">VLOOKUP(B397,'C'!A1:I54,IF(Settings!$J$13="points",4,7),FALSE)</f>
        <v>27</v>
      </c>
      <c r="G397" s="29">
        <f>(M397*Settings!$B$2)+(N397*Settings!$B$3)+(O397*Settings!$B$4)+(P397*Settings!$B$5)+(Q397*Settings!$B$6)+(T397*Settings!$B$9)+(U397*Settings!$B$10)+(V397*Settings!$B$11)+(W397*Settings!$B$12)+(X397*Settings!$B$13)+(AA397*Settings!$B$16)</f>
        <v>235.91666666666674</v>
      </c>
      <c r="H397" s="30">
        <f>VLOOKUP(B397,'Standard Deviations'!$A1:$D651,4,FALSE)</f>
        <v>-3.2161898412279921</v>
      </c>
      <c r="I397" s="31">
        <f ca="1">VLOOKUP(B397,'C'!A1:I54,IF(Settings!$J$13="points",6,9),FALSE)</f>
        <v>-2.8990983044292316</v>
      </c>
      <c r="J397" s="30"/>
      <c r="K397" s="30">
        <f ca="1">J397-A397</f>
        <v>-442</v>
      </c>
      <c r="L397" s="30"/>
      <c r="M397" s="30">
        <f>VLOOKUP($B397,Hitters!$A1:$R401,4,FALSE)</f>
        <v>301</v>
      </c>
      <c r="N397" s="30">
        <f>VLOOKUP($B397,Hitters!$A1:$R401,5,FALSE)</f>
        <v>39</v>
      </c>
      <c r="O397" s="30">
        <f>VLOOKUP($B397,Hitters!$A1:$R401,6,FALSE)</f>
        <v>12.6</v>
      </c>
      <c r="P397" s="30">
        <f>VLOOKUP($B397,Hitters!$A1:$R401,7,FALSE)</f>
        <v>40.766666666666701</v>
      </c>
      <c r="Q397" s="30">
        <f>VLOOKUP($B397,Hitters!$A1:$R401,8,FALSE)</f>
        <v>0.93333333333333302</v>
      </c>
      <c r="R397" s="32">
        <f>VLOOKUP($B397,Hitters!$A1:$R401,9,FALSE)</f>
        <v>0.22602436323366601</v>
      </c>
      <c r="S397" s="32">
        <f>VLOOKUP($B397,Hitters!$A1:$R401,10,FALSE)</f>
        <v>0.343006691229014</v>
      </c>
      <c r="T397" s="30">
        <f>VLOOKUP($B397,Hitters!$A1:$R401,11,FALSE)</f>
        <v>68.033333333333303</v>
      </c>
      <c r="U397" s="30">
        <f>VLOOKUP($B397,Hitters!$A1:$R401,12,FALSE)</f>
        <v>10.5</v>
      </c>
      <c r="V397" s="30">
        <f>VLOOKUP($B397,Hitters!$A1:$R401,13,FALSE)</f>
        <v>0.133333333333333</v>
      </c>
      <c r="W397" s="30">
        <f>VLOOKUP($B397,Hitters!$A1:$R401,14,FALSE)</f>
        <v>55.1666666666667</v>
      </c>
      <c r="X397" s="30">
        <f>VLOOKUP($B397,Hitters!$A1:$R401,15,FALSE)</f>
        <v>81.433333333333294</v>
      </c>
      <c r="Y397" s="32">
        <f>VLOOKUP($B397,Hitters!$A1:$R401,16,FALSE)</f>
        <v>0.387375415282392</v>
      </c>
      <c r="Z397" s="32">
        <f>VLOOKUP($B397,Hitters!$A1:$R401,17,FALSE)</f>
        <v>0.730382106511406</v>
      </c>
      <c r="AA397" s="30">
        <f>VLOOKUP($B397,Hitters!$A1:$R401,18,FALSE)</f>
        <v>0</v>
      </c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</row>
    <row r="398" spans="1:44" ht="18.600000000000001" customHeight="1">
      <c r="A398" s="24">
        <f ca="1">RANK(I398,I$2:I$651)</f>
        <v>359</v>
      </c>
      <c r="B398" s="25" t="s">
        <v>455</v>
      </c>
      <c r="C398" s="26" t="s">
        <v>101</v>
      </c>
      <c r="D398" s="26" t="s">
        <v>70</v>
      </c>
      <c r="E398" s="27" t="s">
        <v>23</v>
      </c>
      <c r="F398" s="28">
        <f ca="1">VLOOKUP(B398,OF!A1:I139,IF(Settings!$J$13="points",4,7),FALSE)</f>
        <v>99</v>
      </c>
      <c r="G398" s="29">
        <f>(M398*Settings!$B$2)+(N398*Settings!$B$3)+(O398*Settings!$B$4)+(P398*Settings!$B$5)+(Q398*Settings!$B$6)+(T398*Settings!$B$9)+(U398*Settings!$B$10)+(V398*Settings!$B$11)+(W398*Settings!$B$12)+(X398*Settings!$B$13)+(AA398*Settings!$B$16)</f>
        <v>235.84999999999982</v>
      </c>
      <c r="H398" s="30">
        <f>VLOOKUP(B398,'Standard Deviations'!$A1:$D651,4,FALSE)</f>
        <v>-1.8444275525691463</v>
      </c>
      <c r="I398" s="31">
        <f ca="1">VLOOKUP(B398,OF!A1:I139,IF(Settings!$J$13="points",6,9),FALSE)</f>
        <v>-1.963141183499939</v>
      </c>
      <c r="J398" s="30"/>
      <c r="K398" s="30">
        <f ca="1">J398-A398</f>
        <v>-359</v>
      </c>
      <c r="L398" s="30"/>
      <c r="M398" s="30">
        <f>VLOOKUP($B398,Hitters!$A1:$R401,4,FALSE)</f>
        <v>333.66666666666703</v>
      </c>
      <c r="N398" s="30">
        <f>VLOOKUP($B398,Hitters!$A1:$R401,5,FALSE)</f>
        <v>42.233333333333299</v>
      </c>
      <c r="O398" s="30">
        <f>VLOOKUP($B398,Hitters!$A1:$R401,6,FALSE)</f>
        <v>12.6</v>
      </c>
      <c r="P398" s="30">
        <f>VLOOKUP($B398,Hitters!$A1:$R401,7,FALSE)</f>
        <v>42.8333333333333</v>
      </c>
      <c r="Q398" s="30">
        <f>VLOOKUP($B398,Hitters!$A1:$R401,8,FALSE)</f>
        <v>2.06666666666667</v>
      </c>
      <c r="R398" s="32">
        <f>VLOOKUP($B398,Hitters!$A1:$R401,9,FALSE)</f>
        <v>0.24565434565434599</v>
      </c>
      <c r="S398" s="32">
        <f>VLOOKUP($B398,Hitters!$A1:$R401,10,FALSE)</f>
        <v>0.29903528139916302</v>
      </c>
      <c r="T398" s="30">
        <f>VLOOKUP($B398,Hitters!$A1:$R401,11,FALSE)</f>
        <v>81.966666666666697</v>
      </c>
      <c r="U398" s="30">
        <f>VLOOKUP($B398,Hitters!$A1:$R401,12,FALSE)</f>
        <v>16.6666666666667</v>
      </c>
      <c r="V398" s="30">
        <f>VLOOKUP($B398,Hitters!$A1:$R401,13,FALSE)</f>
        <v>2.4666666666666699</v>
      </c>
      <c r="W398" s="30">
        <f>VLOOKUP($B398,Hitters!$A1:$R401,14,FALSE)</f>
        <v>26.8333333333333</v>
      </c>
      <c r="X398" s="30">
        <f>VLOOKUP($B398,Hitters!$A1:$R401,15,FALSE)</f>
        <v>106.566666666667</v>
      </c>
      <c r="Y398" s="32">
        <f>VLOOKUP($B398,Hitters!$A1:$R401,16,FALSE)</f>
        <v>0.42367632367632402</v>
      </c>
      <c r="Z398" s="32">
        <f>VLOOKUP($B398,Hitters!$A1:$R401,17,FALSE)</f>
        <v>0.72271160507548604</v>
      </c>
      <c r="AA398" s="30">
        <f>VLOOKUP($B398,Hitters!$A1:$R401,18,FALSE)</f>
        <v>0</v>
      </c>
      <c r="AB398" s="30"/>
      <c r="AC398" s="30"/>
      <c r="AD398" s="32"/>
      <c r="AE398" s="32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</row>
    <row r="399" spans="1:44" ht="18.600000000000001" customHeight="1">
      <c r="A399" s="24">
        <f ca="1">RANK(I399,I$2:I$651)</f>
        <v>466</v>
      </c>
      <c r="B399" s="25" t="s">
        <v>563</v>
      </c>
      <c r="C399" s="26" t="s">
        <v>105</v>
      </c>
      <c r="D399" s="26" t="s">
        <v>70</v>
      </c>
      <c r="E399" s="47" t="s">
        <v>11</v>
      </c>
      <c r="F399" s="48">
        <f ca="1">VLOOKUP(B399,'2B'!A1:I50,IF(Settings!$J$13="points",4,7),FALSE)</f>
        <v>35</v>
      </c>
      <c r="G399" s="29">
        <f>(M399*Settings!$B$2)+(N399*Settings!$B$3)+(O399*Settings!$B$4)+(P399*Settings!$B$5)+(Q399*Settings!$B$6)+(T399*Settings!$B$9)+(U399*Settings!$B$10)+(V399*Settings!$B$11)+(W399*Settings!$B$12)+(X399*Settings!$B$13)+(AA399*Settings!$B$16)</f>
        <v>235.66666666666663</v>
      </c>
      <c r="H399" s="30">
        <f>VLOOKUP(B399,'Standard Deviations'!$A1:$D651,4,FALSE)</f>
        <v>-0.8506203141672557</v>
      </c>
      <c r="I399" s="31">
        <f ca="1">IF(Settings!$J$16="no",VLOOKUP(B399,'2B'!A1:I50,IF(Settings!$J$13="points",6,9),FALSE),VLOOKUP(B399,'2B+SS'!$A1:$I94,IF(Settings!$J$13="points",6,9),FALSE))</f>
        <v>-3.1583580484325693</v>
      </c>
      <c r="J399" s="30"/>
      <c r="K399" s="30">
        <f ca="1">J399-A399</f>
        <v>-466</v>
      </c>
      <c r="L399" s="30"/>
      <c r="M399" s="30">
        <f>VLOOKUP($B399,Hitters!$A1:$R401,4,FALSE)</f>
        <v>273</v>
      </c>
      <c r="N399" s="30">
        <f>VLOOKUP($B399,Hitters!$A1:$R401,5,FALSE)</f>
        <v>40.133333333333297</v>
      </c>
      <c r="O399" s="30">
        <f>VLOOKUP($B399,Hitters!$A1:$R401,6,FALSE)</f>
        <v>11.9</v>
      </c>
      <c r="P399" s="30">
        <f>VLOOKUP($B399,Hitters!$A1:$R401,7,FALSE)</f>
        <v>39.633333333333297</v>
      </c>
      <c r="Q399" s="30">
        <f>VLOOKUP($B399,Hitters!$A1:$R401,8,FALSE)</f>
        <v>10.466666666666701</v>
      </c>
      <c r="R399" s="32">
        <f>VLOOKUP($B399,Hitters!$A1:$R401,9,FALSE)</f>
        <v>0.24688644688644701</v>
      </c>
      <c r="S399" s="32">
        <f>VLOOKUP($B399,Hitters!$A1:$R401,10,FALSE)</f>
        <v>0.30893751589469098</v>
      </c>
      <c r="T399" s="30">
        <f>VLOOKUP($B399,Hitters!$A1:$R401,11,FALSE)</f>
        <v>67.400000000000006</v>
      </c>
      <c r="U399" s="30">
        <f>VLOOKUP($B399,Hitters!$A1:$R401,12,FALSE)</f>
        <v>15.7</v>
      </c>
      <c r="V399" s="30">
        <f>VLOOKUP($B399,Hitters!$A1:$R401,13,FALSE)</f>
        <v>1.3</v>
      </c>
      <c r="W399" s="30">
        <f>VLOOKUP($B399,Hitters!$A1:$R401,14,FALSE)</f>
        <v>25.733333333333299</v>
      </c>
      <c r="X399" s="30">
        <f>VLOOKUP($B399,Hitters!$A1:$R401,15,FALSE)</f>
        <v>82.133333333333297</v>
      </c>
      <c r="Y399" s="32">
        <f>VLOOKUP($B399,Hitters!$A1:$R401,16,FALSE)</f>
        <v>0.444688644688645</v>
      </c>
      <c r="Z399" s="32">
        <f>VLOOKUP($B399,Hitters!$A1:$R401,17,FALSE)</f>
        <v>0.75362616058333598</v>
      </c>
      <c r="AA399" s="30">
        <f>VLOOKUP($B399,Hitters!$A1:$R401,18,FALSE)</f>
        <v>0</v>
      </c>
      <c r="AB399" s="30"/>
      <c r="AC399" s="30"/>
      <c r="AD399" s="32"/>
      <c r="AE399" s="32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</row>
    <row r="400" spans="1:44" ht="18.600000000000001" customHeight="1">
      <c r="A400" s="24">
        <f ca="1">RANK(I400,I$2:I$651)</f>
        <v>321</v>
      </c>
      <c r="B400" s="25" t="s">
        <v>418</v>
      </c>
      <c r="C400" s="26" t="s">
        <v>158</v>
      </c>
      <c r="D400" s="26" t="s">
        <v>70</v>
      </c>
      <c r="E400" s="45" t="s">
        <v>19</v>
      </c>
      <c r="F400" s="46">
        <f ca="1">VLOOKUP(B400,'C'!A1:I54,IF(Settings!$J$13="points",4,7),FALSE)</f>
        <v>17</v>
      </c>
      <c r="G400" s="29">
        <f>(M400*Settings!$B$2)+(N400*Settings!$B$3)+(O400*Settings!$B$4)+(P400*Settings!$B$5)+(Q400*Settings!$B$6)+(T400*Settings!$B$9)+(U400*Settings!$B$10)+(V400*Settings!$B$11)+(W400*Settings!$B$12)+(X400*Settings!$B$13)+(AA400*Settings!$B$16)</f>
        <v>235.31666666666669</v>
      </c>
      <c r="H400" s="30">
        <f>VLOOKUP(B400,'Standard Deviations'!$A1:$D651,4,FALSE)</f>
        <v>-1.7596184056437467</v>
      </c>
      <c r="I400" s="31">
        <f ca="1">VLOOKUP(B400,'C'!A1:I54,IF(Settings!$J$13="points",6,9),FALSE)</f>
        <v>-1.4425273787862607</v>
      </c>
      <c r="J400" s="30"/>
      <c r="K400" s="30">
        <f ca="1">J400-A400</f>
        <v>-321</v>
      </c>
      <c r="L400" s="30"/>
      <c r="M400" s="30">
        <f>VLOOKUP($B400,Hitters!$A1:$R401,4,FALSE)</f>
        <v>346.66666666666703</v>
      </c>
      <c r="N400" s="30">
        <f>VLOOKUP($B400,Hitters!$A1:$R401,5,FALSE)</f>
        <v>39.033333333333303</v>
      </c>
      <c r="O400" s="30">
        <f>VLOOKUP($B400,Hitters!$A1:$R401,6,FALSE)</f>
        <v>7.7333333333333298</v>
      </c>
      <c r="P400" s="30">
        <f>VLOOKUP($B400,Hitters!$A1:$R401,7,FALSE)</f>
        <v>40.266666666666701</v>
      </c>
      <c r="Q400" s="30">
        <f>VLOOKUP($B400,Hitters!$A1:$R401,8,FALSE)</f>
        <v>3.56666666666667</v>
      </c>
      <c r="R400" s="32">
        <f>VLOOKUP($B400,Hitters!$A1:$R401,9,FALSE)</f>
        <v>0.26067307692307701</v>
      </c>
      <c r="S400" s="32">
        <f>VLOOKUP($B400,Hitters!$A1:$R401,10,FALSE)</f>
        <v>0.304444841128169</v>
      </c>
      <c r="T400" s="30">
        <f>VLOOKUP($B400,Hitters!$A1:$R401,11,FALSE)</f>
        <v>90.366666666666703</v>
      </c>
      <c r="U400" s="30">
        <f>VLOOKUP($B400,Hitters!$A1:$R401,12,FALSE)</f>
        <v>18.066666666666698</v>
      </c>
      <c r="V400" s="30">
        <f>VLOOKUP($B400,Hitters!$A1:$R401,13,FALSE)</f>
        <v>0.5</v>
      </c>
      <c r="W400" s="30">
        <f>VLOOKUP($B400,Hitters!$A1:$R401,14,FALSE)</f>
        <v>23.3333333333333</v>
      </c>
      <c r="X400" s="30">
        <f>VLOOKUP($B400,Hitters!$A1:$R401,15,FALSE)</f>
        <v>66.766666666666694</v>
      </c>
      <c r="Y400" s="32">
        <f>VLOOKUP($B400,Hitters!$A1:$R401,16,FALSE)</f>
        <v>0.38259615384615397</v>
      </c>
      <c r="Z400" s="32">
        <f>VLOOKUP($B400,Hitters!$A1:$R401,17,FALSE)</f>
        <v>0.68704099497432203</v>
      </c>
      <c r="AA400" s="30">
        <f>VLOOKUP($B400,Hitters!$A1:$R401,18,FALSE)</f>
        <v>0</v>
      </c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</row>
    <row r="401" spans="1:44" ht="18.600000000000001" customHeight="1">
      <c r="A401" s="24">
        <f ca="1">RANK(I401,I$2:I$651)</f>
        <v>362</v>
      </c>
      <c r="B401" s="25" t="s">
        <v>462</v>
      </c>
      <c r="C401" s="26" t="s">
        <v>125</v>
      </c>
      <c r="D401" s="26" t="s">
        <v>75</v>
      </c>
      <c r="E401" s="35" t="s">
        <v>31</v>
      </c>
      <c r="F401" s="36">
        <f ca="1">VLOOKUP(B401,SP!A1:I161,IF(Settings!$J$13="points",4,7),FALSE)</f>
        <v>108</v>
      </c>
      <c r="G401" s="29">
        <f>(AC401*Settings!$F$2)+(AF401*Settings!$F$5)+(AG401*Settings!$F$6)+(AH401*Settings!$F$7)+(AI401*Settings!$F$8)+(AJ401*Settings!$F$9)+(AK401*Settings!$F$10)+(AL401*Settings!$F$11)+(AM401*Settings!$F$12)+(AN401*Settings!$F$13)+(AO401*Settings!$F$14)+(AP401*Settings!$F$15)+(AQ401*Settings!$F$16)+(AR401*Settings!$F$17)</f>
        <v>235.28466666666668</v>
      </c>
      <c r="H401" s="30">
        <f>VLOOKUP(B401,'Standard Deviations'!$A1:$D651,4,FALSE)</f>
        <v>-1.8591939389400309</v>
      </c>
      <c r="I401" s="31">
        <f ca="1">IF(Settings!$J$16="no",VLOOKUP(B401,SP!A1:I161,IF(Settings!$J$13="points",6,9),FALSE),VLOOKUP(B401,'SP+RP'!$A1:$I251,IF(Settings!$J$13="points",6,9),FALSE))</f>
        <v>-1.995172450824382</v>
      </c>
      <c r="J401" s="30"/>
      <c r="K401" s="30">
        <f ca="1">J401-A401</f>
        <v>-362</v>
      </c>
      <c r="L401" s="30"/>
      <c r="M401" s="30"/>
      <c r="N401" s="30"/>
      <c r="O401" s="30"/>
      <c r="P401" s="30"/>
      <c r="Q401" s="30"/>
      <c r="R401" s="32"/>
      <c r="S401" s="32"/>
      <c r="T401" s="30"/>
      <c r="U401" s="30"/>
      <c r="V401" s="30"/>
      <c r="W401" s="30"/>
      <c r="X401" s="30"/>
      <c r="Y401" s="32"/>
      <c r="Z401" s="32"/>
      <c r="AA401" s="30"/>
      <c r="AB401" s="30"/>
      <c r="AC401" s="30">
        <f>VLOOKUP($B401,Pitchers!$A1:$S251,4,FALSE)</f>
        <v>107.16666666666667</v>
      </c>
      <c r="AD401" s="32">
        <f>VLOOKUP($B401,Pitchers!$A1:$S251,5,FALSE)</f>
        <v>4.1807589424572313</v>
      </c>
      <c r="AE401" s="32">
        <f>VLOOKUP($B401,Pitchers!$A1:$S251,6,FALSE)</f>
        <v>1.2743390357698288</v>
      </c>
      <c r="AF401" s="30">
        <f>VLOOKUP($B401,Pitchers!$A1:$S251,7,FALSE)</f>
        <v>104.8</v>
      </c>
      <c r="AG401" s="30">
        <f>VLOOKUP($B401,Pitchers!$A1:$S251,8,FALSE)</f>
        <v>7.5333333333333341</v>
      </c>
      <c r="AH401" s="30">
        <f>VLOOKUP($B401,Pitchers!$A1:$S251,9,FALSE)</f>
        <v>0</v>
      </c>
      <c r="AI401" s="30">
        <f>VLOOKUP($B401,Pitchers!$A1:$S251,10,FALSE)</f>
        <v>49.782000000000004</v>
      </c>
      <c r="AJ401" s="30">
        <f>VLOOKUP($B401,Pitchers!$A1:$S251,11,FALSE)</f>
        <v>106.8</v>
      </c>
      <c r="AK401" s="30">
        <f>VLOOKUP($B401,Pitchers!$A1:$S251,12,FALSE)</f>
        <v>29.766666666666666</v>
      </c>
      <c r="AL401" s="30">
        <f>VLOOKUP($B401,Pitchers!$A1:$S251,13,FALSE)</f>
        <v>15</v>
      </c>
      <c r="AM401" s="30">
        <f>VLOOKUP($B401,Pitchers!$A1:$S251,14,FALSE)</f>
        <v>25.766666666666666</v>
      </c>
      <c r="AN401" s="30">
        <f>VLOOKUP($B401,Pitchers!$A1:$S251,15,FALSE)</f>
        <v>20.766666666666666</v>
      </c>
      <c r="AO401" s="30">
        <f>VLOOKUP($B401,Pitchers!$A1:$S251,16,FALSE)</f>
        <v>6.3999999999999995</v>
      </c>
      <c r="AP401" s="30">
        <f>VLOOKUP($B401,Pitchers!$A1:$S251,17,FALSE)</f>
        <v>9</v>
      </c>
      <c r="AQ401" s="30">
        <f>VLOOKUP($B401,Pitchers!$A1:$S251,18,FALSE)</f>
        <v>0.5</v>
      </c>
      <c r="AR401" s="30">
        <f>VLOOKUP($B401,Pitchers!$A1:$S251,19,FALSE)</f>
        <v>0</v>
      </c>
    </row>
    <row r="402" spans="1:44" ht="20.100000000000001" customHeight="1">
      <c r="A402" s="24">
        <f ca="1">RANK(I402,I$2:I$651)</f>
        <v>549</v>
      </c>
      <c r="B402" s="25" t="s">
        <v>645</v>
      </c>
      <c r="C402" s="26"/>
      <c r="D402" s="26" t="s">
        <v>70</v>
      </c>
      <c r="E402" s="37" t="s">
        <v>27</v>
      </c>
      <c r="F402" s="38">
        <f ca="1">VLOOKUP(B402,SS!A1:I45,IF(Settings!$J$13="points",4,7),FALSE)</f>
        <v>28</v>
      </c>
      <c r="G402" s="29">
        <f>(M402*Settings!$B$2)+(N402*Settings!$B$3)+(O402*Settings!$B$4)+(P402*Settings!$B$5)+(Q402*Settings!$B$6)+(T402*Settings!$B$9)+(U402*Settings!$B$10)+(V402*Settings!$B$11)+(W402*Settings!$B$12)+(X402*Settings!$B$13)+(AA402*Settings!$B$16)</f>
        <v>235.11666666666662</v>
      </c>
      <c r="H402" s="30">
        <f>VLOOKUP(B402,'Standard Deviations'!$A1:$D651,4,FALSE)</f>
        <v>-1.2786473099384008</v>
      </c>
      <c r="I402" s="31">
        <f ca="1">IF(Settings!$J$16="no",VLOOKUP(B402,SS!A1:I45,IF(Settings!$J$13="points",6,9),FALSE),VLOOKUP(B402,'2B+SS'!$A1:$I94,IF(Settings!$J$13="points",6,9),FALSE))</f>
        <v>-4.2830709729803127</v>
      </c>
      <c r="J402" s="30"/>
      <c r="K402" s="30">
        <f ca="1">J402-A402</f>
        <v>-549</v>
      </c>
      <c r="L402" s="30"/>
      <c r="M402" s="30">
        <f>VLOOKUP($B402,Hitters!$A1:$R401,4,FALSE)</f>
        <v>348.66666666666703</v>
      </c>
      <c r="N402" s="30">
        <f>VLOOKUP($B402,Hitters!$A1:$R401,5,FALSE)</f>
        <v>39.799999999999997</v>
      </c>
      <c r="O402" s="30">
        <f>VLOOKUP($B402,Hitters!$A1:$R401,6,FALSE)</f>
        <v>4.56666666666667</v>
      </c>
      <c r="P402" s="30">
        <f>VLOOKUP($B402,Hitters!$A1:$R401,7,FALSE)</f>
        <v>37.5</v>
      </c>
      <c r="Q402" s="30">
        <f>VLOOKUP($B402,Hitters!$A1:$R401,8,FALSE)</f>
        <v>2.5333333333333301</v>
      </c>
      <c r="R402" s="32">
        <f>VLOOKUP($B402,Hitters!$A1:$R401,9,FALSE)</f>
        <v>0.28374760994263898</v>
      </c>
      <c r="S402" s="32">
        <f>VLOOKUP($B402,Hitters!$A1:$R401,10,FALSE)</f>
        <v>0.30855769755884399</v>
      </c>
      <c r="T402" s="30">
        <f>VLOOKUP($B402,Hitters!$A1:$R401,11,FALSE)</f>
        <v>98.933333333333294</v>
      </c>
      <c r="U402" s="30">
        <f>VLOOKUP($B402,Hitters!$A1:$R401,12,FALSE)</f>
        <v>22.133333333333301</v>
      </c>
      <c r="V402" s="30">
        <f>VLOOKUP($B402,Hitters!$A1:$R401,13,FALSE)</f>
        <v>0.8</v>
      </c>
      <c r="W402" s="30">
        <f>VLOOKUP($B402,Hitters!$A1:$R401,14,FALSE)</f>
        <v>14.0666666666667</v>
      </c>
      <c r="X402" s="30">
        <f>VLOOKUP($B402,Hitters!$A1:$R401,15,FALSE)</f>
        <v>50.366666666666703</v>
      </c>
      <c r="Y402" s="32">
        <f>VLOOKUP($B402,Hitters!$A1:$R401,16,FALSE)</f>
        <v>0.391108986615679</v>
      </c>
      <c r="Z402" s="32">
        <f>VLOOKUP($B402,Hitters!$A1:$R401,17,FALSE)</f>
        <v>0.69966668417452305</v>
      </c>
      <c r="AA402" s="30">
        <f>VLOOKUP($B402,Hitters!$A1:$R401,18,FALSE)</f>
        <v>0</v>
      </c>
      <c r="AB402" s="30"/>
      <c r="AC402" s="30"/>
      <c r="AD402" s="32"/>
      <c r="AE402" s="32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</row>
    <row r="403" spans="1:44" ht="18.600000000000001" customHeight="1">
      <c r="A403" s="24">
        <f ca="1">RANK(I403,I$2:I$651)</f>
        <v>360</v>
      </c>
      <c r="B403" s="25" t="s">
        <v>456</v>
      </c>
      <c r="C403" s="26" t="s">
        <v>178</v>
      </c>
      <c r="D403" s="26" t="s">
        <v>75</v>
      </c>
      <c r="E403" s="45" t="s">
        <v>19</v>
      </c>
      <c r="F403" s="46">
        <f ca="1">VLOOKUP(B403,'C'!A1:I54,IF(Settings!$J$13="points",4,7),FALSE)</f>
        <v>19</v>
      </c>
      <c r="G403" s="29">
        <f>(M403*Settings!$B$2)+(N403*Settings!$B$3)+(O403*Settings!$B$4)+(P403*Settings!$B$5)+(Q403*Settings!$B$6)+(T403*Settings!$B$9)+(U403*Settings!$B$10)+(V403*Settings!$B$11)+(W403*Settings!$B$12)+(X403*Settings!$B$13)+(AA403*Settings!$B$16)</f>
        <v>234.93333333333342</v>
      </c>
      <c r="H403" s="30">
        <f>VLOOKUP(B403,'Standard Deviations'!$A1:$D651,4,FALSE)</f>
        <v>-2.2819790656469099</v>
      </c>
      <c r="I403" s="31">
        <f ca="1">VLOOKUP(B403,'C'!A1:I54,IF(Settings!$J$13="points",6,9),FALSE)</f>
        <v>-1.9648864531081758</v>
      </c>
      <c r="J403" s="30"/>
      <c r="K403" s="30">
        <f ca="1">J403-A403</f>
        <v>-360</v>
      </c>
      <c r="L403" s="30"/>
      <c r="M403" s="30">
        <f>VLOOKUP($B403,Hitters!$A1:$R401,4,FALSE)</f>
        <v>325.66666666666703</v>
      </c>
      <c r="N403" s="30">
        <f>VLOOKUP($B403,Hitters!$A1:$R401,5,FALSE)</f>
        <v>38.6666666666667</v>
      </c>
      <c r="O403" s="30">
        <f>VLOOKUP($B403,Hitters!$A1:$R401,6,FALSE)</f>
        <v>11.466666666666701</v>
      </c>
      <c r="P403" s="30">
        <f>VLOOKUP($B403,Hitters!$A1:$R401,7,FALSE)</f>
        <v>43.3333333333333</v>
      </c>
      <c r="Q403" s="30">
        <f>VLOOKUP($B403,Hitters!$A1:$R401,8,FALSE)</f>
        <v>0.43333333333333302</v>
      </c>
      <c r="R403" s="32">
        <f>VLOOKUP($B403,Hitters!$A1:$R401,9,FALSE)</f>
        <v>0.24749232343909899</v>
      </c>
      <c r="S403" s="32">
        <f>VLOOKUP($B403,Hitters!$A1:$R401,10,FALSE)</f>
        <v>0.29750959480230499</v>
      </c>
      <c r="T403" s="30">
        <f>VLOOKUP($B403,Hitters!$A1:$R401,11,FALSE)</f>
        <v>80.599999999999994</v>
      </c>
      <c r="U403" s="30">
        <f>VLOOKUP($B403,Hitters!$A1:$R401,12,FALSE)</f>
        <v>15.8333333333333</v>
      </c>
      <c r="V403" s="30">
        <f>VLOOKUP($B403,Hitters!$A1:$R401,13,FALSE)</f>
        <v>1.5</v>
      </c>
      <c r="W403" s="30">
        <f>VLOOKUP($B403,Hitters!$A1:$R401,14,FALSE)</f>
        <v>24.566666666666698</v>
      </c>
      <c r="X403" s="30">
        <f>VLOOKUP($B403,Hitters!$A1:$R401,15,FALSE)</f>
        <v>70.266666666666694</v>
      </c>
      <c r="Y403" s="32">
        <f>VLOOKUP($B403,Hitters!$A1:$R401,16,FALSE)</f>
        <v>0.41095189355168898</v>
      </c>
      <c r="Z403" s="32">
        <f>VLOOKUP($B403,Hitters!$A1:$R401,17,FALSE)</f>
        <v>0.70846148835399303</v>
      </c>
      <c r="AA403" s="30">
        <f>VLOOKUP($B403,Hitters!$A1:$R401,18,FALSE)</f>
        <v>0</v>
      </c>
      <c r="AB403" s="30"/>
      <c r="AC403" s="30"/>
      <c r="AD403" s="32"/>
      <c r="AE403" s="32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</row>
    <row r="404" spans="1:44" ht="20.100000000000001" customHeight="1">
      <c r="A404" s="24">
        <f ca="1">RANK(I404,I$2:I$651)</f>
        <v>343</v>
      </c>
      <c r="B404" s="25" t="s">
        <v>438</v>
      </c>
      <c r="C404" s="26" t="s">
        <v>69</v>
      </c>
      <c r="D404" s="26" t="s">
        <v>70</v>
      </c>
      <c r="E404" s="27" t="s">
        <v>23</v>
      </c>
      <c r="F404" s="28">
        <f ca="1">VLOOKUP(B404,OF!A1:I139,IF(Settings!$J$13="points",4,7),FALSE)</f>
        <v>96</v>
      </c>
      <c r="G404" s="29">
        <f>(M404*Settings!$B$2)+(N404*Settings!$B$3)+(O404*Settings!$B$4)+(P404*Settings!$B$5)+(Q404*Settings!$B$6)+(T404*Settings!$B$9)+(U404*Settings!$B$10)+(V404*Settings!$B$11)+(W404*Settings!$B$12)+(X404*Settings!$B$13)+(AA404*Settings!$B$16)</f>
        <v>234.66666666666683</v>
      </c>
      <c r="H404" s="30">
        <f>VLOOKUP(B404,'Standard Deviations'!$A1:$D651,4,FALSE)</f>
        <v>-1.6313442279149157</v>
      </c>
      <c r="I404" s="31">
        <f ca="1">VLOOKUP(B404,OF!A1:I139,IF(Settings!$J$13="points",6,9),FALSE)</f>
        <v>-1.7500612318550635</v>
      </c>
      <c r="J404" s="30"/>
      <c r="K404" s="30">
        <f ca="1">J404-A404</f>
        <v>-343</v>
      </c>
      <c r="L404" s="30"/>
      <c r="M404" s="30">
        <f>VLOOKUP($B404,Hitters!$A1:$R401,4,FALSE)</f>
        <v>299.33333333333297</v>
      </c>
      <c r="N404" s="30">
        <f>VLOOKUP($B404,Hitters!$A1:$R401,5,FALSE)</f>
        <v>39.133333333333297</v>
      </c>
      <c r="O404" s="30">
        <f>VLOOKUP($B404,Hitters!$A1:$R401,6,FALSE)</f>
        <v>12.0666666666667</v>
      </c>
      <c r="P404" s="30">
        <f>VLOOKUP($B404,Hitters!$A1:$R401,7,FALSE)</f>
        <v>39.966666666666697</v>
      </c>
      <c r="Q404" s="30">
        <f>VLOOKUP($B404,Hitters!$A1:$R401,8,FALSE)</f>
        <v>7.3666666666666698</v>
      </c>
      <c r="R404" s="32">
        <f>VLOOKUP($B404,Hitters!$A1:$R401,9,FALSE)</f>
        <v>0.24064587973273899</v>
      </c>
      <c r="S404" s="32">
        <f>VLOOKUP($B404,Hitters!$A1:$R401,10,FALSE)</f>
        <v>0.29879831113998001</v>
      </c>
      <c r="T404" s="30">
        <f>VLOOKUP($B404,Hitters!$A1:$R401,11,FALSE)</f>
        <v>72.033333333333303</v>
      </c>
      <c r="U404" s="30">
        <f>VLOOKUP($B404,Hitters!$A1:$R401,12,FALSE)</f>
        <v>15.4</v>
      </c>
      <c r="V404" s="30">
        <f>VLOOKUP($B404,Hitters!$A1:$R401,13,FALSE)</f>
        <v>1.6</v>
      </c>
      <c r="W404" s="30">
        <f>VLOOKUP($B404,Hitters!$A1:$R401,14,FALSE)</f>
        <v>26.1</v>
      </c>
      <c r="X404" s="30">
        <f>VLOOKUP($B404,Hitters!$A1:$R401,15,FALSE)</f>
        <v>82.3333333333333</v>
      </c>
      <c r="Y404" s="32">
        <f>VLOOKUP($B404,Hitters!$A1:$R401,16,FALSE)</f>
        <v>0.42371937639198198</v>
      </c>
      <c r="Z404" s="32">
        <f>VLOOKUP($B404,Hitters!$A1:$R401,17,FALSE)</f>
        <v>0.72251768753196299</v>
      </c>
      <c r="AA404" s="30">
        <f>VLOOKUP($B404,Hitters!$A1:$R401,18,FALSE)</f>
        <v>0</v>
      </c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</row>
    <row r="405" spans="1:44" ht="18.600000000000001" customHeight="1">
      <c r="A405" s="24">
        <f ca="1">RANK(I405,I$2:I$651)</f>
        <v>463</v>
      </c>
      <c r="B405" s="25" t="s">
        <v>560</v>
      </c>
      <c r="C405" s="26" t="s">
        <v>85</v>
      </c>
      <c r="D405" s="26" t="s">
        <v>70</v>
      </c>
      <c r="E405" s="35" t="s">
        <v>31</v>
      </c>
      <c r="F405" s="36">
        <f ca="1">VLOOKUP(B405,SP!A1:I161,IF(Settings!$J$13="points",4,7),FALSE)</f>
        <v>137</v>
      </c>
      <c r="G405" s="29">
        <f>(AC405*Settings!$F$2)+(AF405*Settings!$F$5)+(AG405*Settings!$F$6)+(AH405*Settings!$F$7)+(AI405*Settings!$F$8)+(AJ405*Settings!$F$9)+(AK405*Settings!$F$10)+(AL405*Settings!$F$11)+(AM405*Settings!$F$12)+(AN405*Settings!$F$13)+(AO405*Settings!$F$14)+(AP405*Settings!$F$15)+(AQ405*Settings!$F$16)+(AR405*Settings!$F$17)</f>
        <v>234.24400000000006</v>
      </c>
      <c r="H405" s="30">
        <f>VLOOKUP(B405,'Standard Deviations'!$A1:$D651,4,FALSE)</f>
        <v>-2.9414634311398835</v>
      </c>
      <c r="I405" s="31">
        <f ca="1">IF(Settings!$J$16="no",VLOOKUP(B405,SP!A1:I161,IF(Settings!$J$13="points",6,9),FALSE),VLOOKUP(B405,'SP+RP'!$A1:$I251,IF(Settings!$J$13="points",6,9),FALSE))</f>
        <v>-3.0774471847314224</v>
      </c>
      <c r="J405" s="30"/>
      <c r="K405" s="30">
        <f ca="1">J405-A405</f>
        <v>-463</v>
      </c>
      <c r="L405" s="30"/>
      <c r="M405" s="30"/>
      <c r="N405" s="30"/>
      <c r="O405" s="30"/>
      <c r="P405" s="30"/>
      <c r="Q405" s="30"/>
      <c r="R405" s="32"/>
      <c r="S405" s="32"/>
      <c r="T405" s="30"/>
      <c r="U405" s="30"/>
      <c r="V405" s="30"/>
      <c r="W405" s="30"/>
      <c r="X405" s="30"/>
      <c r="Y405" s="32"/>
      <c r="Z405" s="32"/>
      <c r="AA405" s="30"/>
      <c r="AB405" s="30"/>
      <c r="AC405" s="30">
        <f>VLOOKUP($B405,Pitchers!$A1:$S251,4,FALSE)</f>
        <v>118.43333333333334</v>
      </c>
      <c r="AD405" s="32">
        <f>VLOOKUP($B405,Pitchers!$A1:$S251,5,FALSE)</f>
        <v>4.4269969040247679</v>
      </c>
      <c r="AE405" s="32">
        <f>VLOOKUP($B405,Pitchers!$A1:$S251,6,FALSE)</f>
        <v>1.3315508021390372</v>
      </c>
      <c r="AF405" s="30">
        <f>VLOOKUP($B405,Pitchers!$A1:$S251,7,FALSE)</f>
        <v>104.73333333333333</v>
      </c>
      <c r="AG405" s="30">
        <f>VLOOKUP($B405,Pitchers!$A1:$S251,8,FALSE)</f>
        <v>7.4333333333333336</v>
      </c>
      <c r="AH405" s="30">
        <f>VLOOKUP($B405,Pitchers!$A1:$S251,9,FALSE)</f>
        <v>0</v>
      </c>
      <c r="AI405" s="30">
        <f>VLOOKUP($B405,Pitchers!$A1:$S251,10,FALSE)</f>
        <v>58.256</v>
      </c>
      <c r="AJ405" s="30">
        <f>VLOOKUP($B405,Pitchers!$A1:$S251,11,FALSE)</f>
        <v>117.3</v>
      </c>
      <c r="AK405" s="30">
        <f>VLOOKUP($B405,Pitchers!$A1:$S251,12,FALSE)</f>
        <v>40.4</v>
      </c>
      <c r="AL405" s="30">
        <f>VLOOKUP($B405,Pitchers!$A1:$S251,13,FALSE)</f>
        <v>21</v>
      </c>
      <c r="AM405" s="30">
        <f>VLOOKUP($B405,Pitchers!$A1:$S251,14,FALSE)</f>
        <v>24.166666666666668</v>
      </c>
      <c r="AN405" s="30">
        <f>VLOOKUP($B405,Pitchers!$A1:$S251,15,FALSE)</f>
        <v>22.833333333333332</v>
      </c>
      <c r="AO405" s="30">
        <f>VLOOKUP($B405,Pitchers!$A1:$S251,16,FALSE)</f>
        <v>7.8999999999999995</v>
      </c>
      <c r="AP405" s="30">
        <f>VLOOKUP($B405,Pitchers!$A1:$S251,17,FALSE)</f>
        <v>10</v>
      </c>
      <c r="AQ405" s="30">
        <f>VLOOKUP($B405,Pitchers!$A1:$S251,18,FALSE)</f>
        <v>0</v>
      </c>
      <c r="AR405" s="30">
        <f>VLOOKUP($B405,Pitchers!$A1:$S251,19,FALSE)</f>
        <v>0</v>
      </c>
    </row>
    <row r="406" spans="1:44" ht="18.600000000000001" customHeight="1">
      <c r="A406" s="24">
        <f ca="1">RANK(I406,I$2:I$651)</f>
        <v>349</v>
      </c>
      <c r="B406" s="25" t="s">
        <v>447</v>
      </c>
      <c r="C406" s="26" t="s">
        <v>92</v>
      </c>
      <c r="D406" s="26" t="s">
        <v>75</v>
      </c>
      <c r="E406" s="41" t="s">
        <v>34</v>
      </c>
      <c r="F406" s="42">
        <f ca="1">VLOOKUP(B406,RP!A1:I91,IF(Settings!$J$13="points",4,7),FALSE)</f>
        <v>31</v>
      </c>
      <c r="G406" s="29">
        <f>(AC406*Settings!$F$2)+(AF406*Settings!$F$5)+(AG406*Settings!$F$6)+(AH406*Settings!$F$7)+(AI406*Settings!$F$8)+(AJ406*Settings!$F$9)+(AK406*Settings!$F$10)+(AL406*Settings!$F$11)+(AM406*Settings!$F$12)+(AN406*Settings!$F$13)+(AO406*Settings!$F$14)+(AP406*Settings!$F$15)+(AQ406*Settings!$F$16)+(AR406*Settings!$F$17)</f>
        <v>232.95</v>
      </c>
      <c r="H406" s="30">
        <f>VLOOKUP(B406,'Standard Deviations'!$A1:$D651,4,FALSE)</f>
        <v>-0.29355709420600362</v>
      </c>
      <c r="I406" s="31">
        <f ca="1">IF(Settings!$J$16="no",VLOOKUP(B406,RP!A1:I91,IF(Settings!$J$13="points",6,9),FALSE),VLOOKUP(B406,'SP+RP'!$A1:$I251,IF(Settings!$J$13="points",6,9),FALSE))</f>
        <v>-1.8646262781397485</v>
      </c>
      <c r="J406" s="30"/>
      <c r="K406" s="30">
        <f ca="1">J406-A406</f>
        <v>-349</v>
      </c>
      <c r="L406" s="30"/>
      <c r="M406" s="30"/>
      <c r="N406" s="30"/>
      <c r="O406" s="30"/>
      <c r="P406" s="30"/>
      <c r="Q406" s="30"/>
      <c r="R406" s="32"/>
      <c r="S406" s="32"/>
      <c r="T406" s="30"/>
      <c r="U406" s="30"/>
      <c r="V406" s="30"/>
      <c r="W406" s="30"/>
      <c r="X406" s="30"/>
      <c r="Y406" s="32"/>
      <c r="Z406" s="32"/>
      <c r="AA406" s="30"/>
      <c r="AB406" s="30"/>
      <c r="AC406" s="30">
        <f>VLOOKUP($B406,Pitchers!$A1:$S251,4,FALSE)</f>
        <v>57.4</v>
      </c>
      <c r="AD406" s="32">
        <f>VLOOKUP($B406,Pitchers!$A1:$S251,5,FALSE)</f>
        <v>3.7160278745644599</v>
      </c>
      <c r="AE406" s="32">
        <f>VLOOKUP($B406,Pitchers!$A1:$S251,6,FALSE)</f>
        <v>1.2427409988385598</v>
      </c>
      <c r="AF406" s="30">
        <f>VLOOKUP($B406,Pitchers!$A1:$S251,7,FALSE)</f>
        <v>74.36666666666666</v>
      </c>
      <c r="AG406" s="30">
        <f>VLOOKUP($B406,Pitchers!$A1:$S251,8,FALSE)</f>
        <v>3.6333333333333333</v>
      </c>
      <c r="AH406" s="30">
        <f>VLOOKUP($B406,Pitchers!$A1:$S251,9,FALSE)</f>
        <v>16.333333333333332</v>
      </c>
      <c r="AI406" s="30">
        <f>VLOOKUP($B406,Pitchers!$A1:$S251,10,FALSE)</f>
        <v>23.7</v>
      </c>
      <c r="AJ406" s="30">
        <f>VLOOKUP($B406,Pitchers!$A1:$S251,11,FALSE)</f>
        <v>45.5</v>
      </c>
      <c r="AK406" s="30">
        <f>VLOOKUP($B406,Pitchers!$A1:$S251,12,FALSE)</f>
        <v>25.833333333333332</v>
      </c>
      <c r="AL406" s="30">
        <f>VLOOKUP($B406,Pitchers!$A1:$S251,13,FALSE)</f>
        <v>8</v>
      </c>
      <c r="AM406" s="30">
        <f>VLOOKUP($B406,Pitchers!$A1:$S251,14,FALSE)</f>
        <v>59.9</v>
      </c>
      <c r="AN406" s="30">
        <f>VLOOKUP($B406,Pitchers!$A1:$S251,15,FALSE)</f>
        <v>0</v>
      </c>
      <c r="AO406" s="30">
        <f>VLOOKUP($B406,Pitchers!$A1:$S251,16,FALSE)</f>
        <v>4.2333333333333334</v>
      </c>
      <c r="AP406" s="30">
        <f>VLOOKUP($B406,Pitchers!$A1:$S251,17,FALSE)</f>
        <v>0</v>
      </c>
      <c r="AQ406" s="30">
        <f>VLOOKUP($B406,Pitchers!$A1:$S251,18,FALSE)</f>
        <v>7.5</v>
      </c>
      <c r="AR406" s="30">
        <f>VLOOKUP($B406,Pitchers!$A1:$S251,19,FALSE)</f>
        <v>7</v>
      </c>
    </row>
    <row r="407" spans="1:44" ht="18.600000000000001" customHeight="1">
      <c r="A407" s="24">
        <f ca="1">RANK(I407,I$2:I$651)</f>
        <v>377</v>
      </c>
      <c r="B407" s="25" t="s">
        <v>475</v>
      </c>
      <c r="C407" s="26" t="s">
        <v>72</v>
      </c>
      <c r="D407" s="26" t="s">
        <v>70</v>
      </c>
      <c r="E407" s="27" t="s">
        <v>23</v>
      </c>
      <c r="F407" s="28">
        <f ca="1">VLOOKUP(B407,OF!A1:I139,IF(Settings!$J$13="points",4,7),FALSE)</f>
        <v>106</v>
      </c>
      <c r="G407" s="29">
        <f>(M407*Settings!$B$2)+(N407*Settings!$B$3)+(O407*Settings!$B$4)+(P407*Settings!$B$5)+(Q407*Settings!$B$6)+(T407*Settings!$B$9)+(U407*Settings!$B$10)+(V407*Settings!$B$11)+(W407*Settings!$B$12)+(X407*Settings!$B$13)+(AA407*Settings!$B$16)</f>
        <v>232.27500000000003</v>
      </c>
      <c r="H407" s="30">
        <f>VLOOKUP(B407,'Standard Deviations'!$A1:$D651,4,FALSE)</f>
        <v>-2.0363251175627699</v>
      </c>
      <c r="I407" s="31">
        <f ca="1">VLOOKUP(B407,OF!A1:I139,IF(Settings!$J$13="points",6,9),FALSE)</f>
        <v>-2.1550366226001092</v>
      </c>
      <c r="J407" s="30"/>
      <c r="K407" s="30">
        <f ca="1">J407-A407</f>
        <v>-377</v>
      </c>
      <c r="L407" s="30"/>
      <c r="M407" s="30">
        <f>VLOOKUP($B407,Hitters!$A1:$R401,4,FALSE)</f>
        <v>313.5</v>
      </c>
      <c r="N407" s="30">
        <f>VLOOKUP($B407,Hitters!$A1:$R401,5,FALSE)</f>
        <v>39.200000000000003</v>
      </c>
      <c r="O407" s="30">
        <f>VLOOKUP($B407,Hitters!$A1:$R401,6,FALSE)</f>
        <v>11.3</v>
      </c>
      <c r="P407" s="30">
        <f>VLOOKUP($B407,Hitters!$A1:$R401,7,FALSE)</f>
        <v>40.35</v>
      </c>
      <c r="Q407" s="30">
        <f>VLOOKUP($B407,Hitters!$A1:$R401,8,FALSE)</f>
        <v>3.05</v>
      </c>
      <c r="R407" s="32">
        <f>VLOOKUP($B407,Hitters!$A1:$R401,9,FALSE)</f>
        <v>0.24720893141945799</v>
      </c>
      <c r="S407" s="32">
        <f>VLOOKUP($B407,Hitters!$A1:$R401,10,FALSE)</f>
        <v>0.29393093877791998</v>
      </c>
      <c r="T407" s="30">
        <f>VLOOKUP($B407,Hitters!$A1:$R401,11,FALSE)</f>
        <v>77.5</v>
      </c>
      <c r="U407" s="30">
        <f>VLOOKUP($B407,Hitters!$A1:$R401,12,FALSE)</f>
        <v>17.350000000000001</v>
      </c>
      <c r="V407" s="30">
        <f>VLOOKUP($B407,Hitters!$A1:$R401,13,FALSE)</f>
        <v>0.75</v>
      </c>
      <c r="W407" s="30">
        <f>VLOOKUP($B407,Hitters!$A1:$R401,14,FALSE)</f>
        <v>22.05</v>
      </c>
      <c r="X407" s="30">
        <f>VLOOKUP($B407,Hitters!$A1:$R401,15,FALSE)</f>
        <v>70.150000000000006</v>
      </c>
      <c r="Y407" s="32">
        <f>VLOOKUP($B407,Hitters!$A1:$R401,16,FALSE)</f>
        <v>0.41547049441786299</v>
      </c>
      <c r="Z407" s="32">
        <f>VLOOKUP($B407,Hitters!$A1:$R401,17,FALSE)</f>
        <v>0.70940143319578297</v>
      </c>
      <c r="AA407" s="30">
        <f>VLOOKUP($B407,Hitters!$A1:$R401,18,FALSE)</f>
        <v>0</v>
      </c>
      <c r="AB407" s="30"/>
      <c r="AC407" s="30"/>
      <c r="AD407" s="32"/>
      <c r="AE407" s="32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</row>
    <row r="408" spans="1:44" ht="18.600000000000001" customHeight="1">
      <c r="A408" s="24">
        <f ca="1">RANK(I408,I$2:I$651)</f>
        <v>347</v>
      </c>
      <c r="B408" s="25" t="s">
        <v>445</v>
      </c>
      <c r="C408" s="26" t="s">
        <v>69</v>
      </c>
      <c r="D408" s="26" t="s">
        <v>70</v>
      </c>
      <c r="E408" s="35" t="s">
        <v>31</v>
      </c>
      <c r="F408" s="36">
        <f ca="1">VLOOKUP(B408,SP!A1:I161,IF(Settings!$J$13="points",4,7),FALSE)</f>
        <v>104</v>
      </c>
      <c r="G408" s="29">
        <f>(AC408*Settings!$F$2)+(AF408*Settings!$F$5)+(AG408*Settings!$F$6)+(AH408*Settings!$F$7)+(AI408*Settings!$F$8)+(AJ408*Settings!$F$9)+(AK408*Settings!$F$10)+(AL408*Settings!$F$11)+(AM408*Settings!$F$12)+(AN408*Settings!$F$13)+(AO408*Settings!$F$14)+(AP408*Settings!$F$15)+(AQ408*Settings!$F$16)+(AR408*Settings!$F$17)</f>
        <v>232.17666666666662</v>
      </c>
      <c r="H408" s="30">
        <f>VLOOKUP(B408,'Standard Deviations'!$A1:$D651,4,FALSE)</f>
        <v>-1.6851292379457754</v>
      </c>
      <c r="I408" s="31">
        <f ca="1">IF(Settings!$J$16="no",VLOOKUP(B408,SP!A1:I161,IF(Settings!$J$13="points",6,9),FALSE),VLOOKUP(B408,'SP+RP'!$A1:$I251,IF(Settings!$J$13="points",6,9),FALSE))</f>
        <v>-1.8211091576940643</v>
      </c>
      <c r="J408" s="30"/>
      <c r="K408" s="30">
        <f ca="1">J408-A408</f>
        <v>-347</v>
      </c>
      <c r="L408" s="30"/>
      <c r="M408" s="30"/>
      <c r="N408" s="30"/>
      <c r="O408" s="30"/>
      <c r="P408" s="30"/>
      <c r="Q408" s="30"/>
      <c r="R408" s="32"/>
      <c r="S408" s="32"/>
      <c r="T408" s="30"/>
      <c r="U408" s="30"/>
      <c r="V408" s="30"/>
      <c r="W408" s="30"/>
      <c r="X408" s="30"/>
      <c r="Y408" s="32"/>
      <c r="Z408" s="32"/>
      <c r="AA408" s="30"/>
      <c r="AB408" s="30"/>
      <c r="AC408" s="30">
        <f>VLOOKUP($B408,Pitchers!$A1:$S251,4,FALSE)</f>
        <v>103.46666666666665</v>
      </c>
      <c r="AD408" s="32">
        <f>VLOOKUP($B408,Pitchers!$A1:$S251,5,FALSE)</f>
        <v>4.1859858247422688</v>
      </c>
      <c r="AE408" s="32">
        <f>VLOOKUP($B408,Pitchers!$A1:$S251,6,FALSE)</f>
        <v>1.2106958762886602</v>
      </c>
      <c r="AF408" s="30">
        <f>VLOOKUP($B408,Pitchers!$A1:$S251,7,FALSE)</f>
        <v>95.2</v>
      </c>
      <c r="AG408" s="30">
        <f>VLOOKUP($B408,Pitchers!$A1:$S251,8,FALSE)</f>
        <v>6.7</v>
      </c>
      <c r="AH408" s="30">
        <f>VLOOKUP($B408,Pitchers!$A1:$S251,9,FALSE)</f>
        <v>0</v>
      </c>
      <c r="AI408" s="30">
        <f>VLOOKUP($B408,Pitchers!$A1:$S251,10,FALSE)</f>
        <v>48.123333333333335</v>
      </c>
      <c r="AJ408" s="30">
        <f>VLOOKUP($B408,Pitchers!$A1:$S251,11,FALSE)</f>
        <v>98.100000000000009</v>
      </c>
      <c r="AK408" s="30">
        <f>VLOOKUP($B408,Pitchers!$A1:$S251,12,FALSE)</f>
        <v>27.166666666666668</v>
      </c>
      <c r="AL408" s="30">
        <f>VLOOKUP($B408,Pitchers!$A1:$S251,13,FALSE)</f>
        <v>24</v>
      </c>
      <c r="AM408" s="30">
        <f>VLOOKUP($B408,Pitchers!$A1:$S251,14,FALSE)</f>
        <v>34.266666666666666</v>
      </c>
      <c r="AN408" s="30">
        <f>VLOOKUP($B408,Pitchers!$A1:$S251,15,FALSE)</f>
        <v>15.133333333333333</v>
      </c>
      <c r="AO408" s="30">
        <f>VLOOKUP($B408,Pitchers!$A1:$S251,16,FALSE)</f>
        <v>5.2666666666666666</v>
      </c>
      <c r="AP408" s="30">
        <f>VLOOKUP($B408,Pitchers!$A1:$S251,17,FALSE)</f>
        <v>9</v>
      </c>
      <c r="AQ408" s="30">
        <f>VLOOKUP($B408,Pitchers!$A1:$S251,18,FALSE)</f>
        <v>2</v>
      </c>
      <c r="AR408" s="30">
        <f>VLOOKUP($B408,Pitchers!$A1:$S251,19,FALSE)</f>
        <v>0</v>
      </c>
    </row>
    <row r="409" spans="1:44" ht="20.100000000000001" customHeight="1">
      <c r="A409" s="24">
        <f ca="1">RANK(I409,I$2:I$651)</f>
        <v>407</v>
      </c>
      <c r="B409" s="25" t="s">
        <v>504</v>
      </c>
      <c r="C409" s="26" t="s">
        <v>87</v>
      </c>
      <c r="D409" s="26" t="s">
        <v>70</v>
      </c>
      <c r="E409" s="41" t="s">
        <v>34</v>
      </c>
      <c r="F409" s="42">
        <f ca="1">VLOOKUP(B409,RP!A1:I91,IF(Settings!$J$13="points",4,7),FALSE)</f>
        <v>42</v>
      </c>
      <c r="G409" s="29">
        <f>(AC409*Settings!$F$2)+(AF409*Settings!$F$5)+(AG409*Settings!$F$6)+(AH409*Settings!$F$7)+(AI409*Settings!$F$8)+(AJ409*Settings!$F$9)+(AK409*Settings!$F$10)+(AL409*Settings!$F$11)+(AM409*Settings!$F$12)+(AN409*Settings!$F$13)+(AO409*Settings!$F$14)+(AP409*Settings!$F$15)+(AQ409*Settings!$F$16)+(AR409*Settings!$F$17)</f>
        <v>231.76666666666668</v>
      </c>
      <c r="H409" s="30">
        <f>VLOOKUP(B409,'Standard Deviations'!$A1:$D651,4,FALSE)</f>
        <v>-0.95375461123125627</v>
      </c>
      <c r="I409" s="31">
        <f ca="1">IF(Settings!$J$16="no",VLOOKUP(B409,RP!A1:I91,IF(Settings!$J$13="points",6,9),FALSE),VLOOKUP(B409,'SP+RP'!$A1:$I251,IF(Settings!$J$13="points",6,9),FALSE))</f>
        <v>-2.5248242340000089</v>
      </c>
      <c r="J409" s="30"/>
      <c r="K409" s="30">
        <f ca="1">J409-A409</f>
        <v>-407</v>
      </c>
      <c r="L409" s="30"/>
      <c r="M409" s="30"/>
      <c r="N409" s="30"/>
      <c r="O409" s="30"/>
      <c r="P409" s="30"/>
      <c r="Q409" s="30"/>
      <c r="R409" s="32"/>
      <c r="S409" s="32"/>
      <c r="T409" s="30"/>
      <c r="U409" s="30"/>
      <c r="V409" s="30"/>
      <c r="W409" s="30"/>
      <c r="X409" s="30"/>
      <c r="Y409" s="32"/>
      <c r="Z409" s="32"/>
      <c r="AA409" s="30"/>
      <c r="AB409" s="30"/>
      <c r="AC409" s="30">
        <f>VLOOKUP($B409,Pitchers!$A1:$S251,4,FALSE)</f>
        <v>56.866666666666674</v>
      </c>
      <c r="AD409" s="32">
        <f>VLOOKUP($B409,Pitchers!$A1:$S251,5,FALSE)</f>
        <v>3.7245017584994131</v>
      </c>
      <c r="AE409" s="32">
        <f>VLOOKUP($B409,Pitchers!$A1:$S251,6,FALSE)</f>
        <v>1.2584994138335286</v>
      </c>
      <c r="AF409" s="30">
        <f>VLOOKUP($B409,Pitchers!$A1:$S251,7,FALSE)</f>
        <v>67.466666666666669</v>
      </c>
      <c r="AG409" s="30">
        <f>VLOOKUP($B409,Pitchers!$A1:$S251,8,FALSE)</f>
        <v>1.9333333333333333</v>
      </c>
      <c r="AH409" s="30">
        <f>VLOOKUP($B409,Pitchers!$A1:$S251,9,FALSE)</f>
        <v>17.666666666666668</v>
      </c>
      <c r="AI409" s="30">
        <f>VLOOKUP($B409,Pitchers!$A1:$S251,10,FALSE)</f>
        <v>23.533333333333331</v>
      </c>
      <c r="AJ409" s="30">
        <f>VLOOKUP($B409,Pitchers!$A1:$S251,11,FALSE)</f>
        <v>45.066666666666663</v>
      </c>
      <c r="AK409" s="30">
        <f>VLOOKUP($B409,Pitchers!$A1:$S251,12,FALSE)</f>
        <v>26.5</v>
      </c>
      <c r="AL409" s="30">
        <f>VLOOKUP($B409,Pitchers!$A1:$S251,13,FALSE)</f>
        <v>8</v>
      </c>
      <c r="AM409" s="30">
        <f>VLOOKUP($B409,Pitchers!$A1:$S251,14,FALSE)</f>
        <v>56.566666666666663</v>
      </c>
      <c r="AN409" s="30">
        <f>VLOOKUP($B409,Pitchers!$A1:$S251,15,FALSE)</f>
        <v>0</v>
      </c>
      <c r="AO409" s="30">
        <f>VLOOKUP($B409,Pitchers!$A1:$S251,16,FALSE)</f>
        <v>2.9333333333333336</v>
      </c>
      <c r="AP409" s="30">
        <f>VLOOKUP($B409,Pitchers!$A1:$S251,17,FALSE)</f>
        <v>0</v>
      </c>
      <c r="AQ409" s="30">
        <f>VLOOKUP($B409,Pitchers!$A1:$S251,18,FALSE)</f>
        <v>6.5</v>
      </c>
      <c r="AR409" s="30">
        <f>VLOOKUP($B409,Pitchers!$A1:$S251,19,FALSE)</f>
        <v>7</v>
      </c>
    </row>
    <row r="410" spans="1:44" ht="18.600000000000001" customHeight="1">
      <c r="A410" s="24">
        <f ca="1">RANK(I410,I$2:I$651)</f>
        <v>336</v>
      </c>
      <c r="B410" s="25" t="s">
        <v>433</v>
      </c>
      <c r="C410" s="26" t="s">
        <v>158</v>
      </c>
      <c r="D410" s="26" t="s">
        <v>70</v>
      </c>
      <c r="E410" s="27" t="s">
        <v>23</v>
      </c>
      <c r="F410" s="28">
        <f ca="1">VLOOKUP(B410,OF!A1:I139,IF(Settings!$J$13="points",4,7),FALSE)</f>
        <v>95</v>
      </c>
      <c r="G410" s="29">
        <f>(M410*Settings!$B$2)+(N410*Settings!$B$3)+(O410*Settings!$B$4)+(P410*Settings!$B$5)+(Q410*Settings!$B$6)+(T410*Settings!$B$9)+(U410*Settings!$B$10)+(V410*Settings!$B$11)+(W410*Settings!$B$12)+(X410*Settings!$B$13)+(AA410*Settings!$B$16)</f>
        <v>231.68333333333351</v>
      </c>
      <c r="H410" s="30">
        <f>VLOOKUP(B410,'Standard Deviations'!$A1:$D651,4,FALSE)</f>
        <v>-1.5500169589821626</v>
      </c>
      <c r="I410" s="31">
        <f ca="1">VLOOKUP(B410,OF!A1:I139,IF(Settings!$J$13="points",6,9),FALSE)</f>
        <v>-1.6687289997225867</v>
      </c>
      <c r="J410" s="30"/>
      <c r="K410" s="30">
        <f ca="1">J410-A410</f>
        <v>-336</v>
      </c>
      <c r="L410" s="30"/>
      <c r="M410" s="30">
        <f>VLOOKUP($B410,Hitters!$A1:$R401,4,FALSE)</f>
        <v>311.66666666666703</v>
      </c>
      <c r="N410" s="30">
        <f>VLOOKUP($B410,Hitters!$A1:$R401,5,FALSE)</f>
        <v>38.6</v>
      </c>
      <c r="O410" s="30">
        <f>VLOOKUP($B410,Hitters!$A1:$R401,6,FALSE)</f>
        <v>11.366666666666699</v>
      </c>
      <c r="P410" s="30">
        <f>VLOOKUP($B410,Hitters!$A1:$R401,7,FALSE)</f>
        <v>43.433333333333302</v>
      </c>
      <c r="Q410" s="30">
        <f>VLOOKUP($B410,Hitters!$A1:$R401,8,FALSE)</f>
        <v>1.86666666666667</v>
      </c>
      <c r="R410" s="32">
        <f>VLOOKUP($B410,Hitters!$A1:$R401,9,FALSE)</f>
        <v>0.258288770053476</v>
      </c>
      <c r="S410" s="32">
        <f>VLOOKUP($B410,Hitters!$A1:$R401,10,FALSE)</f>
        <v>0.30503782073466201</v>
      </c>
      <c r="T410" s="30">
        <f>VLOOKUP($B410,Hitters!$A1:$R401,11,FALSE)</f>
        <v>80.5</v>
      </c>
      <c r="U410" s="30">
        <f>VLOOKUP($B410,Hitters!$A1:$R401,12,FALSE)</f>
        <v>16.066666666666698</v>
      </c>
      <c r="V410" s="30">
        <f>VLOOKUP($B410,Hitters!$A1:$R401,13,FALSE)</f>
        <v>0.93333333333333302</v>
      </c>
      <c r="W410" s="30">
        <f>VLOOKUP($B410,Hitters!$A1:$R401,14,FALSE)</f>
        <v>22.3333333333333</v>
      </c>
      <c r="X410" s="30">
        <f>VLOOKUP($B410,Hitters!$A1:$R401,15,FALSE)</f>
        <v>74.633333333333297</v>
      </c>
      <c r="Y410" s="32">
        <f>VLOOKUP($B410,Hitters!$A1:$R401,16,FALSE)</f>
        <v>0.42524064171122999</v>
      </c>
      <c r="Z410" s="32">
        <f>VLOOKUP($B410,Hitters!$A1:$R401,17,FALSE)</f>
        <v>0.73027846244589201</v>
      </c>
      <c r="AA410" s="30">
        <f>VLOOKUP($B410,Hitters!$A1:$R401,18,FALSE)</f>
        <v>0</v>
      </c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</row>
    <row r="411" spans="1:44" ht="20.100000000000001" customHeight="1">
      <c r="A411" s="24">
        <f ca="1">RANK(I411,I$2:I$651)</f>
        <v>532</v>
      </c>
      <c r="B411" s="25" t="s">
        <v>629</v>
      </c>
      <c r="C411" s="26" t="s">
        <v>72</v>
      </c>
      <c r="D411" s="26" t="s">
        <v>70</v>
      </c>
      <c r="E411" s="47" t="s">
        <v>11</v>
      </c>
      <c r="F411" s="48">
        <f ca="1">VLOOKUP(B411,'2B'!A1:I50,IF(Settings!$J$13="points",4,7),FALSE)</f>
        <v>38</v>
      </c>
      <c r="G411" s="29">
        <f>(M411*Settings!$B$2)+(N411*Settings!$B$3)+(O411*Settings!$B$4)+(P411*Settings!$B$5)+(Q411*Settings!$B$6)+(T411*Settings!$B$9)+(U411*Settings!$B$10)+(V411*Settings!$B$11)+(W411*Settings!$B$12)+(X411*Settings!$B$13)+(AA411*Settings!$B$16)</f>
        <v>230.68333333333331</v>
      </c>
      <c r="H411" s="30">
        <f>VLOOKUP(B411,'Standard Deviations'!$A1:$D651,4,FALSE)</f>
        <v>-1.6700254989051868</v>
      </c>
      <c r="I411" s="31">
        <f ca="1">IF(Settings!$J$16="no",VLOOKUP(B411,'2B'!A1:I50,IF(Settings!$J$13="points",6,9),FALSE),VLOOKUP(B411,'2B+SS'!$A1:$I94,IF(Settings!$J$13="points",6,9),FALSE))</f>
        <v>-3.9777559173497452</v>
      </c>
      <c r="J411" s="30"/>
      <c r="K411" s="30">
        <f ca="1">J411-A411</f>
        <v>-532</v>
      </c>
      <c r="L411" s="30"/>
      <c r="M411" s="30">
        <f>VLOOKUP($B411,Hitters!$A1:$R401,4,FALSE)</f>
        <v>279.33333333333297</v>
      </c>
      <c r="N411" s="30">
        <f>VLOOKUP($B411,Hitters!$A1:$R401,5,FALSE)</f>
        <v>40.866666666666703</v>
      </c>
      <c r="O411" s="30">
        <f>VLOOKUP($B411,Hitters!$A1:$R401,6,FALSE)</f>
        <v>9.5333333333333297</v>
      </c>
      <c r="P411" s="30">
        <f>VLOOKUP($B411,Hitters!$A1:$R401,7,FALSE)</f>
        <v>32.733333333333299</v>
      </c>
      <c r="Q411" s="30">
        <f>VLOOKUP($B411,Hitters!$A1:$R401,8,FALSE)</f>
        <v>20.3</v>
      </c>
      <c r="R411" s="32">
        <f>VLOOKUP($B411,Hitters!$A1:$R401,9,FALSE)</f>
        <v>0.21169451073985701</v>
      </c>
      <c r="S411" s="32">
        <f>VLOOKUP($B411,Hitters!$A1:$R401,10,FALSE)</f>
        <v>0.29520217450852299</v>
      </c>
      <c r="T411" s="30">
        <f>VLOOKUP($B411,Hitters!$A1:$R401,11,FALSE)</f>
        <v>59.133333333333297</v>
      </c>
      <c r="U411" s="30">
        <f>VLOOKUP($B411,Hitters!$A1:$R401,12,FALSE)</f>
        <v>13.4</v>
      </c>
      <c r="V411" s="30">
        <f>VLOOKUP($B411,Hitters!$A1:$R401,13,FALSE)</f>
        <v>1.5</v>
      </c>
      <c r="W411" s="30">
        <f>VLOOKUP($B411,Hitters!$A1:$R401,14,FALSE)</f>
        <v>34.266666666666701</v>
      </c>
      <c r="X411" s="30">
        <f>VLOOKUP($B411,Hitters!$A1:$R401,15,FALSE)</f>
        <v>92.7</v>
      </c>
      <c r="Y411" s="32">
        <f>VLOOKUP($B411,Hitters!$A1:$R401,16,FALSE)</f>
        <v>0.37279236276849598</v>
      </c>
      <c r="Z411" s="32">
        <f>VLOOKUP($B411,Hitters!$A1:$R401,17,FALSE)</f>
        <v>0.66799453727701996</v>
      </c>
      <c r="AA411" s="30">
        <f>VLOOKUP($B411,Hitters!$A1:$R401,18,FALSE)</f>
        <v>0</v>
      </c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</row>
    <row r="412" spans="1:44" ht="18.600000000000001" customHeight="1">
      <c r="A412" s="24">
        <f ca="1">RANK(I412,I$2:I$651)</f>
        <v>582</v>
      </c>
      <c r="B412" s="25" t="s">
        <v>677</v>
      </c>
      <c r="C412" s="26" t="s">
        <v>158</v>
      </c>
      <c r="D412" s="26" t="s">
        <v>70</v>
      </c>
      <c r="E412" s="37" t="s">
        <v>27</v>
      </c>
      <c r="F412" s="38">
        <f ca="1">VLOOKUP(B412,SS!A1:I45,IF(Settings!$J$13="points",4,7),FALSE)</f>
        <v>32</v>
      </c>
      <c r="G412" s="29">
        <f>(M412*Settings!$B$2)+(N412*Settings!$B$3)+(O412*Settings!$B$4)+(P412*Settings!$B$5)+(Q412*Settings!$B$6)+(T412*Settings!$B$9)+(U412*Settings!$B$10)+(V412*Settings!$B$11)+(W412*Settings!$B$12)+(X412*Settings!$B$13)+(AA412*Settings!$B$16)</f>
        <v>230.48333333333349</v>
      </c>
      <c r="H412" s="30">
        <f>VLOOKUP(B412,'Standard Deviations'!$A1:$D651,4,FALSE)</f>
        <v>-1.861224591386446</v>
      </c>
      <c r="I412" s="31">
        <f ca="1">IF(Settings!$J$16="no",VLOOKUP(B412,SS!A1:I45,IF(Settings!$J$13="points",6,9),FALSE),VLOOKUP(B412,'2B+SS'!$A1:$I94,IF(Settings!$J$13="points",6,9),FALSE))</f>
        <v>-4.8656463638775413</v>
      </c>
      <c r="J412" s="30"/>
      <c r="K412" s="30">
        <f ca="1">J412-A412</f>
        <v>-582</v>
      </c>
      <c r="L412" s="30"/>
      <c r="M412" s="30">
        <f>VLOOKUP($B412,Hitters!$A1:$R401,4,FALSE)</f>
        <v>333.66666666666703</v>
      </c>
      <c r="N412" s="30">
        <f>VLOOKUP($B412,Hitters!$A1:$R401,5,FALSE)</f>
        <v>39.066666666666698</v>
      </c>
      <c r="O412" s="30">
        <f>VLOOKUP($B412,Hitters!$A1:$R401,6,FALSE)</f>
        <v>8.7333333333333307</v>
      </c>
      <c r="P412" s="30">
        <f>VLOOKUP($B412,Hitters!$A1:$R401,7,FALSE)</f>
        <v>42.4</v>
      </c>
      <c r="Q412" s="30">
        <f>VLOOKUP($B412,Hitters!$A1:$R401,8,FALSE)</f>
        <v>2.7333333333333298</v>
      </c>
      <c r="R412" s="32">
        <f>VLOOKUP($B412,Hitters!$A1:$R401,9,FALSE)</f>
        <v>0.256543456543457</v>
      </c>
      <c r="S412" s="32">
        <f>VLOOKUP($B412,Hitters!$A1:$R401,10,FALSE)</f>
        <v>0.29493975002570799</v>
      </c>
      <c r="T412" s="30">
        <f>VLOOKUP($B412,Hitters!$A1:$R401,11,FALSE)</f>
        <v>85.6</v>
      </c>
      <c r="U412" s="30">
        <f>VLOOKUP($B412,Hitters!$A1:$R401,12,FALSE)</f>
        <v>16.366666666666699</v>
      </c>
      <c r="V412" s="30">
        <f>VLOOKUP($B412,Hitters!$A1:$R401,13,FALSE)</f>
        <v>0.93333333333333302</v>
      </c>
      <c r="W412" s="30">
        <f>VLOOKUP($B412,Hitters!$A1:$R401,14,FALSE)</f>
        <v>19.566666666666698</v>
      </c>
      <c r="X412" s="30">
        <f>VLOOKUP($B412,Hitters!$A1:$R401,15,FALSE)</f>
        <v>64.1666666666667</v>
      </c>
      <c r="Y412" s="32">
        <f>VLOOKUP($B412,Hitters!$A1:$R401,16,FALSE)</f>
        <v>0.38971028971028998</v>
      </c>
      <c r="Z412" s="32">
        <f>VLOOKUP($B412,Hitters!$A1:$R401,17,FALSE)</f>
        <v>0.68465003973599803</v>
      </c>
      <c r="AA412" s="30">
        <f>VLOOKUP($B412,Hitters!$A1:$R401,18,FALSE)</f>
        <v>0</v>
      </c>
      <c r="AB412" s="30"/>
      <c r="AC412" s="30"/>
      <c r="AD412" s="32"/>
      <c r="AE412" s="32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</row>
    <row r="413" spans="1:44" ht="18.600000000000001" customHeight="1">
      <c r="A413" s="24">
        <f ca="1">RANK(I413,I$2:I$651)</f>
        <v>478</v>
      </c>
      <c r="B413" s="25" t="s">
        <v>575</v>
      </c>
      <c r="C413" s="26" t="s">
        <v>99</v>
      </c>
      <c r="D413" s="26" t="s">
        <v>75</v>
      </c>
      <c r="E413" s="33" t="s">
        <v>15</v>
      </c>
      <c r="F413" s="34">
        <f ca="1">VLOOKUP(B413,'3B'!A1:I55,IF(Settings!$J$13="points",4,7),FALSE)</f>
        <v>36</v>
      </c>
      <c r="G413" s="29">
        <f>(M413*Settings!$B$2)+(N413*Settings!$B$3)+(O413*Settings!$B$4)+(P413*Settings!$B$5)+(Q413*Settings!$B$6)+(T413*Settings!$B$9)+(U413*Settings!$B$10)+(V413*Settings!$B$11)+(W413*Settings!$B$12)+(X413*Settings!$B$13)+(AA413*Settings!$B$16)</f>
        <v>230.01666666666654</v>
      </c>
      <c r="H413" s="30">
        <f>VLOOKUP(B413,'Standard Deviations'!$A1:$D651,4,FALSE)</f>
        <v>-2.6255571404159124</v>
      </c>
      <c r="I413" s="31">
        <f ca="1">IF(Settings!$J$15="no",VLOOKUP(B413,'3B'!A1:I55,IF(Settings!$J$13="points",6,9),FALSE),VLOOKUP(B413,'1B+3B'!$A1:$I104,IF(Settings!$J$13="points",6,9),FALSE))</f>
        <v>-3.3532343157217146</v>
      </c>
      <c r="J413" s="30"/>
      <c r="K413" s="30">
        <f ca="1">J413-A413</f>
        <v>-478</v>
      </c>
      <c r="L413" s="30"/>
      <c r="M413" s="30">
        <f>VLOOKUP($B413,Hitters!$A1:$R401,4,FALSE)</f>
        <v>338.66666666666703</v>
      </c>
      <c r="N413" s="30">
        <f>VLOOKUP($B413,Hitters!$A1:$R401,5,FALSE)</f>
        <v>42.466666666666697</v>
      </c>
      <c r="O413" s="30">
        <f>VLOOKUP($B413,Hitters!$A1:$R401,6,FALSE)</f>
        <v>11</v>
      </c>
      <c r="P413" s="30">
        <f>VLOOKUP($B413,Hitters!$A1:$R401,7,FALSE)</f>
        <v>41.433333333333302</v>
      </c>
      <c r="Q413" s="30">
        <f>VLOOKUP($B413,Hitters!$A1:$R401,8,FALSE)</f>
        <v>2.2666666666666702</v>
      </c>
      <c r="R413" s="32">
        <f>VLOOKUP($B413,Hitters!$A1:$R401,9,FALSE)</f>
        <v>0.23425196850393701</v>
      </c>
      <c r="S413" s="32">
        <f>VLOOKUP($B413,Hitters!$A1:$R401,10,FALSE)</f>
        <v>0.30580608793686598</v>
      </c>
      <c r="T413" s="30">
        <f>VLOOKUP($B413,Hitters!$A1:$R401,11,FALSE)</f>
        <v>79.3333333333333</v>
      </c>
      <c r="U413" s="30">
        <f>VLOOKUP($B413,Hitters!$A1:$R401,12,FALSE)</f>
        <v>15.0666666666667</v>
      </c>
      <c r="V413" s="30">
        <f>VLOOKUP($B413,Hitters!$A1:$R401,13,FALSE)</f>
        <v>0.96666666666666701</v>
      </c>
      <c r="W413" s="30">
        <f>VLOOKUP($B413,Hitters!$A1:$R401,14,FALSE)</f>
        <v>36.4</v>
      </c>
      <c r="X413" s="30">
        <f>VLOOKUP($B413,Hitters!$A1:$R401,15,FALSE)</f>
        <v>102.366666666667</v>
      </c>
      <c r="Y413" s="32">
        <f>VLOOKUP($B413,Hitters!$A1:$R401,16,FALSE)</f>
        <v>0.38188976377952799</v>
      </c>
      <c r="Z413" s="32">
        <f>VLOOKUP($B413,Hitters!$A1:$R401,17,FALSE)</f>
        <v>0.68769585171639303</v>
      </c>
      <c r="AA413" s="30">
        <f>VLOOKUP($B413,Hitters!$A1:$R401,18,FALSE)</f>
        <v>0</v>
      </c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</row>
    <row r="414" spans="1:44" ht="20.100000000000001" customHeight="1">
      <c r="A414" s="24">
        <f ca="1">RANK(I414,I$2:I$651)</f>
        <v>465</v>
      </c>
      <c r="B414" s="25" t="s">
        <v>562</v>
      </c>
      <c r="C414" s="26" t="s">
        <v>260</v>
      </c>
      <c r="D414" s="26" t="s">
        <v>70</v>
      </c>
      <c r="E414" s="41" t="s">
        <v>34</v>
      </c>
      <c r="F414" s="42">
        <f ca="1">VLOOKUP(B414,RP!A1:I91,IF(Settings!$J$13="points",4,7),FALSE)</f>
        <v>63</v>
      </c>
      <c r="G414" s="29">
        <f>(AC414*Settings!$F$2)+(AF414*Settings!$F$5)+(AG414*Settings!$F$6)+(AH414*Settings!$F$7)+(AI414*Settings!$F$8)+(AJ414*Settings!$F$9)+(AK414*Settings!$F$10)+(AL414*Settings!$F$11)+(AM414*Settings!$F$12)+(AN414*Settings!$F$13)+(AO414*Settings!$F$14)+(AP414*Settings!$F$15)+(AQ414*Settings!$F$16)+(AR414*Settings!$F$17)</f>
        <v>229.64999999999998</v>
      </c>
      <c r="H414" s="30">
        <f>VLOOKUP(B414,'Standard Deviations'!$A1:$D651,4,FALSE)</f>
        <v>-1.5575816505401625</v>
      </c>
      <c r="I414" s="31">
        <f ca="1">IF(Settings!$J$16="no",VLOOKUP(B414,RP!A1:I91,IF(Settings!$J$13="points",6,9),FALSE),VLOOKUP(B414,'SP+RP'!$A1:$I251,IF(Settings!$J$13="points",6,9),FALSE))</f>
        <v>-3.1286522310310172</v>
      </c>
      <c r="J414" s="30"/>
      <c r="K414" s="30">
        <f ca="1">J414-A414</f>
        <v>-465</v>
      </c>
      <c r="L414" s="30"/>
      <c r="M414" s="30"/>
      <c r="N414" s="30"/>
      <c r="O414" s="30"/>
      <c r="P414" s="30"/>
      <c r="Q414" s="30"/>
      <c r="R414" s="32"/>
      <c r="S414" s="32"/>
      <c r="T414" s="30"/>
      <c r="U414" s="30"/>
      <c r="V414" s="30"/>
      <c r="W414" s="30"/>
      <c r="X414" s="30"/>
      <c r="Y414" s="32"/>
      <c r="Z414" s="32"/>
      <c r="AA414" s="30"/>
      <c r="AB414" s="30"/>
      <c r="AC414" s="30">
        <f>VLOOKUP($B414,Pitchers!$A1:$S251,4,FALSE)</f>
        <v>60.79999999999999</v>
      </c>
      <c r="AD414" s="32">
        <f>VLOOKUP($B414,Pitchers!$A1:$S251,5,FALSE)</f>
        <v>3.8042763157894739</v>
      </c>
      <c r="AE414" s="32">
        <f>VLOOKUP($B414,Pitchers!$A1:$S251,6,FALSE)</f>
        <v>1.3273026315789476</v>
      </c>
      <c r="AF414" s="30">
        <f>VLOOKUP($B414,Pitchers!$A1:$S251,7,FALSE)</f>
        <v>70.100000000000009</v>
      </c>
      <c r="AG414" s="30">
        <f>VLOOKUP($B414,Pitchers!$A1:$S251,8,FALSE)</f>
        <v>3.3000000000000003</v>
      </c>
      <c r="AH414" s="30">
        <f>VLOOKUP($B414,Pitchers!$A1:$S251,9,FALSE)</f>
        <v>16</v>
      </c>
      <c r="AI414" s="30">
        <f>VLOOKUP($B414,Pitchers!$A1:$S251,10,FALSE)</f>
        <v>25.7</v>
      </c>
      <c r="AJ414" s="30">
        <f>VLOOKUP($B414,Pitchers!$A1:$S251,11,FALSE)</f>
        <v>53.133333333333333</v>
      </c>
      <c r="AK414" s="30">
        <f>VLOOKUP($B414,Pitchers!$A1:$S251,12,FALSE)</f>
        <v>27.566666666666666</v>
      </c>
      <c r="AL414" s="30">
        <f>VLOOKUP($B414,Pitchers!$A1:$S251,13,FALSE)</f>
        <v>6</v>
      </c>
      <c r="AM414" s="30">
        <f>VLOOKUP($B414,Pitchers!$A1:$S251,14,FALSE)</f>
        <v>63.933333333333337</v>
      </c>
      <c r="AN414" s="30">
        <f>VLOOKUP($B414,Pitchers!$A1:$S251,15,FALSE)</f>
        <v>0</v>
      </c>
      <c r="AO414" s="30">
        <f>VLOOKUP($B414,Pitchers!$A1:$S251,16,FALSE)</f>
        <v>3.3000000000000003</v>
      </c>
      <c r="AP414" s="30">
        <f>VLOOKUP($B414,Pitchers!$A1:$S251,17,FALSE)</f>
        <v>0</v>
      </c>
      <c r="AQ414" s="30">
        <f>VLOOKUP($B414,Pitchers!$A1:$S251,18,FALSE)</f>
        <v>5.5</v>
      </c>
      <c r="AR414" s="30">
        <f>VLOOKUP($B414,Pitchers!$A1:$S251,19,FALSE)</f>
        <v>7</v>
      </c>
    </row>
    <row r="415" spans="1:44" ht="20.100000000000001" customHeight="1">
      <c r="A415" s="24">
        <f ca="1">RANK(I415,I$2:I$651)</f>
        <v>388</v>
      </c>
      <c r="B415" s="25" t="s">
        <v>488</v>
      </c>
      <c r="C415" s="26" t="s">
        <v>105</v>
      </c>
      <c r="D415" s="26" t="s">
        <v>70</v>
      </c>
      <c r="E415" s="35" t="s">
        <v>31</v>
      </c>
      <c r="F415" s="36">
        <f ca="1">VLOOKUP(B415,SP!A1:I161,IF(Settings!$J$13="points",4,7),FALSE)</f>
        <v>116</v>
      </c>
      <c r="G415" s="29">
        <f>(AC415*Settings!$F$2)+(AF415*Settings!$F$5)+(AG415*Settings!$F$6)+(AH415*Settings!$F$7)+(AI415*Settings!$F$8)+(AJ415*Settings!$F$9)+(AK415*Settings!$F$10)+(AL415*Settings!$F$11)+(AM415*Settings!$F$12)+(AN415*Settings!$F$13)+(AO415*Settings!$F$14)+(AP415*Settings!$F$15)+(AQ415*Settings!$F$16)+(AR415*Settings!$F$17)</f>
        <v>229.12866666666659</v>
      </c>
      <c r="H415" s="30">
        <f>VLOOKUP(B415,'Standard Deviations'!$A1:$D651,4,FALSE)</f>
        <v>-2.1719262189835988</v>
      </c>
      <c r="I415" s="31">
        <f ca="1">IF(Settings!$J$16="no",VLOOKUP(B415,SP!A1:I161,IF(Settings!$J$13="points",6,9),FALSE),VLOOKUP(B415,'SP+RP'!$A1:$I251,IF(Settings!$J$13="points",6,9),FALSE))</f>
        <v>-2.3079083046141622</v>
      </c>
      <c r="J415" s="30"/>
      <c r="K415" s="30">
        <f ca="1">J415-A415</f>
        <v>-388</v>
      </c>
      <c r="L415" s="30"/>
      <c r="M415" s="30"/>
      <c r="N415" s="30"/>
      <c r="O415" s="30"/>
      <c r="P415" s="30"/>
      <c r="Q415" s="30"/>
      <c r="R415" s="32"/>
      <c r="S415" s="32"/>
      <c r="T415" s="30"/>
      <c r="U415" s="30"/>
      <c r="V415" s="30"/>
      <c r="W415" s="30"/>
      <c r="X415" s="30"/>
      <c r="Y415" s="32"/>
      <c r="Z415" s="32"/>
      <c r="AA415" s="30"/>
      <c r="AB415" s="30"/>
      <c r="AC415" s="30">
        <f>VLOOKUP($B415,Pitchers!$A1:$S251,4,FALSE)</f>
        <v>115.96666666666665</v>
      </c>
      <c r="AD415" s="32">
        <f>VLOOKUP($B415,Pitchers!$A1:$S251,5,FALSE)</f>
        <v>3.9195918367346945</v>
      </c>
      <c r="AE415" s="32">
        <f>VLOOKUP($B415,Pitchers!$A1:$S251,6,FALSE)</f>
        <v>1.2972118424834724</v>
      </c>
      <c r="AF415" s="30">
        <f>VLOOKUP($B415,Pitchers!$A1:$S251,7,FALSE)</f>
        <v>107.26666666666667</v>
      </c>
      <c r="AG415" s="30">
        <f>VLOOKUP($B415,Pitchers!$A1:$S251,8,FALSE)</f>
        <v>5.4333333333333336</v>
      </c>
      <c r="AH415" s="30">
        <f>VLOOKUP($B415,Pitchers!$A1:$S251,9,FALSE)</f>
        <v>0</v>
      </c>
      <c r="AI415" s="30">
        <f>VLOOKUP($B415,Pitchers!$A1:$S251,10,FALSE)</f>
        <v>50.504666666666672</v>
      </c>
      <c r="AJ415" s="30">
        <f>VLOOKUP($B415,Pitchers!$A1:$S251,11,FALSE)</f>
        <v>113.10000000000001</v>
      </c>
      <c r="AK415" s="30">
        <f>VLOOKUP($B415,Pitchers!$A1:$S251,12,FALSE)</f>
        <v>37.333333333333336</v>
      </c>
      <c r="AL415" s="30">
        <f>VLOOKUP($B415,Pitchers!$A1:$S251,13,FALSE)</f>
        <v>11</v>
      </c>
      <c r="AM415" s="30">
        <f>VLOOKUP($B415,Pitchers!$A1:$S251,14,FALSE)</f>
        <v>23.133333333333336</v>
      </c>
      <c r="AN415" s="30">
        <f>VLOOKUP($B415,Pitchers!$A1:$S251,15,FALSE)</f>
        <v>20.8</v>
      </c>
      <c r="AO415" s="30">
        <f>VLOOKUP($B415,Pitchers!$A1:$S251,16,FALSE)</f>
        <v>7.3</v>
      </c>
      <c r="AP415" s="30">
        <f>VLOOKUP($B415,Pitchers!$A1:$S251,17,FALSE)</f>
        <v>9</v>
      </c>
      <c r="AQ415" s="30">
        <f>VLOOKUP($B415,Pitchers!$A1:$S251,18,FALSE)</f>
        <v>0</v>
      </c>
      <c r="AR415" s="30">
        <f>VLOOKUP($B415,Pitchers!$A1:$S251,19,FALSE)</f>
        <v>0</v>
      </c>
    </row>
    <row r="416" spans="1:44" ht="20.100000000000001" customHeight="1">
      <c r="A416" s="24">
        <f ca="1">RANK(I416,I$2:I$651)</f>
        <v>615</v>
      </c>
      <c r="B416" s="25" t="s">
        <v>711</v>
      </c>
      <c r="C416" s="26" t="s">
        <v>97</v>
      </c>
      <c r="D416" s="26" t="s">
        <v>75</v>
      </c>
      <c r="E416" s="43" t="s">
        <v>114</v>
      </c>
      <c r="F416" s="44">
        <f ca="1">VLOOKUP(B416,'1B'!A1:I63,IF(Settings!$J$13="points",4,7),FALSE)</f>
        <v>51</v>
      </c>
      <c r="G416" s="29">
        <f>(M416*Settings!$B$2)+(N416*Settings!$B$3)+(O416*Settings!$B$4)+(P416*Settings!$B$5)+(Q416*Settings!$B$6)+(T416*Settings!$B$9)+(U416*Settings!$B$10)+(V416*Settings!$B$11)+(W416*Settings!$B$12)+(X416*Settings!$B$13)+(AA416*Settings!$B$16)</f>
        <v>228.8</v>
      </c>
      <c r="H416" s="30">
        <f>VLOOKUP(B416,'Standard Deviations'!$A1:$D651,4,FALSE)</f>
        <v>-3.3651396914081353</v>
      </c>
      <c r="I416" s="31">
        <f ca="1">VLOOKUP(B416,'1B'!A1:I63,IF(Settings!$J$13="points",6,9),FALSE)</f>
        <v>-5.9446686275342167</v>
      </c>
      <c r="J416" s="30"/>
      <c r="K416" s="30">
        <f ca="1">J416-A416</f>
        <v>-615</v>
      </c>
      <c r="L416" s="30"/>
      <c r="M416" s="30">
        <f>VLOOKUP($B416,Hitters!$A1:$R401,4,FALSE)</f>
        <v>286.5</v>
      </c>
      <c r="N416" s="30">
        <f>VLOOKUP($B416,Hitters!$A1:$R401,5,FALSE)</f>
        <v>40.6</v>
      </c>
      <c r="O416" s="30">
        <f>VLOOKUP($B416,Hitters!$A1:$R401,6,FALSE)</f>
        <v>12.6</v>
      </c>
      <c r="P416" s="30">
        <f>VLOOKUP($B416,Hitters!$A1:$R401,7,FALSE)</f>
        <v>39.549999999999997</v>
      </c>
      <c r="Q416" s="30">
        <f>VLOOKUP($B416,Hitters!$A1:$R401,8,FALSE)</f>
        <v>0.35</v>
      </c>
      <c r="R416" s="32">
        <f>VLOOKUP($B416,Hitters!$A1:$R401,9,FALSE)</f>
        <v>0.22443280977312399</v>
      </c>
      <c r="S416" s="32">
        <f>VLOOKUP($B416,Hitters!$A1:$R401,10,FALSE)</f>
        <v>0.33962707040476497</v>
      </c>
      <c r="T416" s="30">
        <f>VLOOKUP($B416,Hitters!$A1:$R401,11,FALSE)</f>
        <v>64.3</v>
      </c>
      <c r="U416" s="30">
        <f>VLOOKUP($B416,Hitters!$A1:$R401,12,FALSE)</f>
        <v>10.85</v>
      </c>
      <c r="V416" s="30">
        <f>VLOOKUP($B416,Hitters!$A1:$R401,13,FALSE)</f>
        <v>0.8</v>
      </c>
      <c r="W416" s="30">
        <f>VLOOKUP($B416,Hitters!$A1:$R401,14,FALSE)</f>
        <v>51.45</v>
      </c>
      <c r="X416" s="30">
        <f>VLOOKUP($B416,Hitters!$A1:$R401,15,FALSE)</f>
        <v>84.6</v>
      </c>
      <c r="Y416" s="32">
        <f>VLOOKUP($B416,Hitters!$A1:$R401,16,FALSE)</f>
        <v>0.39982547993019202</v>
      </c>
      <c r="Z416" s="32">
        <f>VLOOKUP($B416,Hitters!$A1:$R401,17,FALSE)</f>
        <v>0.73945255033495705</v>
      </c>
      <c r="AA416" s="30">
        <f>VLOOKUP($B416,Hitters!$A1:$R401,18,FALSE)</f>
        <v>0</v>
      </c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</row>
    <row r="417" spans="1:44" ht="18.600000000000001" customHeight="1">
      <c r="A417" s="24">
        <f ca="1">RANK(I417,I$2:I$651)</f>
        <v>547</v>
      </c>
      <c r="B417" s="25" t="s">
        <v>643</v>
      </c>
      <c r="C417" s="26" t="s">
        <v>103</v>
      </c>
      <c r="D417" s="26" t="s">
        <v>70</v>
      </c>
      <c r="E417" s="47" t="s">
        <v>11</v>
      </c>
      <c r="F417" s="48">
        <f ca="1">VLOOKUP(B417,'2B'!A1:I50,IF(Settings!$J$13="points",4,7),FALSE)</f>
        <v>39</v>
      </c>
      <c r="G417" s="29">
        <f>(M417*Settings!$B$2)+(N417*Settings!$B$3)+(O417*Settings!$B$4)+(P417*Settings!$B$5)+(Q417*Settings!$B$6)+(T417*Settings!$B$9)+(U417*Settings!$B$10)+(V417*Settings!$B$11)+(W417*Settings!$B$12)+(X417*Settings!$B$13)+(AA417*Settings!$B$16)</f>
        <v>228.75000000000003</v>
      </c>
      <c r="H417" s="30">
        <f>VLOOKUP(B417,'Standard Deviations'!$A1:$D651,4,FALSE)</f>
        <v>-1.915339344946251</v>
      </c>
      <c r="I417" s="31">
        <f ca="1">IF(Settings!$J$16="no",VLOOKUP(B417,'2B'!A1:I50,IF(Settings!$J$13="points",6,9),FALSE),VLOOKUP(B417,'2B+SS'!$A1:$I94,IF(Settings!$J$13="points",6,9),FALSE))</f>
        <v>-4.2230695764116657</v>
      </c>
      <c r="J417" s="30"/>
      <c r="K417" s="30">
        <f ca="1">J417-A417</f>
        <v>-547</v>
      </c>
      <c r="L417" s="30"/>
      <c r="M417" s="30">
        <f>VLOOKUP($B417,Hitters!$A1:$R401,4,FALSE)</f>
        <v>314.5</v>
      </c>
      <c r="N417" s="30">
        <f>VLOOKUP($B417,Hitters!$A1:$R401,5,FALSE)</f>
        <v>40.549999999999997</v>
      </c>
      <c r="O417" s="30">
        <f>VLOOKUP($B417,Hitters!$A1:$R401,6,FALSE)</f>
        <v>9.9</v>
      </c>
      <c r="P417" s="30">
        <f>VLOOKUP($B417,Hitters!$A1:$R401,7,FALSE)</f>
        <v>39.65</v>
      </c>
      <c r="Q417" s="30">
        <f>VLOOKUP($B417,Hitters!$A1:$R401,8,FALSE)</f>
        <v>2.4</v>
      </c>
      <c r="R417" s="32">
        <f>VLOOKUP($B417,Hitters!$A1:$R401,9,FALSE)</f>
        <v>0.25468998410174898</v>
      </c>
      <c r="S417" s="32">
        <f>VLOOKUP($B417,Hitters!$A1:$R401,10,FALSE)</f>
        <v>0.31393955147366698</v>
      </c>
      <c r="T417" s="30">
        <f>VLOOKUP($B417,Hitters!$A1:$R401,11,FALSE)</f>
        <v>80.099999999999994</v>
      </c>
      <c r="U417" s="30">
        <f>VLOOKUP($B417,Hitters!$A1:$R401,12,FALSE)</f>
        <v>16.2</v>
      </c>
      <c r="V417" s="30">
        <f>VLOOKUP($B417,Hitters!$A1:$R401,13,FALSE)</f>
        <v>1.05</v>
      </c>
      <c r="W417" s="30">
        <f>VLOOKUP($B417,Hitters!$A1:$R401,14,FALSE)</f>
        <v>28.6</v>
      </c>
      <c r="X417" s="30">
        <f>VLOOKUP($B417,Hitters!$A1:$R401,15,FALSE)</f>
        <v>80.2</v>
      </c>
      <c r="Y417" s="32">
        <f>VLOOKUP($B417,Hitters!$A1:$R401,16,FALSE)</f>
        <v>0.40731319554848999</v>
      </c>
      <c r="Z417" s="32">
        <f>VLOOKUP($B417,Hitters!$A1:$R401,17,FALSE)</f>
        <v>0.72125274702215703</v>
      </c>
      <c r="AA417" s="30">
        <f>VLOOKUP($B417,Hitters!$A1:$R401,18,FALSE)</f>
        <v>0</v>
      </c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</row>
    <row r="418" spans="1:44" ht="18.600000000000001" customHeight="1">
      <c r="A418" s="24">
        <f ca="1">RANK(I418,I$2:I$651)</f>
        <v>452</v>
      </c>
      <c r="B418" s="25" t="s">
        <v>549</v>
      </c>
      <c r="C418" s="26" t="s">
        <v>136</v>
      </c>
      <c r="D418" s="26" t="s">
        <v>75</v>
      </c>
      <c r="E418" s="47" t="s">
        <v>11</v>
      </c>
      <c r="F418" s="48">
        <f ca="1">VLOOKUP(B418,'2B'!A1:I50,IF(Settings!$J$13="points",4,7),FALSE)</f>
        <v>32</v>
      </c>
      <c r="G418" s="29">
        <f>(M418*Settings!$B$2)+(N418*Settings!$B$3)+(O418*Settings!$B$4)+(P418*Settings!$B$5)+(Q418*Settings!$B$6)+(T418*Settings!$B$9)+(U418*Settings!$B$10)+(V418*Settings!$B$11)+(W418*Settings!$B$12)+(X418*Settings!$B$13)+(AA418*Settings!$B$16)</f>
        <v>228.39999999999992</v>
      </c>
      <c r="H418" s="30">
        <f>VLOOKUP(B418,'Standard Deviations'!$A1:$D651,4,FALSE)</f>
        <v>-0.68961409165823773</v>
      </c>
      <c r="I418" s="31">
        <f ca="1">IF(Settings!$J$16="no",VLOOKUP(B418,'2B'!A1:I50,IF(Settings!$J$13="points",6,9),FALSE),VLOOKUP(B418,'2B+SS'!$A1:$I94,IF(Settings!$J$13="points",6,9),FALSE))</f>
        <v>-2.9973509984106959</v>
      </c>
      <c r="J418" s="30"/>
      <c r="K418" s="30">
        <f ca="1">J418-A418</f>
        <v>-452</v>
      </c>
      <c r="L418" s="30"/>
      <c r="M418" s="30">
        <f>VLOOKUP($B418,Hitters!$A1:$R401,4,FALSE)</f>
        <v>285</v>
      </c>
      <c r="N418" s="30">
        <f>VLOOKUP($B418,Hitters!$A1:$R401,5,FALSE)</f>
        <v>38.633333333333297</v>
      </c>
      <c r="O418" s="30">
        <f>VLOOKUP($B418,Hitters!$A1:$R401,6,FALSE)</f>
        <v>4.4000000000000004</v>
      </c>
      <c r="P418" s="30">
        <f>VLOOKUP($B418,Hitters!$A1:$R401,7,FALSE)</f>
        <v>25.3</v>
      </c>
      <c r="Q418" s="30">
        <f>VLOOKUP($B418,Hitters!$A1:$R401,8,FALSE)</f>
        <v>24.3333333333333</v>
      </c>
      <c r="R418" s="32">
        <f>VLOOKUP($B418,Hitters!$A1:$R401,9,FALSE)</f>
        <v>0.24163742690058501</v>
      </c>
      <c r="S418" s="32">
        <f>VLOOKUP($B418,Hitters!$A1:$R401,10,FALSE)</f>
        <v>0.32094681895705202</v>
      </c>
      <c r="T418" s="30">
        <f>VLOOKUP($B418,Hitters!$A1:$R401,11,FALSE)</f>
        <v>68.866666666666703</v>
      </c>
      <c r="U418" s="30">
        <f>VLOOKUP($B418,Hitters!$A1:$R401,12,FALSE)</f>
        <v>13.1</v>
      </c>
      <c r="V418" s="30">
        <f>VLOOKUP($B418,Hitters!$A1:$R401,13,FALSE)</f>
        <v>1.7333333333333301</v>
      </c>
      <c r="W418" s="30">
        <f>VLOOKUP($B418,Hitters!$A1:$R401,14,FALSE)</f>
        <v>34.633333333333297</v>
      </c>
      <c r="X418" s="30">
        <f>VLOOKUP($B418,Hitters!$A1:$R401,15,FALSE)</f>
        <v>73.400000000000006</v>
      </c>
      <c r="Y418" s="32">
        <f>VLOOKUP($B418,Hitters!$A1:$R401,16,FALSE)</f>
        <v>0.34608187134502899</v>
      </c>
      <c r="Z418" s="32">
        <f>VLOOKUP($B418,Hitters!$A1:$R401,17,FALSE)</f>
        <v>0.66702869030208101</v>
      </c>
      <c r="AA418" s="30">
        <f>VLOOKUP($B418,Hitters!$A1:$R401,18,FALSE)</f>
        <v>0</v>
      </c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</row>
    <row r="419" spans="1:44" ht="18.600000000000001" customHeight="1">
      <c r="A419" s="24">
        <f ca="1">RANK(I419,I$2:I$651)</f>
        <v>316</v>
      </c>
      <c r="B419" s="25" t="s">
        <v>413</v>
      </c>
      <c r="C419" s="26" t="s">
        <v>97</v>
      </c>
      <c r="D419" s="26" t="s">
        <v>75</v>
      </c>
      <c r="E419" s="35" t="s">
        <v>31</v>
      </c>
      <c r="F419" s="36">
        <f ca="1">VLOOKUP(B419,SP!A1:I161,IF(Settings!$J$13="points",4,7),FALSE)</f>
        <v>94</v>
      </c>
      <c r="G419" s="29">
        <f>(AC419*Settings!$F$2)+(AF419*Settings!$F$5)+(AG419*Settings!$F$6)+(AH419*Settings!$F$7)+(AI419*Settings!$F$8)+(AJ419*Settings!$F$9)+(AK419*Settings!$F$10)+(AL419*Settings!$F$11)+(AM419*Settings!$F$12)+(AN419*Settings!$F$13)+(AO419*Settings!$F$14)+(AP419*Settings!$F$15)+(AQ419*Settings!$F$16)+(AR419*Settings!$F$17)</f>
        <v>228.26666666666671</v>
      </c>
      <c r="H419" s="30">
        <f>VLOOKUP(B419,'Standard Deviations'!$A1:$D651,4,FALSE)</f>
        <v>-1.1334452578903895</v>
      </c>
      <c r="I419" s="31">
        <f ca="1">IF(Settings!$J$16="no",VLOOKUP(B419,SP!A1:I161,IF(Settings!$J$13="points",6,9),FALSE),VLOOKUP(B419,'SP+RP'!$A1:$I251,IF(Settings!$J$13="points",6,9),FALSE))</f>
        <v>-1.2694299714117254</v>
      </c>
      <c r="J419" s="30"/>
      <c r="K419" s="30">
        <f ca="1">J419-A419</f>
        <v>-316</v>
      </c>
      <c r="L419" s="30"/>
      <c r="M419" s="30"/>
      <c r="N419" s="30"/>
      <c r="O419" s="30"/>
      <c r="P419" s="30"/>
      <c r="Q419" s="30"/>
      <c r="R419" s="32"/>
      <c r="S419" s="32"/>
      <c r="T419" s="30"/>
      <c r="U419" s="30"/>
      <c r="V419" s="30"/>
      <c r="W419" s="30"/>
      <c r="X419" s="30"/>
      <c r="Y419" s="32"/>
      <c r="Z419" s="32"/>
      <c r="AA419" s="30"/>
      <c r="AB419" s="30"/>
      <c r="AC419" s="30">
        <f>VLOOKUP($B419,Pitchers!$A1:$S251,4,FALSE)</f>
        <v>105.86666666666667</v>
      </c>
      <c r="AD419" s="32">
        <f>VLOOKUP($B419,Pitchers!$A1:$S251,5,FALSE)</f>
        <v>3.8255667506297226</v>
      </c>
      <c r="AE419" s="32">
        <f>VLOOKUP($B419,Pitchers!$A1:$S251,6,FALSE)</f>
        <v>1.2531486146095716</v>
      </c>
      <c r="AF419" s="30">
        <f>VLOOKUP($B419,Pitchers!$A1:$S251,7,FALSE)</f>
        <v>118.33333333333333</v>
      </c>
      <c r="AG419" s="30">
        <f>VLOOKUP($B419,Pitchers!$A1:$S251,8,FALSE)</f>
        <v>6</v>
      </c>
      <c r="AH419" s="30">
        <f>VLOOKUP($B419,Pitchers!$A1:$S251,9,FALSE)</f>
        <v>0</v>
      </c>
      <c r="AI419" s="30">
        <f>VLOOKUP($B419,Pitchers!$A1:$S251,10,FALSE)</f>
        <v>45</v>
      </c>
      <c r="AJ419" s="30">
        <f>VLOOKUP($B419,Pitchers!$A1:$S251,11,FALSE)</f>
        <v>87.333333333333329</v>
      </c>
      <c r="AK419" s="30">
        <f>VLOOKUP($B419,Pitchers!$A1:$S251,12,FALSE)</f>
        <v>45.333333333333336</v>
      </c>
      <c r="AL419" s="30">
        <f>VLOOKUP($B419,Pitchers!$A1:$S251,13,FALSE)</f>
        <v>6</v>
      </c>
      <c r="AM419" s="30">
        <f>VLOOKUP($B419,Pitchers!$A1:$S251,14,FALSE)</f>
        <v>35.800000000000004</v>
      </c>
      <c r="AN419" s="30">
        <f>VLOOKUP($B419,Pitchers!$A1:$S251,15,FALSE)</f>
        <v>14.666666666666666</v>
      </c>
      <c r="AO419" s="30">
        <f>VLOOKUP($B419,Pitchers!$A1:$S251,16,FALSE)</f>
        <v>3.7666666666666671</v>
      </c>
      <c r="AP419" s="30">
        <f>VLOOKUP($B419,Pitchers!$A1:$S251,17,FALSE)</f>
        <v>2</v>
      </c>
      <c r="AQ419" s="30">
        <f>VLOOKUP($B419,Pitchers!$A1:$S251,18,FALSE)</f>
        <v>2</v>
      </c>
      <c r="AR419" s="30">
        <f>VLOOKUP($B419,Pitchers!$A1:$S251,19,FALSE)</f>
        <v>0</v>
      </c>
    </row>
    <row r="420" spans="1:44" ht="18.600000000000001" customHeight="1">
      <c r="A420" s="24">
        <f ca="1">RANK(I420,I$2:I$651)</f>
        <v>475</v>
      </c>
      <c r="B420" s="25" t="s">
        <v>572</v>
      </c>
      <c r="C420" s="26" t="s">
        <v>69</v>
      </c>
      <c r="D420" s="26" t="s">
        <v>70</v>
      </c>
      <c r="E420" s="27" t="s">
        <v>23</v>
      </c>
      <c r="F420" s="28">
        <f ca="1">VLOOKUP(B420,OF!A1:I139,IF(Settings!$J$13="points",4,7),FALSE)</f>
        <v>116</v>
      </c>
      <c r="G420" s="29">
        <f>(M420*Settings!$B$2)+(N420*Settings!$B$3)+(O420*Settings!$B$4)+(P420*Settings!$B$5)+(Q420*Settings!$B$6)+(T420*Settings!$B$9)+(U420*Settings!$B$10)+(V420*Settings!$B$11)+(W420*Settings!$B$12)+(X420*Settings!$B$13)+(AA420*Settings!$B$16)</f>
        <v>227.46666666666664</v>
      </c>
      <c r="H420" s="30">
        <f>VLOOKUP(B420,'Standard Deviations'!$A1:$D651,4,FALSE)</f>
        <v>-3.2141823013475248</v>
      </c>
      <c r="I420" s="31">
        <f ca="1">VLOOKUP(B420,OF!A1:I139,IF(Settings!$J$13="points",6,9),FALSE)</f>
        <v>-3.3328968715269198</v>
      </c>
      <c r="J420" s="30"/>
      <c r="K420" s="30">
        <f ca="1">J420-A420</f>
        <v>-475</v>
      </c>
      <c r="L420" s="30"/>
      <c r="M420" s="30">
        <f>VLOOKUP($B420,Hitters!$A1:$R401,4,FALSE)</f>
        <v>307</v>
      </c>
      <c r="N420" s="30">
        <f>VLOOKUP($B420,Hitters!$A1:$R401,5,FALSE)</f>
        <v>42.2</v>
      </c>
      <c r="O420" s="30">
        <f>VLOOKUP($B420,Hitters!$A1:$R401,6,FALSE)</f>
        <v>8.7333333333333307</v>
      </c>
      <c r="P420" s="30">
        <f>VLOOKUP($B420,Hitters!$A1:$R401,7,FALSE)</f>
        <v>35.233333333333299</v>
      </c>
      <c r="Q420" s="30">
        <f>VLOOKUP($B420,Hitters!$A1:$R401,8,FALSE)</f>
        <v>6.43333333333333</v>
      </c>
      <c r="R420" s="32">
        <f>VLOOKUP($B420,Hitters!$A1:$R401,9,FALSE)</f>
        <v>0.22128121606949</v>
      </c>
      <c r="S420" s="32">
        <f>VLOOKUP($B420,Hitters!$A1:$R401,10,FALSE)</f>
        <v>0.32415031493938501</v>
      </c>
      <c r="T420" s="30">
        <f>VLOOKUP($B420,Hitters!$A1:$R401,11,FALSE)</f>
        <v>67.933333333333294</v>
      </c>
      <c r="U420" s="30">
        <f>VLOOKUP($B420,Hitters!$A1:$R401,12,FALSE)</f>
        <v>11.1666666666667</v>
      </c>
      <c r="V420" s="30">
        <f>VLOOKUP($B420,Hitters!$A1:$R401,13,FALSE)</f>
        <v>1.8333333333333299</v>
      </c>
      <c r="W420" s="30">
        <f>VLOOKUP($B420,Hitters!$A1:$R401,14,FALSE)</f>
        <v>48.2</v>
      </c>
      <c r="X420" s="30">
        <f>VLOOKUP($B420,Hitters!$A1:$R401,15,FALSE)</f>
        <v>83.466666666666697</v>
      </c>
      <c r="Y420" s="32">
        <f>VLOOKUP($B420,Hitters!$A1:$R401,16,FALSE)</f>
        <v>0.35494028230184599</v>
      </c>
      <c r="Z420" s="32">
        <f>VLOOKUP($B420,Hitters!$A1:$R401,17,FALSE)</f>
        <v>0.67909059724123</v>
      </c>
      <c r="AA420" s="30">
        <f>VLOOKUP($B420,Hitters!$A1:$R401,18,FALSE)</f>
        <v>0</v>
      </c>
      <c r="AB420" s="30"/>
      <c r="AC420" s="30"/>
      <c r="AD420" s="32"/>
      <c r="AE420" s="32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</row>
    <row r="421" spans="1:44" ht="20.100000000000001" customHeight="1">
      <c r="A421" s="24">
        <f ca="1">RANK(I421,I$2:I$651)</f>
        <v>446</v>
      </c>
      <c r="B421" s="25" t="s">
        <v>544</v>
      </c>
      <c r="C421" s="26" t="s">
        <v>119</v>
      </c>
      <c r="D421" s="26" t="s">
        <v>70</v>
      </c>
      <c r="E421" s="35" t="s">
        <v>31</v>
      </c>
      <c r="F421" s="36">
        <f ca="1">VLOOKUP(B421,SP!A1:I161,IF(Settings!$J$13="points",4,7),FALSE)</f>
        <v>129</v>
      </c>
      <c r="G421" s="29">
        <f>(AC421*Settings!$F$2)+(AF421*Settings!$F$5)+(AG421*Settings!$F$6)+(AH421*Settings!$F$7)+(AI421*Settings!$F$8)+(AJ421*Settings!$F$9)+(AK421*Settings!$F$10)+(AL421*Settings!$F$11)+(AM421*Settings!$F$12)+(AN421*Settings!$F$13)+(AO421*Settings!$F$14)+(AP421*Settings!$F$15)+(AQ421*Settings!$F$16)+(AR421*Settings!$F$17)</f>
        <v>227.21333333333337</v>
      </c>
      <c r="H421" s="30">
        <f>VLOOKUP(B421,'Standard Deviations'!$A1:$D651,4,FALSE)</f>
        <v>-2.8010010541931614</v>
      </c>
      <c r="I421" s="31">
        <f ca="1">IF(Settings!$J$16="no",VLOOKUP(B421,SP!A1:I161,IF(Settings!$J$13="points",6,9),FALSE),VLOOKUP(B421,'SP+RP'!$A1:$I251,IF(Settings!$J$13="points",6,9),FALSE))</f>
        <v>-2.9369834842385227</v>
      </c>
      <c r="J421" s="30"/>
      <c r="K421" s="30">
        <f ca="1">J421-A421</f>
        <v>-446</v>
      </c>
      <c r="L421" s="30"/>
      <c r="M421" s="30"/>
      <c r="N421" s="30"/>
      <c r="O421" s="30"/>
      <c r="P421" s="30"/>
      <c r="Q421" s="30"/>
      <c r="R421" s="32"/>
      <c r="S421" s="32"/>
      <c r="T421" s="30"/>
      <c r="U421" s="30"/>
      <c r="V421" s="30"/>
      <c r="W421" s="30"/>
      <c r="X421" s="30"/>
      <c r="Y421" s="32"/>
      <c r="Z421" s="32"/>
      <c r="AA421" s="30"/>
      <c r="AB421" s="30"/>
      <c r="AC421" s="30">
        <f>VLOOKUP($B421,Pitchers!$A1:$S251,4,FALSE)</f>
        <v>131.93333333333334</v>
      </c>
      <c r="AD421" s="32">
        <f>VLOOKUP($B421,Pitchers!$A1:$S251,5,FALSE)</f>
        <v>4.1852956038403226</v>
      </c>
      <c r="AE421" s="32">
        <f>VLOOKUP($B421,Pitchers!$A1:$S251,6,FALSE)</f>
        <v>1.3365336028297121</v>
      </c>
      <c r="AF421" s="30">
        <f>VLOOKUP($B421,Pitchers!$A1:$S251,7,FALSE)</f>
        <v>99</v>
      </c>
      <c r="AG421" s="30">
        <f>VLOOKUP($B421,Pitchers!$A1:$S251,8,FALSE)</f>
        <v>6.8</v>
      </c>
      <c r="AH421" s="30">
        <f>VLOOKUP($B421,Pitchers!$A1:$S251,9,FALSE)</f>
        <v>0.33333333333333331</v>
      </c>
      <c r="AI421" s="30">
        <f>VLOOKUP($B421,Pitchers!$A1:$S251,10,FALSE)</f>
        <v>61.353333333333332</v>
      </c>
      <c r="AJ421" s="30">
        <f>VLOOKUP($B421,Pitchers!$A1:$S251,11,FALSE)</f>
        <v>128.4</v>
      </c>
      <c r="AK421" s="30">
        <f>VLOOKUP($B421,Pitchers!$A1:$S251,12,FALSE)</f>
        <v>47.933333333333337</v>
      </c>
      <c r="AL421" s="30">
        <f>VLOOKUP($B421,Pitchers!$A1:$S251,13,FALSE)</f>
        <v>10</v>
      </c>
      <c r="AM421" s="30">
        <f>VLOOKUP($B421,Pitchers!$A1:$S251,14,FALSE)</f>
        <v>26.133333333333336</v>
      </c>
      <c r="AN421" s="30">
        <f>VLOOKUP($B421,Pitchers!$A1:$S251,15,FALSE)</f>
        <v>20.8</v>
      </c>
      <c r="AO421" s="30">
        <f>VLOOKUP($B421,Pitchers!$A1:$S251,16,FALSE)</f>
        <v>9.0666666666666664</v>
      </c>
      <c r="AP421" s="30">
        <f>VLOOKUP($B421,Pitchers!$A1:$S251,17,FALSE)</f>
        <v>5</v>
      </c>
      <c r="AQ421" s="30">
        <f>VLOOKUP($B421,Pitchers!$A1:$S251,18,FALSE)</f>
        <v>0.5</v>
      </c>
      <c r="AR421" s="30">
        <f>VLOOKUP($B421,Pitchers!$A1:$S251,19,FALSE)</f>
        <v>0</v>
      </c>
    </row>
    <row r="422" spans="1:44" ht="20.100000000000001" customHeight="1">
      <c r="A422" s="24">
        <f ca="1">RANK(I422,I$2:I$651)</f>
        <v>444</v>
      </c>
      <c r="B422" s="25" t="s">
        <v>542</v>
      </c>
      <c r="C422" s="26" t="s">
        <v>116</v>
      </c>
      <c r="D422" s="26" t="s">
        <v>70</v>
      </c>
      <c r="E422" s="35" t="s">
        <v>31</v>
      </c>
      <c r="F422" s="36">
        <f ca="1">VLOOKUP(B422,SP!A1:I161,IF(Settings!$J$13="points",4,7),FALSE)</f>
        <v>128</v>
      </c>
      <c r="G422" s="29">
        <f>(AC422*Settings!$F$2)+(AF422*Settings!$F$5)+(AG422*Settings!$F$6)+(AH422*Settings!$F$7)+(AI422*Settings!$F$8)+(AJ422*Settings!$F$9)+(AK422*Settings!$F$10)+(AL422*Settings!$F$11)+(AM422*Settings!$F$12)+(AN422*Settings!$F$13)+(AO422*Settings!$F$14)+(AP422*Settings!$F$15)+(AQ422*Settings!$F$16)+(AR422*Settings!$F$17)</f>
        <v>226.30400000000006</v>
      </c>
      <c r="H422" s="30">
        <f>VLOOKUP(B422,'Standard Deviations'!$A1:$D651,4,FALSE)</f>
        <v>-2.7818785481268224</v>
      </c>
      <c r="I422" s="31">
        <f ca="1">IF(Settings!$J$16="no",VLOOKUP(B422,SP!A1:I161,IF(Settings!$J$13="points",6,9),FALSE),VLOOKUP(B422,'SP+RP'!$A1:$I251,IF(Settings!$J$13="points",6,9),FALSE))</f>
        <v>-2.9178598677967003</v>
      </c>
      <c r="J422" s="30"/>
      <c r="K422" s="30">
        <f ca="1">J422-A422</f>
        <v>-444</v>
      </c>
      <c r="L422" s="30"/>
      <c r="M422" s="30"/>
      <c r="N422" s="30"/>
      <c r="O422" s="30"/>
      <c r="P422" s="30"/>
      <c r="Q422" s="30"/>
      <c r="R422" s="32"/>
      <c r="S422" s="32"/>
      <c r="T422" s="30"/>
      <c r="U422" s="30"/>
      <c r="V422" s="30"/>
      <c r="W422" s="30"/>
      <c r="X422" s="30"/>
      <c r="Y422" s="32"/>
      <c r="Z422" s="32"/>
      <c r="AA422" s="30"/>
      <c r="AB422" s="30"/>
      <c r="AC422" s="30">
        <f>VLOOKUP($B422,Pitchers!$A1:$S251,4,FALSE)</f>
        <v>114.36666666666667</v>
      </c>
      <c r="AD422" s="32">
        <f>VLOOKUP($B422,Pitchers!$A1:$S251,5,FALSE)</f>
        <v>4.3462314194112501</v>
      </c>
      <c r="AE422" s="32">
        <f>VLOOKUP($B422,Pitchers!$A1:$S251,6,FALSE)</f>
        <v>1.2920431361119205</v>
      </c>
      <c r="AF422" s="30">
        <f>VLOOKUP($B422,Pitchers!$A1:$S251,7,FALSE)</f>
        <v>112.93333333333334</v>
      </c>
      <c r="AG422" s="30">
        <f>VLOOKUP($B422,Pitchers!$A1:$S251,8,FALSE)</f>
        <v>5.5333333333333341</v>
      </c>
      <c r="AH422" s="30">
        <f>VLOOKUP($B422,Pitchers!$A1:$S251,9,FALSE)</f>
        <v>0</v>
      </c>
      <c r="AI422" s="30">
        <f>VLOOKUP($B422,Pitchers!$A1:$S251,10,FALSE)</f>
        <v>55.229333333333329</v>
      </c>
      <c r="AJ422" s="30">
        <f>VLOOKUP($B422,Pitchers!$A1:$S251,11,FALSE)</f>
        <v>99.3</v>
      </c>
      <c r="AK422" s="30">
        <f>VLOOKUP($B422,Pitchers!$A1:$S251,12,FALSE)</f>
        <v>48.466666666666669</v>
      </c>
      <c r="AL422" s="30">
        <f>VLOOKUP($B422,Pitchers!$A1:$S251,13,FALSE)</f>
        <v>24</v>
      </c>
      <c r="AM422" s="30">
        <f>VLOOKUP($B422,Pitchers!$A1:$S251,14,FALSE)</f>
        <v>29.066666666666666</v>
      </c>
      <c r="AN422" s="30">
        <f>VLOOKUP($B422,Pitchers!$A1:$S251,15,FALSE)</f>
        <v>22.066666666666666</v>
      </c>
      <c r="AO422" s="30">
        <f>VLOOKUP($B422,Pitchers!$A1:$S251,16,FALSE)</f>
        <v>7.2</v>
      </c>
      <c r="AP422" s="30">
        <f>VLOOKUP($B422,Pitchers!$A1:$S251,17,FALSE)</f>
        <v>9</v>
      </c>
      <c r="AQ422" s="30">
        <f>VLOOKUP($B422,Pitchers!$A1:$S251,18,FALSE)</f>
        <v>2.5</v>
      </c>
      <c r="AR422" s="30">
        <f>VLOOKUP($B422,Pitchers!$A1:$S251,19,FALSE)</f>
        <v>0</v>
      </c>
    </row>
    <row r="423" spans="1:44" ht="18.600000000000001" customHeight="1">
      <c r="A423" s="24">
        <f ca="1">RANK(I423,I$2:I$651)</f>
        <v>497</v>
      </c>
      <c r="B423" s="25" t="s">
        <v>594</v>
      </c>
      <c r="C423" s="26" t="s">
        <v>105</v>
      </c>
      <c r="D423" s="26" t="s">
        <v>70</v>
      </c>
      <c r="E423" s="47" t="s">
        <v>11</v>
      </c>
      <c r="F423" s="48">
        <f ca="1">VLOOKUP(B423,'2B'!A1:I50,IF(Settings!$J$13="points",4,7),FALSE)</f>
        <v>36</v>
      </c>
      <c r="G423" s="29">
        <f>(M423*Settings!$B$2)+(N423*Settings!$B$3)+(O423*Settings!$B$4)+(P423*Settings!$B$5)+(Q423*Settings!$B$6)+(T423*Settings!$B$9)+(U423*Settings!$B$10)+(V423*Settings!$B$11)+(W423*Settings!$B$12)+(X423*Settings!$B$13)+(AA423*Settings!$B$16)</f>
        <v>225.86666666666667</v>
      </c>
      <c r="H423" s="30">
        <f>VLOOKUP(B423,'Standard Deviations'!$A1:$D651,4,FALSE)</f>
        <v>-1.2293139231722658</v>
      </c>
      <c r="I423" s="31">
        <f ca="1">IF(Settings!$J$16="no",VLOOKUP(B423,'2B'!A1:I50,IF(Settings!$J$13="points",6,9),FALSE),VLOOKUP(B423,'2B+SS'!$A1:$I94,IF(Settings!$J$13="points",6,9),FALSE))</f>
        <v>-3.5370504223231531</v>
      </c>
      <c r="J423" s="30"/>
      <c r="K423" s="30">
        <f ca="1">J423-A423</f>
        <v>-497</v>
      </c>
      <c r="L423" s="30"/>
      <c r="M423" s="30">
        <f>VLOOKUP($B423,Hitters!$A1:$R401,4,FALSE)</f>
        <v>302.66666666666703</v>
      </c>
      <c r="N423" s="30">
        <f>VLOOKUP($B423,Hitters!$A1:$R401,5,FALSE)</f>
        <v>37.366666666666703</v>
      </c>
      <c r="O423" s="30">
        <f>VLOOKUP($B423,Hitters!$A1:$R401,6,FALSE)</f>
        <v>8.9666666666666703</v>
      </c>
      <c r="P423" s="30">
        <f>VLOOKUP($B423,Hitters!$A1:$R401,7,FALSE)</f>
        <v>38.9</v>
      </c>
      <c r="Q423" s="30">
        <f>VLOOKUP($B423,Hitters!$A1:$R401,8,FALSE)</f>
        <v>4.2333333333333298</v>
      </c>
      <c r="R423" s="32">
        <f>VLOOKUP($B423,Hitters!$A1:$R401,9,FALSE)</f>
        <v>0.26916299559471402</v>
      </c>
      <c r="S423" s="32">
        <f>VLOOKUP($B423,Hitters!$A1:$R401,10,FALSE)</f>
        <v>0.30499648716783101</v>
      </c>
      <c r="T423" s="30">
        <f>VLOOKUP($B423,Hitters!$A1:$R401,11,FALSE)</f>
        <v>81.466666666666697</v>
      </c>
      <c r="U423" s="30">
        <f>VLOOKUP($B423,Hitters!$A1:$R401,12,FALSE)</f>
        <v>17.100000000000001</v>
      </c>
      <c r="V423" s="30">
        <f>VLOOKUP($B423,Hitters!$A1:$R401,13,FALSE)</f>
        <v>1.36666666666667</v>
      </c>
      <c r="W423" s="30">
        <f>VLOOKUP($B423,Hitters!$A1:$R401,14,FALSE)</f>
        <v>16.933333333333302</v>
      </c>
      <c r="X423" s="30">
        <f>VLOOKUP($B423,Hitters!$A1:$R401,15,FALSE)</f>
        <v>62.866666666666703</v>
      </c>
      <c r="Y423" s="32">
        <f>VLOOKUP($B423,Hitters!$A1:$R401,16,FALSE)</f>
        <v>0.42356828193832602</v>
      </c>
      <c r="Z423" s="32">
        <f>VLOOKUP($B423,Hitters!$A1:$R401,17,FALSE)</f>
        <v>0.72856476910615697</v>
      </c>
      <c r="AA423" s="30">
        <f>VLOOKUP($B423,Hitters!$A1:$R401,18,FALSE)</f>
        <v>0</v>
      </c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</row>
    <row r="424" spans="1:44" ht="20.100000000000001" customHeight="1">
      <c r="A424" s="24">
        <f ca="1">RANK(I424,I$2:I$651)</f>
        <v>389</v>
      </c>
      <c r="B424" s="25" t="s">
        <v>486</v>
      </c>
      <c r="C424" s="26" t="s">
        <v>95</v>
      </c>
      <c r="D424" s="26" t="s">
        <v>70</v>
      </c>
      <c r="E424" s="27" t="s">
        <v>23</v>
      </c>
      <c r="F424" s="28">
        <f ca="1">VLOOKUP(B424,OF!A1:I139,IF(Settings!$J$13="points",4,7),FALSE)</f>
        <v>108</v>
      </c>
      <c r="G424" s="29">
        <f>(M424*Settings!$B$2)+(N424*Settings!$B$3)+(O424*Settings!$B$4)+(P424*Settings!$B$5)+(Q424*Settings!$B$6)+(T424*Settings!$B$9)+(U424*Settings!$B$10)+(V424*Settings!$B$11)+(W424*Settings!$B$12)+(X424*Settings!$B$13)+(AA424*Settings!$B$16)</f>
        <v>225.26666666666674</v>
      </c>
      <c r="H424" s="30">
        <f>VLOOKUP(B424,'Standard Deviations'!$A1:$D651,4,FALSE)</f>
        <v>-2.1927450980990875</v>
      </c>
      <c r="I424" s="31">
        <f ca="1">VLOOKUP(B424,OF!A1:I139,IF(Settings!$J$13="points",6,9),FALSE)</f>
        <v>-2.3114562441703348</v>
      </c>
      <c r="J424" s="30"/>
      <c r="K424" s="30">
        <f ca="1">J424-A424</f>
        <v>-389</v>
      </c>
      <c r="L424" s="30"/>
      <c r="M424" s="30">
        <f>VLOOKUP($B424,Hitters!$A1:$R401,4,FALSE)</f>
        <v>325.33333333333297</v>
      </c>
      <c r="N424" s="30">
        <f>VLOOKUP($B424,Hitters!$A1:$R401,5,FALSE)</f>
        <v>41.066666666666698</v>
      </c>
      <c r="O424" s="30">
        <f>VLOOKUP($B424,Hitters!$A1:$R401,6,FALSE)</f>
        <v>7.7333333333333298</v>
      </c>
      <c r="P424" s="30">
        <f>VLOOKUP($B424,Hitters!$A1:$R401,7,FALSE)</f>
        <v>36.200000000000003</v>
      </c>
      <c r="Q424" s="30">
        <f>VLOOKUP($B424,Hitters!$A1:$R401,8,FALSE)</f>
        <v>9.6999999999999993</v>
      </c>
      <c r="R424" s="32">
        <f>VLOOKUP($B424,Hitters!$A1:$R401,9,FALSE)</f>
        <v>0.23483606557376999</v>
      </c>
      <c r="S424" s="32">
        <f>VLOOKUP($B424,Hitters!$A1:$R401,10,FALSE)</f>
        <v>0.29012160336285803</v>
      </c>
      <c r="T424" s="30">
        <f>VLOOKUP($B424,Hitters!$A1:$R401,11,FALSE)</f>
        <v>76.400000000000006</v>
      </c>
      <c r="U424" s="30">
        <f>VLOOKUP($B424,Hitters!$A1:$R401,12,FALSE)</f>
        <v>16</v>
      </c>
      <c r="V424" s="30">
        <f>VLOOKUP($B424,Hitters!$A1:$R401,13,FALSE)</f>
        <v>3</v>
      </c>
      <c r="W424" s="30">
        <f>VLOOKUP($B424,Hitters!$A1:$R401,14,FALSE)</f>
        <v>26.6666666666667</v>
      </c>
      <c r="X424" s="30">
        <f>VLOOKUP($B424,Hitters!$A1:$R401,15,FALSE)</f>
        <v>92.8</v>
      </c>
      <c r="Y424" s="32">
        <f>VLOOKUP($B424,Hitters!$A1:$R401,16,FALSE)</f>
        <v>0.37377049180327898</v>
      </c>
      <c r="Z424" s="32">
        <f>VLOOKUP($B424,Hitters!$A1:$R401,17,FALSE)</f>
        <v>0.66389209516613701</v>
      </c>
      <c r="AA424" s="30">
        <f>VLOOKUP($B424,Hitters!$A1:$R401,18,FALSE)</f>
        <v>0</v>
      </c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</row>
    <row r="425" spans="1:44" ht="18.600000000000001" customHeight="1">
      <c r="A425" s="24">
        <f ca="1">RANK(I425,I$2:I$651)</f>
        <v>602</v>
      </c>
      <c r="B425" s="25" t="s">
        <v>698</v>
      </c>
      <c r="C425" s="26" t="s">
        <v>219</v>
      </c>
      <c r="D425" s="26" t="s">
        <v>75</v>
      </c>
      <c r="E425" s="39" t="s">
        <v>7</v>
      </c>
      <c r="F425" s="40">
        <f ca="1">VLOOKUP(B425,'1B'!A1:I63,IF(Settings!$J$13="points",4,7),FALSE)</f>
        <v>47</v>
      </c>
      <c r="G425" s="29">
        <f>(M425*Settings!$B$2)+(N425*Settings!$B$3)+(O425*Settings!$B$4)+(P425*Settings!$B$5)+(Q425*Settings!$B$6)+(T425*Settings!$B$9)+(U425*Settings!$B$10)+(V425*Settings!$B$11)+(W425*Settings!$B$12)+(X425*Settings!$B$13)+(AA425*Settings!$B$16)</f>
        <v>225.18333333333345</v>
      </c>
      <c r="H425" s="30">
        <f>VLOOKUP(B425,'Standard Deviations'!$A1:$D651,4,FALSE)</f>
        <v>-2.8675595577051509</v>
      </c>
      <c r="I425" s="31">
        <f ca="1">IF(Settings!$J$15="no",VLOOKUP(B425,'1B'!A1:I63,IF(Settings!$J$13="points",6,9),FALSE),VLOOKUP(B425,'1B+3B'!$A1:$I104,IF(Settings!$J$13="points",6,9),FALSE))</f>
        <v>-5.4470928824006926</v>
      </c>
      <c r="J425" s="30"/>
      <c r="K425" s="30">
        <f ca="1">J425-A425</f>
        <v>-602</v>
      </c>
      <c r="L425" s="30"/>
      <c r="M425" s="30">
        <f>VLOOKUP($B425,Hitters!$A1:$R401,4,FALSE)</f>
        <v>292</v>
      </c>
      <c r="N425" s="30">
        <f>VLOOKUP($B425,Hitters!$A1:$R401,5,FALSE)</f>
        <v>40.366666666666703</v>
      </c>
      <c r="O425" s="30">
        <f>VLOOKUP($B425,Hitters!$A1:$R401,6,FALSE)</f>
        <v>11.4</v>
      </c>
      <c r="P425" s="30">
        <f>VLOOKUP($B425,Hitters!$A1:$R401,7,FALSE)</f>
        <v>36.5</v>
      </c>
      <c r="Q425" s="30">
        <f>VLOOKUP($B425,Hitters!$A1:$R401,8,FALSE)</f>
        <v>3.3666666666666698</v>
      </c>
      <c r="R425" s="32">
        <f>VLOOKUP($B425,Hitters!$A1:$R401,9,FALSE)</f>
        <v>0.23150684931506901</v>
      </c>
      <c r="S425" s="32">
        <f>VLOOKUP($B425,Hitters!$A1:$R401,10,FALSE)</f>
        <v>0.31154094653529302</v>
      </c>
      <c r="T425" s="30">
        <f>VLOOKUP($B425,Hitters!$A1:$R401,11,FALSE)</f>
        <v>67.599999999999994</v>
      </c>
      <c r="U425" s="30">
        <f>VLOOKUP($B425,Hitters!$A1:$R401,12,FALSE)</f>
        <v>12.466666666666701</v>
      </c>
      <c r="V425" s="30">
        <f>VLOOKUP($B425,Hitters!$A1:$R401,13,FALSE)</f>
        <v>1.5</v>
      </c>
      <c r="W425" s="30">
        <f>VLOOKUP($B425,Hitters!$A1:$R401,14,FALSE)</f>
        <v>35.266666666666701</v>
      </c>
      <c r="X425" s="30">
        <f>VLOOKUP($B425,Hitters!$A1:$R401,15,FALSE)</f>
        <v>72.633333333333297</v>
      </c>
      <c r="Y425" s="32">
        <f>VLOOKUP($B425,Hitters!$A1:$R401,16,FALSE)</f>
        <v>0.40159817351598198</v>
      </c>
      <c r="Z425" s="32">
        <f>VLOOKUP($B425,Hitters!$A1:$R401,17,FALSE)</f>
        <v>0.713139120051275</v>
      </c>
      <c r="AA425" s="30">
        <f>VLOOKUP($B425,Hitters!$A1:$R401,18,FALSE)</f>
        <v>0</v>
      </c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</row>
    <row r="426" spans="1:44" ht="20.100000000000001" customHeight="1">
      <c r="A426" s="24">
        <f ca="1">RANK(I426,I$2:I$651)</f>
        <v>616</v>
      </c>
      <c r="B426" s="25" t="s">
        <v>712</v>
      </c>
      <c r="C426" s="26" t="s">
        <v>309</v>
      </c>
      <c r="D426" s="26" t="s">
        <v>75</v>
      </c>
      <c r="E426" s="35" t="s">
        <v>31</v>
      </c>
      <c r="F426" s="36">
        <f ca="1">VLOOKUP(B426,SP!A1:I161,IF(Settings!$J$13="points",4,7),FALSE)</f>
        <v>160</v>
      </c>
      <c r="G426" s="29">
        <f>(AC426*Settings!$F$2)+(AF426*Settings!$F$5)+(AG426*Settings!$F$6)+(AH426*Settings!$F$7)+(AI426*Settings!$F$8)+(AJ426*Settings!$F$9)+(AK426*Settings!$F$10)+(AL426*Settings!$F$11)+(AM426*Settings!$F$12)+(AN426*Settings!$F$13)+(AO426*Settings!$F$14)+(AP426*Settings!$F$15)+(AQ426*Settings!$F$16)+(AR426*Settings!$F$17)</f>
        <v>225.0126666666666</v>
      </c>
      <c r="H426" s="30">
        <f>VLOOKUP(B426,'Standard Deviations'!$A1:$D651,4,FALSE)</f>
        <v>-5.8307598873117659</v>
      </c>
      <c r="I426" s="31">
        <f ca="1">IF(Settings!$J$16="no",VLOOKUP(B426,SP!A1:I161,IF(Settings!$J$13="points",6,9),FALSE),VLOOKUP(B426,'SP+RP'!$A1:$I251,IF(Settings!$J$13="points",6,9),FALSE))</f>
        <v>-5.9667457932365</v>
      </c>
      <c r="J426" s="30"/>
      <c r="K426" s="30">
        <f ca="1">J426-A426</f>
        <v>-616</v>
      </c>
      <c r="L426" s="30"/>
      <c r="M426" s="30"/>
      <c r="N426" s="30"/>
      <c r="O426" s="30"/>
      <c r="P426" s="30"/>
      <c r="Q426" s="30"/>
      <c r="R426" s="32"/>
      <c r="S426" s="32"/>
      <c r="T426" s="30"/>
      <c r="U426" s="30"/>
      <c r="V426" s="30"/>
      <c r="W426" s="30"/>
      <c r="X426" s="30"/>
      <c r="Y426" s="32"/>
      <c r="Z426" s="32"/>
      <c r="AA426" s="30"/>
      <c r="AB426" s="30"/>
      <c r="AC426" s="30">
        <f>VLOOKUP($B426,Pitchers!$A1:$S251,4,FALSE)</f>
        <v>155.13333333333333</v>
      </c>
      <c r="AD426" s="32">
        <f>VLOOKUP($B426,Pitchers!$A1:$S251,5,FALSE)</f>
        <v>5.2408852599914058</v>
      </c>
      <c r="AE426" s="32">
        <f>VLOOKUP($B426,Pitchers!$A1:$S251,6,FALSE)</f>
        <v>1.4961323592608509</v>
      </c>
      <c r="AF426" s="30">
        <f>VLOOKUP($B426,Pitchers!$A1:$S251,7,FALSE)</f>
        <v>127.5</v>
      </c>
      <c r="AG426" s="30">
        <f>VLOOKUP($B426,Pitchers!$A1:$S251,8,FALSE)</f>
        <v>6.8999999999999995</v>
      </c>
      <c r="AH426" s="30">
        <f>VLOOKUP($B426,Pitchers!$A1:$S251,9,FALSE)</f>
        <v>0</v>
      </c>
      <c r="AI426" s="30">
        <f>VLOOKUP($B426,Pitchers!$A1:$S251,10,FALSE)</f>
        <v>90.337333333333333</v>
      </c>
      <c r="AJ426" s="30">
        <f>VLOOKUP($B426,Pitchers!$A1:$S251,11,FALSE)</f>
        <v>182</v>
      </c>
      <c r="AK426" s="30">
        <f>VLOOKUP($B426,Pitchers!$A1:$S251,12,FALSE)</f>
        <v>50.1</v>
      </c>
      <c r="AL426" s="30">
        <f>VLOOKUP($B426,Pitchers!$A1:$S251,13,FALSE)</f>
        <v>23</v>
      </c>
      <c r="AM426" s="30">
        <f>VLOOKUP($B426,Pitchers!$A1:$S251,14,FALSE)</f>
        <v>29.400000000000002</v>
      </c>
      <c r="AN426" s="30">
        <f>VLOOKUP($B426,Pitchers!$A1:$S251,15,FALSE)</f>
        <v>29.400000000000002</v>
      </c>
      <c r="AO426" s="30">
        <f>VLOOKUP($B426,Pitchers!$A1:$S251,16,FALSE)</f>
        <v>13.200000000000001</v>
      </c>
      <c r="AP426" s="30">
        <f>VLOOKUP($B426,Pitchers!$A1:$S251,17,FALSE)</f>
        <v>12</v>
      </c>
      <c r="AQ426" s="30">
        <f>VLOOKUP($B426,Pitchers!$A1:$S251,18,FALSE)</f>
        <v>0</v>
      </c>
      <c r="AR426" s="30">
        <f>VLOOKUP($B426,Pitchers!$A1:$S251,19,FALSE)</f>
        <v>0</v>
      </c>
    </row>
    <row r="427" spans="1:44" ht="18.600000000000001" customHeight="1">
      <c r="A427" s="24">
        <f ca="1">RANK(I427,I$2:I$651)</f>
        <v>514</v>
      </c>
      <c r="B427" s="25" t="s">
        <v>613</v>
      </c>
      <c r="C427" s="26" t="s">
        <v>160</v>
      </c>
      <c r="D427" s="26" t="s">
        <v>75</v>
      </c>
      <c r="E427" s="35" t="s">
        <v>31</v>
      </c>
      <c r="F427" s="36">
        <f ca="1">VLOOKUP(B427,SP!A1:I161,IF(Settings!$J$13="points",4,7),FALSE)</f>
        <v>144</v>
      </c>
      <c r="G427" s="29">
        <f>(AC427*Settings!$F$2)+(AF427*Settings!$F$5)+(AG427*Settings!$F$6)+(AH427*Settings!$F$7)+(AI427*Settings!$F$8)+(AJ427*Settings!$F$9)+(AK427*Settings!$F$10)+(AL427*Settings!$F$11)+(AM427*Settings!$F$12)+(AN427*Settings!$F$13)+(AO427*Settings!$F$14)+(AP427*Settings!$F$15)+(AQ427*Settings!$F$16)+(AR427*Settings!$F$17)</f>
        <v>224.87333333333328</v>
      </c>
      <c r="H427" s="30">
        <f>VLOOKUP(B427,'Standard Deviations'!$A1:$D651,4,FALSE)</f>
        <v>-3.621490490958891</v>
      </c>
      <c r="I427" s="31">
        <f ca="1">IF(Settings!$J$16="no",VLOOKUP(B427,SP!A1:I161,IF(Settings!$J$13="points",6,9),FALSE),VLOOKUP(B427,'SP+RP'!$A1:$I251,IF(Settings!$J$13="points",6,9),FALSE))</f>
        <v>-3.7574746292840597</v>
      </c>
      <c r="J427" s="30"/>
      <c r="K427" s="30">
        <f ca="1">J427-A427</f>
        <v>-514</v>
      </c>
      <c r="L427" s="30"/>
      <c r="M427" s="30"/>
      <c r="N427" s="30"/>
      <c r="O427" s="30"/>
      <c r="P427" s="30"/>
      <c r="Q427" s="30"/>
      <c r="R427" s="32"/>
      <c r="S427" s="32"/>
      <c r="T427" s="30"/>
      <c r="U427" s="30"/>
      <c r="V427" s="30"/>
      <c r="W427" s="30"/>
      <c r="X427" s="30"/>
      <c r="Y427" s="32"/>
      <c r="Z427" s="32"/>
      <c r="AA427" s="30"/>
      <c r="AB427" s="30"/>
      <c r="AC427" s="30">
        <f>VLOOKUP($B427,Pitchers!$A1:$S251,4,FALSE)</f>
        <v>122.33333333333333</v>
      </c>
      <c r="AD427" s="32">
        <f>VLOOKUP($B427,Pitchers!$A1:$S251,5,FALSE)</f>
        <v>4.6147683923705722</v>
      </c>
      <c r="AE427" s="32">
        <f>VLOOKUP($B427,Pitchers!$A1:$S251,6,FALSE)</f>
        <v>1.3163487738419619</v>
      </c>
      <c r="AF427" s="30">
        <f>VLOOKUP($B427,Pitchers!$A1:$S251,7,FALSE)</f>
        <v>89.399999999999991</v>
      </c>
      <c r="AG427" s="30">
        <f>VLOOKUP($B427,Pitchers!$A1:$S251,8,FALSE)</f>
        <v>6.9666666666666659</v>
      </c>
      <c r="AH427" s="30">
        <f>VLOOKUP($B427,Pitchers!$A1:$S251,9,FALSE)</f>
        <v>0</v>
      </c>
      <c r="AI427" s="30">
        <f>VLOOKUP($B427,Pitchers!$A1:$S251,10,FALSE)</f>
        <v>62.726666666666667</v>
      </c>
      <c r="AJ427" s="30">
        <f>VLOOKUP($B427,Pitchers!$A1:$S251,11,FALSE)</f>
        <v>131.06666666666666</v>
      </c>
      <c r="AK427" s="30">
        <f>VLOOKUP($B427,Pitchers!$A1:$S251,12,FALSE)</f>
        <v>29.966666666666669</v>
      </c>
      <c r="AL427" s="30">
        <f>VLOOKUP($B427,Pitchers!$A1:$S251,13,FALSE)</f>
        <v>21</v>
      </c>
      <c r="AM427" s="30">
        <f>VLOOKUP($B427,Pitchers!$A1:$S251,14,FALSE)</f>
        <v>22.366666666666664</v>
      </c>
      <c r="AN427" s="30">
        <f>VLOOKUP($B427,Pitchers!$A1:$S251,15,FALSE)</f>
        <v>22.366666666666664</v>
      </c>
      <c r="AO427" s="30">
        <f>VLOOKUP($B427,Pitchers!$A1:$S251,16,FALSE)</f>
        <v>7.7666666666666666</v>
      </c>
      <c r="AP427" s="30">
        <f>VLOOKUP($B427,Pitchers!$A1:$S251,17,FALSE)</f>
        <v>9</v>
      </c>
      <c r="AQ427" s="30">
        <f>VLOOKUP($B427,Pitchers!$A1:$S251,18,FALSE)</f>
        <v>0</v>
      </c>
      <c r="AR427" s="30">
        <f>VLOOKUP($B427,Pitchers!$A1:$S251,19,FALSE)</f>
        <v>0</v>
      </c>
    </row>
    <row r="428" spans="1:44" ht="18.600000000000001" customHeight="1">
      <c r="A428" s="24">
        <f ca="1">RANK(I428,I$2:I$651)</f>
        <v>461</v>
      </c>
      <c r="B428" s="25" t="s">
        <v>558</v>
      </c>
      <c r="C428" s="26" t="s">
        <v>139</v>
      </c>
      <c r="D428" s="26" t="s">
        <v>75</v>
      </c>
      <c r="E428" s="35" t="s">
        <v>31</v>
      </c>
      <c r="F428" s="36">
        <f ca="1">VLOOKUP(B428,SP!A1:I161,IF(Settings!$J$13="points",4,7),FALSE)</f>
        <v>135</v>
      </c>
      <c r="G428" s="29">
        <f>(AC428*Settings!$F$2)+(AF428*Settings!$F$5)+(AG428*Settings!$F$6)+(AH428*Settings!$F$7)+(AI428*Settings!$F$8)+(AJ428*Settings!$F$9)+(AK428*Settings!$F$10)+(AL428*Settings!$F$11)+(AM428*Settings!$F$12)+(AN428*Settings!$F$13)+(AO428*Settings!$F$14)+(AP428*Settings!$F$15)+(AQ428*Settings!$F$16)+(AR428*Settings!$F$17)</f>
        <v>224.64733333333328</v>
      </c>
      <c r="H428" s="30">
        <f>VLOOKUP(B428,'Standard Deviations'!$A1:$D651,4,FALSE)</f>
        <v>-2.9274388584269873</v>
      </c>
      <c r="I428" s="31">
        <f ca="1">IF(Settings!$J$16="no",VLOOKUP(B428,SP!A1:I161,IF(Settings!$J$13="points",6,9),FALSE),VLOOKUP(B428,'SP+RP'!$A1:$I251,IF(Settings!$J$13="points",6,9),FALSE))</f>
        <v>-3.0634244002613777</v>
      </c>
      <c r="J428" s="30"/>
      <c r="K428" s="30">
        <f ca="1">J428-A428</f>
        <v>-461</v>
      </c>
      <c r="L428" s="30"/>
      <c r="M428" s="30"/>
      <c r="N428" s="30"/>
      <c r="O428" s="30"/>
      <c r="P428" s="30"/>
      <c r="Q428" s="30"/>
      <c r="R428" s="32"/>
      <c r="S428" s="32"/>
      <c r="T428" s="30"/>
      <c r="U428" s="30"/>
      <c r="V428" s="30"/>
      <c r="W428" s="30"/>
      <c r="X428" s="30"/>
      <c r="Y428" s="32"/>
      <c r="Z428" s="32"/>
      <c r="AA428" s="30"/>
      <c r="AB428" s="30"/>
      <c r="AC428" s="30">
        <f>VLOOKUP($B428,Pitchers!$A1:$S251,4,FALSE)</f>
        <v>116.46666666666665</v>
      </c>
      <c r="AD428" s="32">
        <f>VLOOKUP($B428,Pitchers!$A1:$S251,5,FALSE)</f>
        <v>4.3263365769891244</v>
      </c>
      <c r="AE428" s="32">
        <f>VLOOKUP($B428,Pitchers!$A1:$S251,6,FALSE)</f>
        <v>1.3036634230108757</v>
      </c>
      <c r="AF428" s="30">
        <f>VLOOKUP($B428,Pitchers!$A1:$S251,7,FALSE)</f>
        <v>100.66666666666667</v>
      </c>
      <c r="AG428" s="30">
        <f>VLOOKUP($B428,Pitchers!$A1:$S251,8,FALSE)</f>
        <v>6.2</v>
      </c>
      <c r="AH428" s="30">
        <f>VLOOKUP($B428,Pitchers!$A1:$S251,9,FALSE)</f>
        <v>0</v>
      </c>
      <c r="AI428" s="30">
        <f>VLOOKUP($B428,Pitchers!$A1:$S251,10,FALSE)</f>
        <v>55.985999999999997</v>
      </c>
      <c r="AJ428" s="30">
        <f>VLOOKUP($B428,Pitchers!$A1:$S251,11,FALSE)</f>
        <v>113.3</v>
      </c>
      <c r="AK428" s="30">
        <f>VLOOKUP($B428,Pitchers!$A1:$S251,12,FALSE)</f>
        <v>38.533333333333331</v>
      </c>
      <c r="AL428" s="30">
        <f>VLOOKUP($B428,Pitchers!$A1:$S251,13,FALSE)</f>
        <v>15</v>
      </c>
      <c r="AM428" s="30">
        <f>VLOOKUP($B428,Pitchers!$A1:$S251,14,FALSE)</f>
        <v>23.566666666666666</v>
      </c>
      <c r="AN428" s="30">
        <f>VLOOKUP($B428,Pitchers!$A1:$S251,15,FALSE)</f>
        <v>23.566666666666666</v>
      </c>
      <c r="AO428" s="30">
        <f>VLOOKUP($B428,Pitchers!$A1:$S251,16,FALSE)</f>
        <v>6.9333333333333336</v>
      </c>
      <c r="AP428" s="30">
        <f>VLOOKUP($B428,Pitchers!$A1:$S251,17,FALSE)</f>
        <v>8</v>
      </c>
      <c r="AQ428" s="30">
        <f>VLOOKUP($B428,Pitchers!$A1:$S251,18,FALSE)</f>
        <v>0</v>
      </c>
      <c r="AR428" s="30">
        <f>VLOOKUP($B428,Pitchers!$A1:$S251,19,FALSE)</f>
        <v>0</v>
      </c>
    </row>
    <row r="429" spans="1:44" ht="18.600000000000001" customHeight="1">
      <c r="A429" s="24">
        <f ca="1">RANK(I429,I$2:I$651)</f>
        <v>469</v>
      </c>
      <c r="B429" s="25" t="s">
        <v>566</v>
      </c>
      <c r="C429" s="26" t="s">
        <v>139</v>
      </c>
      <c r="D429" s="26" t="s">
        <v>75</v>
      </c>
      <c r="E429" s="33" t="s">
        <v>15</v>
      </c>
      <c r="F429" s="34">
        <f ca="1">VLOOKUP(B429,'3B'!A1:I55,IF(Settings!$J$13="points",4,7),FALSE)</f>
        <v>34</v>
      </c>
      <c r="G429" s="29">
        <f>(M429*Settings!$B$2)+(N429*Settings!$B$3)+(O429*Settings!$B$4)+(P429*Settings!$B$5)+(Q429*Settings!$B$6)+(T429*Settings!$B$9)+(U429*Settings!$B$10)+(V429*Settings!$B$11)+(W429*Settings!$B$12)+(X429*Settings!$B$13)+(AA429*Settings!$B$16)</f>
        <v>224.39999999999992</v>
      </c>
      <c r="H429" s="30">
        <f>VLOOKUP(B429,'Standard Deviations'!$A1:$D651,4,FALSE)</f>
        <v>-2.4731222152048948</v>
      </c>
      <c r="I429" s="31">
        <f ca="1">IF(Settings!$J$15="no",VLOOKUP(B429,'3B'!A1:I55,IF(Settings!$J$13="points",6,9),FALSE),VLOOKUP(B429,'1B+3B'!$A1:$I104,IF(Settings!$J$13="points",6,9),FALSE))</f>
        <v>-3.200804250608313</v>
      </c>
      <c r="J429" s="30"/>
      <c r="K429" s="30">
        <f ca="1">J429-A429</f>
        <v>-469</v>
      </c>
      <c r="L429" s="30"/>
      <c r="M429" s="30">
        <f>VLOOKUP($B429,Hitters!$A1:$R401,4,FALSE)</f>
        <v>307.33333333333297</v>
      </c>
      <c r="N429" s="30">
        <f>VLOOKUP($B429,Hitters!$A1:$R401,5,FALSE)</f>
        <v>37.200000000000003</v>
      </c>
      <c r="O429" s="30">
        <f>VLOOKUP($B429,Hitters!$A1:$R401,6,FALSE)</f>
        <v>12.9</v>
      </c>
      <c r="P429" s="30">
        <f>VLOOKUP($B429,Hitters!$A1:$R401,7,FALSE)</f>
        <v>38.700000000000003</v>
      </c>
      <c r="Q429" s="30">
        <f>VLOOKUP($B429,Hitters!$A1:$R401,8,FALSE)</f>
        <v>4.9666666666666703</v>
      </c>
      <c r="R429" s="32">
        <f>VLOOKUP($B429,Hitters!$A1:$R401,9,FALSE)</f>
        <v>0.231670281995662</v>
      </c>
      <c r="S429" s="32">
        <f>VLOOKUP($B429,Hitters!$A1:$R401,10,FALSE)</f>
        <v>0.28816013966591297</v>
      </c>
      <c r="T429" s="30">
        <f>VLOOKUP($B429,Hitters!$A1:$R401,11,FALSE)</f>
        <v>71.2</v>
      </c>
      <c r="U429" s="30">
        <f>VLOOKUP($B429,Hitters!$A1:$R401,12,FALSE)</f>
        <v>12.9333333333333</v>
      </c>
      <c r="V429" s="30">
        <f>VLOOKUP($B429,Hitters!$A1:$R401,13,FALSE)</f>
        <v>2.6</v>
      </c>
      <c r="W429" s="30">
        <f>VLOOKUP($B429,Hitters!$A1:$R401,14,FALSE)</f>
        <v>25.633333333333301</v>
      </c>
      <c r="X429" s="30">
        <f>VLOOKUP($B429,Hitters!$A1:$R401,15,FALSE)</f>
        <v>87.066666666666706</v>
      </c>
      <c r="Y429" s="32">
        <f>VLOOKUP($B429,Hitters!$A1:$R401,16,FALSE)</f>
        <v>0.41659436008676798</v>
      </c>
      <c r="Z429" s="32">
        <f>VLOOKUP($B429,Hitters!$A1:$R401,17,FALSE)</f>
        <v>0.70475449975268101</v>
      </c>
      <c r="AA429" s="30">
        <f>VLOOKUP($B429,Hitters!$A1:$R401,18,FALSE)</f>
        <v>0</v>
      </c>
      <c r="AB429" s="30"/>
      <c r="AC429" s="30"/>
      <c r="AD429" s="32"/>
      <c r="AE429" s="32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</row>
    <row r="430" spans="1:44" ht="18.600000000000001" customHeight="1">
      <c r="A430" s="24">
        <f ca="1">RANK(I430,I$2:I$651)</f>
        <v>471</v>
      </c>
      <c r="B430" s="25" t="s">
        <v>568</v>
      </c>
      <c r="C430" s="26" t="s">
        <v>142</v>
      </c>
      <c r="D430" s="26" t="s">
        <v>70</v>
      </c>
      <c r="E430" s="33" t="s">
        <v>15</v>
      </c>
      <c r="F430" s="34">
        <f ca="1">VLOOKUP(B430,'3B'!A1:I55,IF(Settings!$J$13="points",4,7),FALSE)</f>
        <v>35</v>
      </c>
      <c r="G430" s="29">
        <f>(M430*Settings!$B$2)+(N430*Settings!$B$3)+(O430*Settings!$B$4)+(P430*Settings!$B$5)+(Q430*Settings!$B$6)+(T430*Settings!$B$9)+(U430*Settings!$B$10)+(V430*Settings!$B$11)+(W430*Settings!$B$12)+(X430*Settings!$B$13)+(AA430*Settings!$B$16)</f>
        <v>223.93333333333339</v>
      </c>
      <c r="H430" s="30">
        <f>VLOOKUP(B430,'Standard Deviations'!$A1:$D651,4,FALSE)</f>
        <v>-2.5164556410381782</v>
      </c>
      <c r="I430" s="31">
        <f ca="1">IF(Settings!$J$15="no",VLOOKUP(B430,'3B'!A1:I55,IF(Settings!$J$13="points",6,9),FALSE),VLOOKUP(B430,'1B+3B'!$A1:$I104,IF(Settings!$J$13="points",6,9),FALSE))</f>
        <v>-3.2441298049842362</v>
      </c>
      <c r="J430" s="30"/>
      <c r="K430" s="30">
        <f ca="1">J430-A430</f>
        <v>-471</v>
      </c>
      <c r="L430" s="30"/>
      <c r="M430" s="30">
        <f>VLOOKUP($B430,Hitters!$A1:$R401,4,FALSE)</f>
        <v>308</v>
      </c>
      <c r="N430" s="30">
        <f>VLOOKUP($B430,Hitters!$A1:$R401,5,FALSE)</f>
        <v>39.066666666666698</v>
      </c>
      <c r="O430" s="30">
        <f>VLOOKUP($B430,Hitters!$A1:$R401,6,FALSE)</f>
        <v>7.5</v>
      </c>
      <c r="P430" s="30">
        <f>VLOOKUP($B430,Hitters!$A1:$R401,7,FALSE)</f>
        <v>34.8333333333333</v>
      </c>
      <c r="Q430" s="30">
        <f>VLOOKUP($B430,Hitters!$A1:$R401,8,FALSE)</f>
        <v>9.4666666666666703</v>
      </c>
      <c r="R430" s="32">
        <f>VLOOKUP($B430,Hitters!$A1:$R401,9,FALSE)</f>
        <v>0.23268398268398299</v>
      </c>
      <c r="S430" s="32">
        <f>VLOOKUP($B430,Hitters!$A1:$R401,10,FALSE)</f>
        <v>0.31422460709989097</v>
      </c>
      <c r="T430" s="30">
        <f>VLOOKUP($B430,Hitters!$A1:$R401,11,FALSE)</f>
        <v>71.6666666666667</v>
      </c>
      <c r="U430" s="30">
        <f>VLOOKUP($B430,Hitters!$A1:$R401,12,FALSE)</f>
        <v>15.466666666666701</v>
      </c>
      <c r="V430" s="30">
        <f>VLOOKUP($B430,Hitters!$A1:$R401,13,FALSE)</f>
        <v>1.4666666666666699</v>
      </c>
      <c r="W430" s="30">
        <f>VLOOKUP($B430,Hitters!$A1:$R401,14,FALSE)</f>
        <v>38.033333333333303</v>
      </c>
      <c r="X430" s="30">
        <f>VLOOKUP($B430,Hitters!$A1:$R401,15,FALSE)</f>
        <v>87.866666666666703</v>
      </c>
      <c r="Y430" s="32">
        <f>VLOOKUP($B430,Hitters!$A1:$R401,16,FALSE)</f>
        <v>0.36547619047619101</v>
      </c>
      <c r="Z430" s="32">
        <f>VLOOKUP($B430,Hitters!$A1:$R401,17,FALSE)</f>
        <v>0.67970079757608204</v>
      </c>
      <c r="AA430" s="30">
        <f>VLOOKUP($B430,Hitters!$A1:$R401,18,FALSE)</f>
        <v>0</v>
      </c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</row>
    <row r="431" spans="1:44" ht="20.100000000000001" customHeight="1">
      <c r="A431" s="24">
        <f ca="1">RANK(I431,I$2:I$651)</f>
        <v>440</v>
      </c>
      <c r="B431" s="25" t="s">
        <v>536</v>
      </c>
      <c r="C431" s="26" t="s">
        <v>219</v>
      </c>
      <c r="D431" s="26" t="s">
        <v>75</v>
      </c>
      <c r="E431" s="33" t="s">
        <v>15</v>
      </c>
      <c r="F431" s="34">
        <f ca="1">VLOOKUP(B431,'3B'!A1:I55,IF(Settings!$J$13="points",4,7),FALSE)</f>
        <v>33</v>
      </c>
      <c r="G431" s="29">
        <f>(M431*Settings!$B$2)+(N431*Settings!$B$3)+(O431*Settings!$B$4)+(P431*Settings!$B$5)+(Q431*Settings!$B$6)+(T431*Settings!$B$9)+(U431*Settings!$B$10)+(V431*Settings!$B$11)+(W431*Settings!$B$12)+(X431*Settings!$B$13)+(AA431*Settings!$B$16)</f>
        <v>223.56666666666638</v>
      </c>
      <c r="H431" s="30">
        <f>VLOOKUP(B431,'Standard Deviations'!$A1:$D651,4,FALSE)</f>
        <v>-2.14897321027036</v>
      </c>
      <c r="I431" s="31">
        <f ca="1">IF(Settings!$J$15="no",VLOOKUP(B431,'3B'!A1:I55,IF(Settings!$J$13="points",6,9),FALSE),VLOOKUP(B431,'1B+3B'!$A1:$I104,IF(Settings!$J$13="points",6,9),FALSE))</f>
        <v>-2.8766544835117491</v>
      </c>
      <c r="J431" s="30"/>
      <c r="K431" s="30">
        <f ca="1">J431-A431</f>
        <v>-440</v>
      </c>
      <c r="L431" s="30"/>
      <c r="M431" s="30">
        <f>VLOOKUP($B431,Hitters!$A1:$R401,4,FALSE)</f>
        <v>314.66666666666703</v>
      </c>
      <c r="N431" s="30">
        <f>VLOOKUP($B431,Hitters!$A1:$R401,5,FALSE)</f>
        <v>41.7</v>
      </c>
      <c r="O431" s="30">
        <f>VLOOKUP($B431,Hitters!$A1:$R401,6,FALSE)</f>
        <v>11.033333333333299</v>
      </c>
      <c r="P431" s="30">
        <f>VLOOKUP($B431,Hitters!$A1:$R401,7,FALSE)</f>
        <v>38.733333333333299</v>
      </c>
      <c r="Q431" s="30">
        <f>VLOOKUP($B431,Hitters!$A1:$R401,8,FALSE)</f>
        <v>1.6</v>
      </c>
      <c r="R431" s="32">
        <f>VLOOKUP($B431,Hitters!$A1:$R401,9,FALSE)</f>
        <v>0.24925847457627101</v>
      </c>
      <c r="S431" s="32">
        <f>VLOOKUP($B431,Hitters!$A1:$R401,10,FALSE)</f>
        <v>0.331116575388398</v>
      </c>
      <c r="T431" s="30">
        <f>VLOOKUP($B431,Hitters!$A1:$R401,11,FALSE)</f>
        <v>78.433333333333294</v>
      </c>
      <c r="U431" s="30">
        <f>VLOOKUP($B431,Hitters!$A1:$R401,12,FALSE)</f>
        <v>14.6666666666667</v>
      </c>
      <c r="V431" s="30">
        <f>VLOOKUP($B431,Hitters!$A1:$R401,13,FALSE)</f>
        <v>1.0333333333333301</v>
      </c>
      <c r="W431" s="30">
        <f>VLOOKUP($B431,Hitters!$A1:$R401,14,FALSE)</f>
        <v>40.066666666666698</v>
      </c>
      <c r="X431" s="30">
        <f>VLOOKUP($B431,Hitters!$A1:$R401,15,FALSE)</f>
        <v>110.26666666666701</v>
      </c>
      <c r="Y431" s="32">
        <f>VLOOKUP($B431,Hitters!$A1:$R401,16,FALSE)</f>
        <v>0.40762711864406798</v>
      </c>
      <c r="Z431" s="32">
        <f>VLOOKUP($B431,Hitters!$A1:$R401,17,FALSE)</f>
        <v>0.73874369403246598</v>
      </c>
      <c r="AA431" s="30">
        <f>VLOOKUP($B431,Hitters!$A1:$R401,18,FALSE)</f>
        <v>0</v>
      </c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</row>
    <row r="432" spans="1:44" ht="18.600000000000001" customHeight="1">
      <c r="A432" s="24">
        <f ca="1">RANK(I432,I$2:I$651)</f>
        <v>548</v>
      </c>
      <c r="B432" s="25" t="s">
        <v>646</v>
      </c>
      <c r="C432" s="26" t="s">
        <v>142</v>
      </c>
      <c r="D432" s="26" t="s">
        <v>70</v>
      </c>
      <c r="E432" s="35" t="s">
        <v>31</v>
      </c>
      <c r="F432" s="36">
        <f ca="1">VLOOKUP(B432,SP!A1:I161,IF(Settings!$J$13="points",4,7),FALSE)</f>
        <v>152</v>
      </c>
      <c r="G432" s="29">
        <f>(AC432*Settings!$F$2)+(AF432*Settings!$F$5)+(AG432*Settings!$F$6)+(AH432*Settings!$F$7)+(AI432*Settings!$F$8)+(AJ432*Settings!$F$9)+(AK432*Settings!$F$10)+(AL432*Settings!$F$11)+(AM432*Settings!$F$12)+(AN432*Settings!$F$13)+(AO432*Settings!$F$14)+(AP432*Settings!$F$15)+(AQ432*Settings!$F$16)+(AR432*Settings!$F$17)</f>
        <v>223.38199999999989</v>
      </c>
      <c r="H432" s="30">
        <f>VLOOKUP(B432,'Standard Deviations'!$A1:$D651,4,FALSE)</f>
        <v>-4.1333000851813653</v>
      </c>
      <c r="I432" s="31">
        <f ca="1">IF(Settings!$J$16="no",VLOOKUP(B432,SP!A1:I161,IF(Settings!$J$13="points",6,9),FALSE),VLOOKUP(B432,'SP+RP'!$A1:$I251,IF(Settings!$J$13="points",6,9),FALSE))</f>
        <v>-4.2692871705586244</v>
      </c>
      <c r="J432" s="30"/>
      <c r="K432" s="30">
        <f ca="1">J432-A432</f>
        <v>-548</v>
      </c>
      <c r="L432" s="30"/>
      <c r="M432" s="30"/>
      <c r="N432" s="30"/>
      <c r="O432" s="30"/>
      <c r="P432" s="30"/>
      <c r="Q432" s="30"/>
      <c r="R432" s="32"/>
      <c r="S432" s="32"/>
      <c r="T432" s="30"/>
      <c r="U432" s="30"/>
      <c r="V432" s="30"/>
      <c r="W432" s="30"/>
      <c r="X432" s="30"/>
      <c r="Y432" s="32"/>
      <c r="Z432" s="32"/>
      <c r="AA432" s="30"/>
      <c r="AB432" s="30"/>
      <c r="AC432" s="30">
        <f>VLOOKUP($B432,Pitchers!$A1:$S251,4,FALSE)</f>
        <v>128.43333333333331</v>
      </c>
      <c r="AD432" s="32">
        <f>VLOOKUP($B432,Pitchers!$A1:$S251,5,FALSE)</f>
        <v>4.6542590189462771</v>
      </c>
      <c r="AE432" s="32">
        <f>VLOOKUP($B432,Pitchers!$A1:$S251,6,FALSE)</f>
        <v>1.3581624708019728</v>
      </c>
      <c r="AF432" s="30">
        <f>VLOOKUP($B432,Pitchers!$A1:$S251,7,FALSE)</f>
        <v>104.53333333333335</v>
      </c>
      <c r="AG432" s="30">
        <f>VLOOKUP($B432,Pitchers!$A1:$S251,8,FALSE)</f>
        <v>5.833333333333333</v>
      </c>
      <c r="AH432" s="30">
        <f>VLOOKUP($B432,Pitchers!$A1:$S251,9,FALSE)</f>
        <v>0</v>
      </c>
      <c r="AI432" s="30">
        <f>VLOOKUP($B432,Pitchers!$A1:$S251,10,FALSE)</f>
        <v>66.418000000000006</v>
      </c>
      <c r="AJ432" s="30">
        <f>VLOOKUP($B432,Pitchers!$A1:$S251,11,FALSE)</f>
        <v>123.23333333333333</v>
      </c>
      <c r="AK432" s="30">
        <f>VLOOKUP($B432,Pitchers!$A1:$S251,12,FALSE)</f>
        <v>51.199999999999996</v>
      </c>
      <c r="AL432" s="30">
        <f>VLOOKUP($B432,Pitchers!$A1:$S251,13,FALSE)</f>
        <v>22</v>
      </c>
      <c r="AM432" s="30">
        <f>VLOOKUP($B432,Pitchers!$A1:$S251,14,FALSE)</f>
        <v>24.966666666666669</v>
      </c>
      <c r="AN432" s="30">
        <f>VLOOKUP($B432,Pitchers!$A1:$S251,15,FALSE)</f>
        <v>24.3</v>
      </c>
      <c r="AO432" s="30">
        <f>VLOOKUP($B432,Pitchers!$A1:$S251,16,FALSE)</f>
        <v>8.8333333333333339</v>
      </c>
      <c r="AP432" s="30">
        <f>VLOOKUP($B432,Pitchers!$A1:$S251,17,FALSE)</f>
        <v>10</v>
      </c>
      <c r="AQ432" s="30">
        <f>VLOOKUP($B432,Pitchers!$A1:$S251,18,FALSE)</f>
        <v>0</v>
      </c>
      <c r="AR432" s="30">
        <f>VLOOKUP($B432,Pitchers!$A1:$S251,19,FALSE)</f>
        <v>0</v>
      </c>
    </row>
    <row r="433" spans="1:44" ht="18.600000000000001" customHeight="1">
      <c r="A433" s="24">
        <f ca="1">RANK(I433,I$2:I$651)</f>
        <v>334</v>
      </c>
      <c r="B433" s="25" t="s">
        <v>431</v>
      </c>
      <c r="C433" s="26" t="s">
        <v>158</v>
      </c>
      <c r="D433" s="26" t="s">
        <v>70</v>
      </c>
      <c r="E433" s="35" t="s">
        <v>31</v>
      </c>
      <c r="F433" s="36">
        <f ca="1">VLOOKUP(B433,SP!A1:I161,IF(Settings!$J$13="points",4,7),FALSE)</f>
        <v>97</v>
      </c>
      <c r="G433" s="29">
        <f>(AC433*Settings!$F$2)+(AF433*Settings!$F$5)+(AG433*Settings!$F$6)+(AH433*Settings!$F$7)+(AI433*Settings!$F$8)+(AJ433*Settings!$F$9)+(AK433*Settings!$F$10)+(AL433*Settings!$F$11)+(AM433*Settings!$F$12)+(AN433*Settings!$F$13)+(AO433*Settings!$F$14)+(AP433*Settings!$F$15)+(AQ433*Settings!$F$16)+(AR433*Settings!$F$17)</f>
        <v>222.50799999999992</v>
      </c>
      <c r="H433" s="30">
        <f>VLOOKUP(B433,'Standard Deviations'!$A1:$D651,4,FALSE)</f>
        <v>-1.4926523319966745</v>
      </c>
      <c r="I433" s="31">
        <f ca="1">IF(Settings!$J$16="no",VLOOKUP(B433,SP!A1:I161,IF(Settings!$J$13="points",6,9),FALSE),VLOOKUP(B433,'SP+RP'!$A1:$I251,IF(Settings!$J$13="points",6,9),FALSE))</f>
        <v>-1.6286337971611204</v>
      </c>
      <c r="J433" s="30"/>
      <c r="K433" s="30">
        <f ca="1">J433-A433</f>
        <v>-334</v>
      </c>
      <c r="L433" s="30"/>
      <c r="M433" s="30"/>
      <c r="N433" s="30"/>
      <c r="O433" s="30"/>
      <c r="P433" s="30"/>
      <c r="Q433" s="30"/>
      <c r="R433" s="32"/>
      <c r="S433" s="32"/>
      <c r="T433" s="30"/>
      <c r="U433" s="30"/>
      <c r="V433" s="30"/>
      <c r="W433" s="30"/>
      <c r="X433" s="30"/>
      <c r="Y433" s="32"/>
      <c r="Z433" s="32"/>
      <c r="AA433" s="30"/>
      <c r="AB433" s="30"/>
      <c r="AC433" s="30">
        <f>VLOOKUP($B433,Pitchers!$A1:$S251,4,FALSE)</f>
        <v>97.35</v>
      </c>
      <c r="AD433" s="32">
        <f>VLOOKUP($B433,Pitchers!$A1:$S251,5,FALSE)</f>
        <v>3.8359322033898313</v>
      </c>
      <c r="AE433" s="32">
        <f>VLOOKUP($B433,Pitchers!$A1:$S251,6,FALSE)</f>
        <v>1.2223934257832563</v>
      </c>
      <c r="AF433" s="30">
        <f>VLOOKUP($B433,Pitchers!$A1:$S251,7,FALSE)</f>
        <v>93.3</v>
      </c>
      <c r="AG433" s="30">
        <f>VLOOKUP($B433,Pitchers!$A1:$S251,8,FALSE)</f>
        <v>5.65</v>
      </c>
      <c r="AH433" s="30">
        <f>VLOOKUP($B433,Pitchers!$A1:$S251,9,FALSE)</f>
        <v>0</v>
      </c>
      <c r="AI433" s="30">
        <f>VLOOKUP($B433,Pitchers!$A1:$S251,10,FALSE)</f>
        <v>41.492000000000004</v>
      </c>
      <c r="AJ433" s="30">
        <f>VLOOKUP($B433,Pitchers!$A1:$S251,11,FALSE)</f>
        <v>92.05</v>
      </c>
      <c r="AK433" s="30">
        <f>VLOOKUP($B433,Pitchers!$A1:$S251,12,FALSE)</f>
        <v>26.95</v>
      </c>
      <c r="AL433" s="30">
        <f>VLOOKUP($B433,Pitchers!$A1:$S251,13,FALSE)</f>
        <v>21</v>
      </c>
      <c r="AM433" s="30">
        <f>VLOOKUP($B433,Pitchers!$A1:$S251,14,FALSE)</f>
        <v>29.7</v>
      </c>
      <c r="AN433" s="30">
        <f>VLOOKUP($B433,Pitchers!$A1:$S251,15,FALSE)</f>
        <v>19.100000000000001</v>
      </c>
      <c r="AO433" s="30">
        <f>VLOOKUP($B433,Pitchers!$A1:$S251,16,FALSE)</f>
        <v>5.65</v>
      </c>
      <c r="AP433" s="30">
        <f>VLOOKUP($B433,Pitchers!$A1:$S251,17,FALSE)</f>
        <v>11</v>
      </c>
      <c r="AQ433" s="30">
        <f>VLOOKUP($B433,Pitchers!$A1:$S251,18,FALSE)</f>
        <v>2</v>
      </c>
      <c r="AR433" s="30">
        <f>VLOOKUP($B433,Pitchers!$A1:$S251,19,FALSE)</f>
        <v>0</v>
      </c>
    </row>
    <row r="434" spans="1:44" ht="18.600000000000001" customHeight="1">
      <c r="A434" s="24">
        <f ca="1">RANK(I434,I$2:I$651)</f>
        <v>629</v>
      </c>
      <c r="B434" s="25" t="s">
        <v>725</v>
      </c>
      <c r="C434" s="26" t="s">
        <v>142</v>
      </c>
      <c r="D434" s="26" t="s">
        <v>70</v>
      </c>
      <c r="E434" s="37" t="s">
        <v>27</v>
      </c>
      <c r="F434" s="38">
        <f ca="1">VLOOKUP(B434,SS!A1:I45,IF(Settings!$J$13="points",4,7),FALSE)</f>
        <v>38</v>
      </c>
      <c r="G434" s="29">
        <f>(M434*Settings!$B$2)+(N434*Settings!$B$3)+(O434*Settings!$B$4)+(P434*Settings!$B$5)+(Q434*Settings!$B$6)+(T434*Settings!$B$9)+(U434*Settings!$B$10)+(V434*Settings!$B$11)+(W434*Settings!$B$12)+(X434*Settings!$B$13)+(AA434*Settings!$B$16)</f>
        <v>221.9166666666666</v>
      </c>
      <c r="H434" s="30">
        <f>VLOOKUP(B434,'Standard Deviations'!$A1:$D651,4,FALSE)</f>
        <v>-3.7159830631944715</v>
      </c>
      <c r="I434" s="31">
        <f ca="1">IF(Settings!$J$16="no",VLOOKUP(B434,SS!A1:I45,IF(Settings!$J$13="points",6,9),FALSE),VLOOKUP(B434,'2B+SS'!$A1:$I94,IF(Settings!$J$13="points",6,9),FALSE))</f>
        <v>-6.7204074595774941</v>
      </c>
      <c r="J434" s="30"/>
      <c r="K434" s="30">
        <f ca="1">J434-A434</f>
        <v>-629</v>
      </c>
      <c r="L434" s="30"/>
      <c r="M434" s="30">
        <f>VLOOKUP($B434,Hitters!$A1:$R401,4,FALSE)</f>
        <v>390</v>
      </c>
      <c r="N434" s="30">
        <f>VLOOKUP($B434,Hitters!$A1:$R401,5,FALSE)</f>
        <v>40.8333333333333</v>
      </c>
      <c r="O434" s="30">
        <f>VLOOKUP($B434,Hitters!$A1:$R401,6,FALSE)</f>
        <v>5.6666666666666696</v>
      </c>
      <c r="P434" s="30">
        <f>VLOOKUP($B434,Hitters!$A1:$R401,7,FALSE)</f>
        <v>30.5</v>
      </c>
      <c r="Q434" s="30">
        <f>VLOOKUP($B434,Hitters!$A1:$R401,8,FALSE)</f>
        <v>6.4666666666666703</v>
      </c>
      <c r="R434" s="32">
        <f>VLOOKUP($B434,Hitters!$A1:$R401,9,FALSE)</f>
        <v>0.224529914529915</v>
      </c>
      <c r="S434" s="32">
        <f>VLOOKUP($B434,Hitters!$A1:$R401,10,FALSE)</f>
        <v>0.27477904040404</v>
      </c>
      <c r="T434" s="30">
        <f>VLOOKUP($B434,Hitters!$A1:$R401,11,FALSE)</f>
        <v>87.566666666666706</v>
      </c>
      <c r="U434" s="30">
        <f>VLOOKUP($B434,Hitters!$A1:$R401,12,FALSE)</f>
        <v>19.233333333333299</v>
      </c>
      <c r="V434" s="30">
        <f>VLOOKUP($B434,Hitters!$A1:$R401,13,FALSE)</f>
        <v>0.6</v>
      </c>
      <c r="W434" s="30">
        <f>VLOOKUP($B434,Hitters!$A1:$R401,14,FALSE)</f>
        <v>28.5</v>
      </c>
      <c r="X434" s="30">
        <f>VLOOKUP($B434,Hitters!$A1:$R401,15,FALSE)</f>
        <v>82.7</v>
      </c>
      <c r="Y434" s="32">
        <f>VLOOKUP($B434,Hitters!$A1:$R401,16,FALSE)</f>
        <v>0.32051282051282098</v>
      </c>
      <c r="Z434" s="32">
        <f>VLOOKUP($B434,Hitters!$A1:$R401,17,FALSE)</f>
        <v>0.59529186091686104</v>
      </c>
      <c r="AA434" s="30">
        <f>VLOOKUP($B434,Hitters!$A1:$R401,18,FALSE)</f>
        <v>0</v>
      </c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</row>
    <row r="435" spans="1:44" ht="20.100000000000001" customHeight="1">
      <c r="A435" s="24">
        <f ca="1">RANK(I435,I$2:I$651)</f>
        <v>545</v>
      </c>
      <c r="B435" s="25" t="s">
        <v>642</v>
      </c>
      <c r="C435" s="26" t="s">
        <v>142</v>
      </c>
      <c r="D435" s="26" t="s">
        <v>70</v>
      </c>
      <c r="E435" s="35" t="s">
        <v>31</v>
      </c>
      <c r="F435" s="36">
        <f ca="1">VLOOKUP(B435,SP!A1:I161,IF(Settings!$J$13="points",4,7),FALSE)</f>
        <v>150</v>
      </c>
      <c r="G435" s="29">
        <f>(AC435*Settings!$F$2)+(AF435*Settings!$F$5)+(AG435*Settings!$F$6)+(AH435*Settings!$F$7)+(AI435*Settings!$F$8)+(AJ435*Settings!$F$9)+(AK435*Settings!$F$10)+(AL435*Settings!$F$11)+(AM435*Settings!$F$12)+(AN435*Settings!$F$13)+(AO435*Settings!$F$14)+(AP435*Settings!$F$15)+(AQ435*Settings!$F$16)+(AR435*Settings!$F$17)</f>
        <v>221.89999999999998</v>
      </c>
      <c r="H435" s="30">
        <f>VLOOKUP(B435,'Standard Deviations'!$A1:$D651,4,FALSE)</f>
        <v>-4.0663732737473444</v>
      </c>
      <c r="I435" s="31">
        <f ca="1">IF(Settings!$J$16="no",VLOOKUP(B435,SP!A1:I161,IF(Settings!$J$13="points",6,9),FALSE),VLOOKUP(B435,'SP+RP'!$A1:$I251,IF(Settings!$J$13="points",6,9),FALSE))</f>
        <v>-4.2023577170933351</v>
      </c>
      <c r="J435" s="30"/>
      <c r="K435" s="30">
        <f ca="1">J435-A435</f>
        <v>-545</v>
      </c>
      <c r="L435" s="30"/>
      <c r="M435" s="30"/>
      <c r="N435" s="30"/>
      <c r="O435" s="30"/>
      <c r="P435" s="30"/>
      <c r="Q435" s="30"/>
      <c r="R435" s="32"/>
      <c r="S435" s="32"/>
      <c r="T435" s="30"/>
      <c r="U435" s="30"/>
      <c r="V435" s="30"/>
      <c r="W435" s="30"/>
      <c r="X435" s="30"/>
      <c r="Y435" s="32"/>
      <c r="Z435" s="32"/>
      <c r="AA435" s="30"/>
      <c r="AB435" s="30"/>
      <c r="AC435" s="30">
        <f>VLOOKUP($B435,Pitchers!$A1:$S251,4,FALSE)</f>
        <v>117.3</v>
      </c>
      <c r="AD435" s="32">
        <f>VLOOKUP($B435,Pitchers!$A1:$S251,5,FALSE)</f>
        <v>4.4501278772378514</v>
      </c>
      <c r="AE435" s="32">
        <f>VLOOKUP($B435,Pitchers!$A1:$S251,6,FALSE)</f>
        <v>1.3213981244671782</v>
      </c>
      <c r="AF435" s="30">
        <f>VLOOKUP($B435,Pitchers!$A1:$S251,7,FALSE)</f>
        <v>98</v>
      </c>
      <c r="AG435" s="30">
        <f>VLOOKUP($B435,Pitchers!$A1:$S251,8,FALSE)</f>
        <v>4</v>
      </c>
      <c r="AH435" s="30">
        <f>VLOOKUP($B435,Pitchers!$A1:$S251,9,FALSE)</f>
        <v>0</v>
      </c>
      <c r="AI435" s="30">
        <f>VLOOKUP($B435,Pitchers!$A1:$S251,10,FALSE)</f>
        <v>58</v>
      </c>
      <c r="AJ435" s="30">
        <f>VLOOKUP($B435,Pitchers!$A1:$S251,11,FALSE)</f>
        <v>116</v>
      </c>
      <c r="AK435" s="30">
        <f>VLOOKUP($B435,Pitchers!$A1:$S251,12,FALSE)</f>
        <v>39</v>
      </c>
      <c r="AL435" s="30">
        <f>VLOOKUP($B435,Pitchers!$A1:$S251,13,FALSE)</f>
        <v>22</v>
      </c>
      <c r="AM435" s="30">
        <f>VLOOKUP($B435,Pitchers!$A1:$S251,14,FALSE)</f>
        <v>36</v>
      </c>
      <c r="AN435" s="30">
        <f>VLOOKUP($B435,Pitchers!$A1:$S251,15,FALSE)</f>
        <v>20</v>
      </c>
      <c r="AO435" s="30">
        <f>VLOOKUP($B435,Pitchers!$A1:$S251,16,FALSE)</f>
        <v>6</v>
      </c>
      <c r="AP435" s="30">
        <f>VLOOKUP($B435,Pitchers!$A1:$S251,17,FALSE)</f>
        <v>12</v>
      </c>
      <c r="AQ435" s="30">
        <f>VLOOKUP($B435,Pitchers!$A1:$S251,18,FALSE)</f>
        <v>0</v>
      </c>
      <c r="AR435" s="30">
        <f>VLOOKUP($B435,Pitchers!$A1:$S251,19,FALSE)</f>
        <v>0</v>
      </c>
    </row>
    <row r="436" spans="1:44" ht="20.100000000000001" customHeight="1">
      <c r="A436" s="24">
        <f ca="1">RANK(I436,I$2:I$651)</f>
        <v>450</v>
      </c>
      <c r="B436" s="25" t="s">
        <v>547</v>
      </c>
      <c r="C436" s="26" t="s">
        <v>260</v>
      </c>
      <c r="D436" s="26" t="s">
        <v>70</v>
      </c>
      <c r="E436" s="27" t="s">
        <v>23</v>
      </c>
      <c r="F436" s="28">
        <f ca="1">VLOOKUP(B436,OF!A1:I139,IF(Settings!$J$13="points",4,7),FALSE)</f>
        <v>113</v>
      </c>
      <c r="G436" s="29">
        <f>(M436*Settings!$B$2)+(N436*Settings!$B$3)+(O436*Settings!$B$4)+(P436*Settings!$B$5)+(Q436*Settings!$B$6)+(T436*Settings!$B$9)+(U436*Settings!$B$10)+(V436*Settings!$B$11)+(W436*Settings!$B$12)+(X436*Settings!$B$13)+(AA436*Settings!$B$16)</f>
        <v>221.81666666666683</v>
      </c>
      <c r="H436" s="30">
        <f>VLOOKUP(B436,'Standard Deviations'!$A1:$D651,4,FALSE)</f>
        <v>-2.8680308503815786</v>
      </c>
      <c r="I436" s="31">
        <f ca="1">VLOOKUP(B436,OF!A1:I139,IF(Settings!$J$13="points",6,9),FALSE)</f>
        <v>-2.9867415356015719</v>
      </c>
      <c r="J436" s="30"/>
      <c r="K436" s="30">
        <f ca="1">J436-A436</f>
        <v>-450</v>
      </c>
      <c r="L436" s="30"/>
      <c r="M436" s="30">
        <f>VLOOKUP($B436,Hitters!$A1:$R401,4,FALSE)</f>
        <v>333</v>
      </c>
      <c r="N436" s="30">
        <f>VLOOKUP($B436,Hitters!$A1:$R401,5,FALSE)</f>
        <v>37.466666666666697</v>
      </c>
      <c r="O436" s="30">
        <f>VLOOKUP($B436,Hitters!$A1:$R401,6,FALSE)</f>
        <v>9.1</v>
      </c>
      <c r="P436" s="30">
        <f>VLOOKUP($B436,Hitters!$A1:$R401,7,FALSE)</f>
        <v>36.866666666666703</v>
      </c>
      <c r="Q436" s="30">
        <f>VLOOKUP($B436,Hitters!$A1:$R401,8,FALSE)</f>
        <v>3.6</v>
      </c>
      <c r="R436" s="32">
        <f>VLOOKUP($B436,Hitters!$A1:$R401,9,FALSE)</f>
        <v>0.239039039039039</v>
      </c>
      <c r="S436" s="32">
        <f>VLOOKUP($B436,Hitters!$A1:$R401,10,FALSE)</f>
        <v>0.30973570295485697</v>
      </c>
      <c r="T436" s="30">
        <f>VLOOKUP($B436,Hitters!$A1:$R401,11,FALSE)</f>
        <v>79.599999999999994</v>
      </c>
      <c r="U436" s="30">
        <f>VLOOKUP($B436,Hitters!$A1:$R401,12,FALSE)</f>
        <v>14.266666666666699</v>
      </c>
      <c r="V436" s="30">
        <f>VLOOKUP($B436,Hitters!$A1:$R401,13,FALSE)</f>
        <v>2.06666666666667</v>
      </c>
      <c r="W436" s="30">
        <f>VLOOKUP($B436,Hitters!$A1:$R401,14,FALSE)</f>
        <v>35.6</v>
      </c>
      <c r="X436" s="30">
        <f>VLOOKUP($B436,Hitters!$A1:$R401,15,FALSE)</f>
        <v>92.1</v>
      </c>
      <c r="Y436" s="32">
        <f>VLOOKUP($B436,Hitters!$A1:$R401,16,FALSE)</f>
        <v>0.37627627627627602</v>
      </c>
      <c r="Z436" s="32">
        <f>VLOOKUP($B436,Hitters!$A1:$R401,17,FALSE)</f>
        <v>0.686011979231133</v>
      </c>
      <c r="AA436" s="30">
        <f>VLOOKUP($B436,Hitters!$A1:$R401,18,FALSE)</f>
        <v>0</v>
      </c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</row>
    <row r="437" spans="1:44" ht="18.600000000000001" customHeight="1">
      <c r="A437" s="24">
        <f ca="1">RANK(I437,I$2:I$651)</f>
        <v>366</v>
      </c>
      <c r="B437" s="25" t="s">
        <v>464</v>
      </c>
      <c r="C437" s="26" t="s">
        <v>309</v>
      </c>
      <c r="D437" s="26" t="s">
        <v>75</v>
      </c>
      <c r="E437" s="27" t="s">
        <v>23</v>
      </c>
      <c r="F437" s="28">
        <f ca="1">VLOOKUP(B437,OF!A1:I139,IF(Settings!$J$13="points",4,7),FALSE)</f>
        <v>103</v>
      </c>
      <c r="G437" s="29">
        <f>(M437*Settings!$B$2)+(N437*Settings!$B$3)+(O437*Settings!$B$4)+(P437*Settings!$B$5)+(Q437*Settings!$B$6)+(T437*Settings!$B$9)+(U437*Settings!$B$10)+(V437*Settings!$B$11)+(W437*Settings!$B$12)+(X437*Settings!$B$13)+(AA437*Settings!$B$16)</f>
        <v>221.56666666666669</v>
      </c>
      <c r="H437" s="30">
        <f>VLOOKUP(B437,'Standard Deviations'!$A1:$D651,4,FALSE)</f>
        <v>-1.8959371376663019</v>
      </c>
      <c r="I437" s="31">
        <f ca="1">VLOOKUP(B437,OF!A1:I139,IF(Settings!$J$13="points",6,9),FALSE)</f>
        <v>-2.0146542311148639</v>
      </c>
      <c r="J437" s="30"/>
      <c r="K437" s="30">
        <f ca="1">J437-A437</f>
        <v>-366</v>
      </c>
      <c r="L437" s="30"/>
      <c r="M437" s="30">
        <f>VLOOKUP($B437,Hitters!$A1:$R401,4,FALSE)</f>
        <v>311.33333333333297</v>
      </c>
      <c r="N437" s="30">
        <f>VLOOKUP($B437,Hitters!$A1:$R401,5,FALSE)</f>
        <v>36.5</v>
      </c>
      <c r="O437" s="30">
        <f>VLOOKUP($B437,Hitters!$A1:$R401,6,FALSE)</f>
        <v>7.8333333333333304</v>
      </c>
      <c r="P437" s="30">
        <f>VLOOKUP($B437,Hitters!$A1:$R401,7,FALSE)</f>
        <v>35.200000000000003</v>
      </c>
      <c r="Q437" s="30">
        <f>VLOOKUP($B437,Hitters!$A1:$R401,8,FALSE)</f>
        <v>2.6333333333333302</v>
      </c>
      <c r="R437" s="32">
        <f>VLOOKUP($B437,Hitters!$A1:$R401,9,FALSE)</f>
        <v>0.26766595289079198</v>
      </c>
      <c r="S437" s="32">
        <f>VLOOKUP($B437,Hitters!$A1:$R401,10,FALSE)</f>
        <v>0.306479684718027</v>
      </c>
      <c r="T437" s="30">
        <f>VLOOKUP($B437,Hitters!$A1:$R401,11,FALSE)</f>
        <v>83.3333333333333</v>
      </c>
      <c r="U437" s="30">
        <f>VLOOKUP($B437,Hitters!$A1:$R401,12,FALSE)</f>
        <v>17.566666666666698</v>
      </c>
      <c r="V437" s="30">
        <f>VLOOKUP($B437,Hitters!$A1:$R401,13,FALSE)</f>
        <v>2.06666666666667</v>
      </c>
      <c r="W437" s="30">
        <f>VLOOKUP($B437,Hitters!$A1:$R401,14,FALSE)</f>
        <v>18.8</v>
      </c>
      <c r="X437" s="30">
        <f>VLOOKUP($B437,Hitters!$A1:$R401,15,FALSE)</f>
        <v>60.4</v>
      </c>
      <c r="Y437" s="32">
        <f>VLOOKUP($B437,Hitters!$A1:$R401,16,FALSE)</f>
        <v>0.41284796573875798</v>
      </c>
      <c r="Z437" s="32">
        <f>VLOOKUP($B437,Hitters!$A1:$R401,17,FALSE)</f>
        <v>0.71932765045678504</v>
      </c>
      <c r="AA437" s="30">
        <f>VLOOKUP($B437,Hitters!$A1:$R401,18,FALSE)</f>
        <v>0</v>
      </c>
      <c r="AB437" s="30"/>
      <c r="AC437" s="30"/>
      <c r="AD437" s="32"/>
      <c r="AE437" s="32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</row>
    <row r="438" spans="1:44" ht="20.100000000000001" customHeight="1">
      <c r="A438" s="24">
        <f ca="1">RANK(I438,I$2:I$651)</f>
        <v>611</v>
      </c>
      <c r="B438" s="25" t="s">
        <v>707</v>
      </c>
      <c r="C438" s="26" t="s">
        <v>64</v>
      </c>
      <c r="D438" s="26" t="s">
        <v>75</v>
      </c>
      <c r="E438" s="43" t="s">
        <v>114</v>
      </c>
      <c r="F438" s="44">
        <f ca="1">VLOOKUP(B438,'1B'!A1:I63,IF(Settings!$J$13="points",4,7),FALSE)</f>
        <v>49</v>
      </c>
      <c r="G438" s="29">
        <f>(M438*Settings!$B$2)+(N438*Settings!$B$3)+(O438*Settings!$B$4)+(P438*Settings!$B$5)+(Q438*Settings!$B$6)+(T438*Settings!$B$9)+(U438*Settings!$B$10)+(V438*Settings!$B$11)+(W438*Settings!$B$12)+(X438*Settings!$B$13)+(AA438*Settings!$B$16)</f>
        <v>220.46666666666653</v>
      </c>
      <c r="H438" s="30">
        <f>VLOOKUP(B438,'Standard Deviations'!$A1:$D651,4,FALSE)</f>
        <v>-3.1535442675986722</v>
      </c>
      <c r="I438" s="31">
        <f ca="1">VLOOKUP(B438,'1B'!A1:I63,IF(Settings!$J$13="points",6,9),FALSE)</f>
        <v>-5.7330703448305798</v>
      </c>
      <c r="J438" s="30"/>
      <c r="K438" s="30">
        <f ca="1">J438-A438</f>
        <v>-611</v>
      </c>
      <c r="L438" s="30"/>
      <c r="M438" s="30">
        <f>VLOOKUP($B438,Hitters!$A1:$R401,4,FALSE)</f>
        <v>270</v>
      </c>
      <c r="N438" s="30">
        <f>VLOOKUP($B438,Hitters!$A1:$R401,5,FALSE)</f>
        <v>38.366666666666703</v>
      </c>
      <c r="O438" s="30">
        <f>VLOOKUP($B438,Hitters!$A1:$R401,6,FALSE)</f>
        <v>12.633333333333301</v>
      </c>
      <c r="P438" s="30">
        <f>VLOOKUP($B438,Hitters!$A1:$R401,7,FALSE)</f>
        <v>42</v>
      </c>
      <c r="Q438" s="30">
        <f>VLOOKUP($B438,Hitters!$A1:$R401,8,FALSE)</f>
        <v>1.9666666666666699</v>
      </c>
      <c r="R438" s="32">
        <f>VLOOKUP($B438,Hitters!$A1:$R401,9,FALSE)</f>
        <v>0.22345679012345701</v>
      </c>
      <c r="S438" s="32">
        <f>VLOOKUP($B438,Hitters!$A1:$R401,10,FALSE)</f>
        <v>0.31663627587686399</v>
      </c>
      <c r="T438" s="30">
        <f>VLOOKUP($B438,Hitters!$A1:$R401,11,FALSE)</f>
        <v>60.3333333333333</v>
      </c>
      <c r="U438" s="30">
        <f>VLOOKUP($B438,Hitters!$A1:$R401,12,FALSE)</f>
        <v>14.033333333333299</v>
      </c>
      <c r="V438" s="30">
        <f>VLOOKUP($B438,Hitters!$A1:$R401,13,FALSE)</f>
        <v>0.63333333333333297</v>
      </c>
      <c r="W438" s="30">
        <f>VLOOKUP($B438,Hitters!$A1:$R401,14,FALSE)</f>
        <v>38.066666666666698</v>
      </c>
      <c r="X438" s="30">
        <f>VLOOKUP($B438,Hitters!$A1:$R401,15,FALSE)</f>
        <v>85.466666666666697</v>
      </c>
      <c r="Y438" s="32">
        <f>VLOOKUP($B438,Hitters!$A1:$R401,16,FALSE)</f>
        <v>0.42049382716049399</v>
      </c>
      <c r="Z438" s="32">
        <f>VLOOKUP($B438,Hitters!$A1:$R401,17,FALSE)</f>
        <v>0.73713010303735804</v>
      </c>
      <c r="AA438" s="30">
        <f>VLOOKUP($B438,Hitters!$A1:$R401,18,FALSE)</f>
        <v>0</v>
      </c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</row>
    <row r="439" spans="1:44" ht="20.100000000000001" customHeight="1">
      <c r="A439" s="24">
        <f ca="1">RANK(I439,I$2:I$651)</f>
        <v>470</v>
      </c>
      <c r="B439" s="25" t="s">
        <v>567</v>
      </c>
      <c r="C439" s="26" t="s">
        <v>95</v>
      </c>
      <c r="D439" s="26" t="s">
        <v>70</v>
      </c>
      <c r="E439" s="35" t="s">
        <v>31</v>
      </c>
      <c r="F439" s="36">
        <f ca="1">VLOOKUP(B439,SP!A1:I161,IF(Settings!$J$13="points",4,7),FALSE)</f>
        <v>138</v>
      </c>
      <c r="G439" s="29">
        <f>(AC439*Settings!$F$2)+(AF439*Settings!$F$5)+(AG439*Settings!$F$6)+(AH439*Settings!$F$7)+(AI439*Settings!$F$8)+(AJ439*Settings!$F$9)+(AK439*Settings!$F$10)+(AL439*Settings!$F$11)+(AM439*Settings!$F$12)+(AN439*Settings!$F$13)+(AO439*Settings!$F$14)+(AP439*Settings!$F$15)+(AQ439*Settings!$F$16)+(AR439*Settings!$F$17)</f>
        <v>219.99999999999997</v>
      </c>
      <c r="H439" s="30">
        <f>VLOOKUP(B439,'Standard Deviations'!$A1:$D651,4,FALSE)</f>
        <v>-3.0793103038495602</v>
      </c>
      <c r="I439" s="31">
        <f ca="1">IF(Settings!$J$16="no",VLOOKUP(B439,SP!A1:I161,IF(Settings!$J$13="points",6,9),FALSE),VLOOKUP(B439,'SP+RP'!$A1:$I251,IF(Settings!$J$13="points",6,9),FALSE))</f>
        <v>-3.2152939809912597</v>
      </c>
      <c r="J439" s="30"/>
      <c r="K439" s="30">
        <f ca="1">J439-A439</f>
        <v>-470</v>
      </c>
      <c r="L439" s="30"/>
      <c r="M439" s="30"/>
      <c r="N439" s="30"/>
      <c r="O439" s="30"/>
      <c r="P439" s="30"/>
      <c r="Q439" s="30"/>
      <c r="R439" s="32"/>
      <c r="S439" s="32"/>
      <c r="T439" s="30"/>
      <c r="U439" s="30"/>
      <c r="V439" s="30"/>
      <c r="W439" s="30"/>
      <c r="X439" s="30"/>
      <c r="Y439" s="32"/>
      <c r="Z439" s="32"/>
      <c r="AA439" s="30"/>
      <c r="AB439" s="30"/>
      <c r="AC439" s="30">
        <f>VLOOKUP($B439,Pitchers!$A1:$S251,4,FALSE)</f>
        <v>108.7</v>
      </c>
      <c r="AD439" s="32">
        <f>VLOOKUP($B439,Pitchers!$A1:$S251,5,FALSE)</f>
        <v>4.3716651333946643</v>
      </c>
      <c r="AE439" s="32">
        <f>VLOOKUP($B439,Pitchers!$A1:$S251,6,FALSE)</f>
        <v>1.3443728917509965</v>
      </c>
      <c r="AF439" s="30">
        <f>VLOOKUP($B439,Pitchers!$A1:$S251,7,FALSE)</f>
        <v>116.39999999999999</v>
      </c>
      <c r="AG439" s="30">
        <f>VLOOKUP($B439,Pitchers!$A1:$S251,8,FALSE)</f>
        <v>6.0666666666666664</v>
      </c>
      <c r="AH439" s="30">
        <f>VLOOKUP($B439,Pitchers!$A1:$S251,9,FALSE)</f>
        <v>0.33333333333333331</v>
      </c>
      <c r="AI439" s="30">
        <f>VLOOKUP($B439,Pitchers!$A1:$S251,10,FALSE)</f>
        <v>52.800000000000004</v>
      </c>
      <c r="AJ439" s="30">
        <f>VLOOKUP($B439,Pitchers!$A1:$S251,11,FALSE)</f>
        <v>99.266666666666666</v>
      </c>
      <c r="AK439" s="30">
        <f>VLOOKUP($B439,Pitchers!$A1:$S251,12,FALSE)</f>
        <v>46.866666666666667</v>
      </c>
      <c r="AL439" s="30">
        <f>VLOOKUP($B439,Pitchers!$A1:$S251,13,FALSE)</f>
        <v>16</v>
      </c>
      <c r="AM439" s="30">
        <f>VLOOKUP($B439,Pitchers!$A1:$S251,14,FALSE)</f>
        <v>31.466666666666669</v>
      </c>
      <c r="AN439" s="30">
        <f>VLOOKUP($B439,Pitchers!$A1:$S251,15,FALSE)</f>
        <v>20.066666666666666</v>
      </c>
      <c r="AO439" s="30">
        <f>VLOOKUP($B439,Pitchers!$A1:$S251,16,FALSE)</f>
        <v>6.2333333333333334</v>
      </c>
      <c r="AP439" s="30">
        <f>VLOOKUP($B439,Pitchers!$A1:$S251,17,FALSE)</f>
        <v>7</v>
      </c>
      <c r="AQ439" s="30">
        <f>VLOOKUP($B439,Pitchers!$A1:$S251,18,FALSE)</f>
        <v>1</v>
      </c>
      <c r="AR439" s="30">
        <f>VLOOKUP($B439,Pitchers!$A1:$S251,19,FALSE)</f>
        <v>0</v>
      </c>
    </row>
    <row r="440" spans="1:44" ht="20.100000000000001" customHeight="1">
      <c r="A440" s="24">
        <f ca="1">RANK(I440,I$2:I$651)</f>
        <v>419</v>
      </c>
      <c r="B440" s="25" t="s">
        <v>516</v>
      </c>
      <c r="C440" s="26" t="s">
        <v>116</v>
      </c>
      <c r="D440" s="26" t="s">
        <v>70</v>
      </c>
      <c r="E440" s="41" t="s">
        <v>34</v>
      </c>
      <c r="F440" s="42">
        <f ca="1">VLOOKUP(B440,RP!A1:I91,IF(Settings!$J$13="points",4,7),FALSE)</f>
        <v>47</v>
      </c>
      <c r="G440" s="29">
        <f>(AC440*Settings!$F$2)+(AF440*Settings!$F$5)+(AG440*Settings!$F$6)+(AH440*Settings!$F$7)+(AI440*Settings!$F$8)+(AJ440*Settings!$F$9)+(AK440*Settings!$F$10)+(AL440*Settings!$F$11)+(AM440*Settings!$F$12)+(AN440*Settings!$F$13)+(AO440*Settings!$F$14)+(AP440*Settings!$F$15)+(AQ440*Settings!$F$16)+(AR440*Settings!$F$17)</f>
        <v>218.01666666666668</v>
      </c>
      <c r="H440" s="30">
        <f>VLOOKUP(B440,'Standard Deviations'!$A1:$D651,4,FALSE)</f>
        <v>-1.1350080231104416</v>
      </c>
      <c r="I440" s="31">
        <f ca="1">IF(Settings!$J$16="no",VLOOKUP(B440,RP!A1:I91,IF(Settings!$J$13="points",6,9),FALSE),VLOOKUP(B440,'SP+RP'!$A1:$I251,IF(Settings!$J$13="points",6,9),FALSE))</f>
        <v>-2.7060721614092755</v>
      </c>
      <c r="J440" s="30"/>
      <c r="K440" s="30">
        <f ca="1">J440-A440</f>
        <v>-419</v>
      </c>
      <c r="L440" s="30"/>
      <c r="M440" s="30"/>
      <c r="N440" s="30"/>
      <c r="O440" s="30"/>
      <c r="P440" s="30"/>
      <c r="Q440" s="30"/>
      <c r="R440" s="32"/>
      <c r="S440" s="32"/>
      <c r="T440" s="30"/>
      <c r="U440" s="30"/>
      <c r="V440" s="30"/>
      <c r="W440" s="30"/>
      <c r="X440" s="30"/>
      <c r="Y440" s="32"/>
      <c r="Z440" s="32"/>
      <c r="AA440" s="30"/>
      <c r="AB440" s="30"/>
      <c r="AC440" s="30">
        <f>VLOOKUP($B440,Pitchers!$A1:$S251,4,FALSE)</f>
        <v>63.5</v>
      </c>
      <c r="AD440" s="32">
        <f>VLOOKUP($B440,Pitchers!$A1:$S251,5,FALSE)</f>
        <v>3.5338582677165356</v>
      </c>
      <c r="AE440" s="32">
        <f>VLOOKUP($B440,Pitchers!$A1:$S251,6,FALSE)</f>
        <v>1.2950131233595801</v>
      </c>
      <c r="AF440" s="30">
        <f>VLOOKUP($B440,Pitchers!$A1:$S251,7,FALSE)</f>
        <v>63.300000000000004</v>
      </c>
      <c r="AG440" s="30">
        <f>VLOOKUP($B440,Pitchers!$A1:$S251,8,FALSE)</f>
        <v>3.4333333333333336</v>
      </c>
      <c r="AH440" s="30">
        <f>VLOOKUP($B440,Pitchers!$A1:$S251,9,FALSE)</f>
        <v>13.666666666666666</v>
      </c>
      <c r="AI440" s="30">
        <f>VLOOKUP($B440,Pitchers!$A1:$S251,10,FALSE)</f>
        <v>24.933333333333334</v>
      </c>
      <c r="AJ440" s="30">
        <f>VLOOKUP($B440,Pitchers!$A1:$S251,11,FALSE)</f>
        <v>58.533333333333331</v>
      </c>
      <c r="AK440" s="30">
        <f>VLOOKUP($B440,Pitchers!$A1:$S251,12,FALSE)</f>
        <v>23.7</v>
      </c>
      <c r="AL440" s="30">
        <f>VLOOKUP($B440,Pitchers!$A1:$S251,13,FALSE)</f>
        <v>7</v>
      </c>
      <c r="AM440" s="30">
        <f>VLOOKUP($B440,Pitchers!$A1:$S251,14,FALSE)</f>
        <v>60.933333333333337</v>
      </c>
      <c r="AN440" s="30">
        <f>VLOOKUP($B440,Pitchers!$A1:$S251,15,FALSE)</f>
        <v>0.33333333333333331</v>
      </c>
      <c r="AO440" s="30">
        <f>VLOOKUP($B440,Pitchers!$A1:$S251,16,FALSE)</f>
        <v>3.3333333333333335</v>
      </c>
      <c r="AP440" s="30">
        <f>VLOOKUP($B440,Pitchers!$A1:$S251,17,FALSE)</f>
        <v>0</v>
      </c>
      <c r="AQ440" s="30">
        <f>VLOOKUP($B440,Pitchers!$A1:$S251,18,FALSE)</f>
        <v>12.5</v>
      </c>
      <c r="AR440" s="30">
        <f>VLOOKUP($B440,Pitchers!$A1:$S251,19,FALSE)</f>
        <v>3</v>
      </c>
    </row>
    <row r="441" spans="1:44" ht="18.600000000000001" customHeight="1">
      <c r="A441" s="24">
        <f ca="1">RANK(I441,I$2:I$651)</f>
        <v>351</v>
      </c>
      <c r="B441" s="25" t="s">
        <v>449</v>
      </c>
      <c r="C441" s="26" t="s">
        <v>219</v>
      </c>
      <c r="D441" s="26" t="s">
        <v>75</v>
      </c>
      <c r="E441" s="41" t="s">
        <v>34</v>
      </c>
      <c r="F441" s="42">
        <f ca="1">VLOOKUP(B441,RP!A1:I91,IF(Settings!$J$13="points",4,7),FALSE)</f>
        <v>32</v>
      </c>
      <c r="G441" s="29">
        <f>(AC441*Settings!$F$2)+(AF441*Settings!$F$5)+(AG441*Settings!$F$6)+(AH441*Settings!$F$7)+(AI441*Settings!$F$8)+(AJ441*Settings!$F$9)+(AK441*Settings!$F$10)+(AL441*Settings!$F$11)+(AM441*Settings!$F$12)+(AN441*Settings!$F$13)+(AO441*Settings!$F$14)+(AP441*Settings!$F$15)+(AQ441*Settings!$F$16)+(AR441*Settings!$F$17)</f>
        <v>217.56666666666663</v>
      </c>
      <c r="H441" s="30">
        <f>VLOOKUP(B441,'Standard Deviations'!$A1:$D651,4,FALSE)</f>
        <v>-0.32546517045831935</v>
      </c>
      <c r="I441" s="31">
        <f ca="1">IF(Settings!$J$16="no",VLOOKUP(B441,RP!A1:I91,IF(Settings!$J$13="points",6,9),FALSE),VLOOKUP(B441,'SP+RP'!$A1:$I251,IF(Settings!$J$13="points",6,9),FALSE))</f>
        <v>-1.8965340936292578</v>
      </c>
      <c r="J441" s="30"/>
      <c r="K441" s="30">
        <f ca="1">J441-A441</f>
        <v>-351</v>
      </c>
      <c r="L441" s="30"/>
      <c r="M441" s="30"/>
      <c r="N441" s="30"/>
      <c r="O441" s="30"/>
      <c r="P441" s="30"/>
      <c r="Q441" s="30"/>
      <c r="R441" s="32"/>
      <c r="S441" s="32"/>
      <c r="T441" s="30"/>
      <c r="U441" s="30"/>
      <c r="V441" s="30"/>
      <c r="W441" s="30"/>
      <c r="X441" s="30"/>
      <c r="Y441" s="32"/>
      <c r="Z441" s="32"/>
      <c r="AA441" s="30"/>
      <c r="AB441" s="30"/>
      <c r="AC441" s="30">
        <f>VLOOKUP($B441,Pitchers!$A1:$S251,4,FALSE)</f>
        <v>60.6</v>
      </c>
      <c r="AD441" s="32">
        <f>VLOOKUP($B441,Pitchers!$A1:$S251,5,FALSE)</f>
        <v>3.7376237623762374</v>
      </c>
      <c r="AE441" s="32">
        <f>VLOOKUP($B441,Pitchers!$A1:$S251,6,FALSE)</f>
        <v>1.2002200220022001</v>
      </c>
      <c r="AF441" s="30">
        <f>VLOOKUP($B441,Pitchers!$A1:$S251,7,FALSE)</f>
        <v>73.8</v>
      </c>
      <c r="AG441" s="30">
        <f>VLOOKUP($B441,Pitchers!$A1:$S251,8,FALSE)</f>
        <v>3.4666666666666668</v>
      </c>
      <c r="AH441" s="30">
        <f>VLOOKUP($B441,Pitchers!$A1:$S251,9,FALSE)</f>
        <v>13.666666666666666</v>
      </c>
      <c r="AI441" s="30">
        <f>VLOOKUP($B441,Pitchers!$A1:$S251,10,FALSE)</f>
        <v>25.166666666666668</v>
      </c>
      <c r="AJ441" s="30">
        <f>VLOOKUP($B441,Pitchers!$A1:$S251,11,FALSE)</f>
        <v>55.800000000000004</v>
      </c>
      <c r="AK441" s="30">
        <f>VLOOKUP($B441,Pitchers!$A1:$S251,12,FALSE)</f>
        <v>16.933333333333334</v>
      </c>
      <c r="AL441" s="30">
        <f>VLOOKUP($B441,Pitchers!$A1:$S251,13,FALSE)</f>
        <v>6</v>
      </c>
      <c r="AM441" s="30">
        <f>VLOOKUP($B441,Pitchers!$A1:$S251,14,FALSE)</f>
        <v>60.933333333333337</v>
      </c>
      <c r="AN441" s="30">
        <f>VLOOKUP($B441,Pitchers!$A1:$S251,15,FALSE)</f>
        <v>0</v>
      </c>
      <c r="AO441" s="30">
        <f>VLOOKUP($B441,Pitchers!$A1:$S251,16,FALSE)</f>
        <v>4.6333333333333337</v>
      </c>
      <c r="AP441" s="30">
        <f>VLOOKUP($B441,Pitchers!$A1:$S251,17,FALSE)</f>
        <v>0</v>
      </c>
      <c r="AQ441" s="30">
        <f>VLOOKUP($B441,Pitchers!$A1:$S251,18,FALSE)</f>
        <v>11</v>
      </c>
      <c r="AR441" s="30">
        <f>VLOOKUP($B441,Pitchers!$A1:$S251,19,FALSE)</f>
        <v>2</v>
      </c>
    </row>
    <row r="442" spans="1:44" ht="20.100000000000001" customHeight="1">
      <c r="A442" s="24">
        <f ca="1">RANK(I442,I$2:I$651)</f>
        <v>586</v>
      </c>
      <c r="B442" s="25" t="s">
        <v>682</v>
      </c>
      <c r="C442" s="26" t="s">
        <v>122</v>
      </c>
      <c r="D442" s="26" t="s">
        <v>75</v>
      </c>
      <c r="E442" s="35" t="s">
        <v>31</v>
      </c>
      <c r="F442" s="36">
        <f ca="1">VLOOKUP(B442,SP!A1:I161,IF(Settings!$J$13="points",4,7),FALSE)</f>
        <v>159</v>
      </c>
      <c r="G442" s="29">
        <f>(AC442*Settings!$F$2)+(AF442*Settings!$F$5)+(AG442*Settings!$F$6)+(AH442*Settings!$F$7)+(AI442*Settings!$F$8)+(AJ442*Settings!$F$9)+(AK442*Settings!$F$10)+(AL442*Settings!$F$11)+(AM442*Settings!$F$12)+(AN442*Settings!$F$13)+(AO442*Settings!$F$14)+(AP442*Settings!$F$15)+(AQ442*Settings!$F$16)+(AR442*Settings!$F$17)</f>
        <v>216.05399999999997</v>
      </c>
      <c r="H442" s="30">
        <f>VLOOKUP(B442,'Standard Deviations'!$A1:$D651,4,FALSE)</f>
        <v>-4.7475379987080952</v>
      </c>
      <c r="I442" s="31">
        <f ca="1">IF(Settings!$J$16="no",VLOOKUP(B442,SP!A1:I161,IF(Settings!$J$13="points",6,9),FALSE),VLOOKUP(B442,'SP+RP'!$A1:$I251,IF(Settings!$J$13="points",6,9),FALSE))</f>
        <v>-4.8835218294689406</v>
      </c>
      <c r="J442" s="30"/>
      <c r="K442" s="30">
        <f ca="1">J442-A442</f>
        <v>-586</v>
      </c>
      <c r="L442" s="30"/>
      <c r="M442" s="30"/>
      <c r="N442" s="30"/>
      <c r="O442" s="30"/>
      <c r="P442" s="30"/>
      <c r="Q442" s="30"/>
      <c r="R442" s="32"/>
      <c r="S442" s="32"/>
      <c r="T442" s="30"/>
      <c r="U442" s="30"/>
      <c r="V442" s="30"/>
      <c r="W442" s="30"/>
      <c r="X442" s="30"/>
      <c r="Y442" s="32"/>
      <c r="Z442" s="32"/>
      <c r="AA442" s="30"/>
      <c r="AB442" s="30"/>
      <c r="AC442" s="30">
        <f>VLOOKUP($B442,Pitchers!$A1:$S251,4,FALSE)</f>
        <v>134.16666666666666</v>
      </c>
      <c r="AD442" s="32">
        <f>VLOOKUP($B442,Pitchers!$A1:$S251,5,FALSE)</f>
        <v>4.6931478260869568</v>
      </c>
      <c r="AE442" s="32">
        <f>VLOOKUP($B442,Pitchers!$A1:$S251,6,FALSE)</f>
        <v>1.4159006211180125</v>
      </c>
      <c r="AF442" s="30">
        <f>VLOOKUP($B442,Pitchers!$A1:$S251,7,FALSE)</f>
        <v>103.83333333333333</v>
      </c>
      <c r="AG442" s="30">
        <f>VLOOKUP($B442,Pitchers!$A1:$S251,8,FALSE)</f>
        <v>6.0333333333333341</v>
      </c>
      <c r="AH442" s="30">
        <f>VLOOKUP($B442,Pitchers!$A1:$S251,9,FALSE)</f>
        <v>0</v>
      </c>
      <c r="AI442" s="30">
        <f>VLOOKUP($B442,Pitchers!$A1:$S251,10,FALSE)</f>
        <v>69.962666666666664</v>
      </c>
      <c r="AJ442" s="30">
        <f>VLOOKUP($B442,Pitchers!$A1:$S251,11,FALSE)</f>
        <v>137.26666666666668</v>
      </c>
      <c r="AK442" s="30">
        <f>VLOOKUP($B442,Pitchers!$A1:$S251,12,FALSE)</f>
        <v>52.699999999999996</v>
      </c>
      <c r="AL442" s="30">
        <f>VLOOKUP($B442,Pitchers!$A1:$S251,13,FALSE)</f>
        <v>18</v>
      </c>
      <c r="AM442" s="30">
        <f>VLOOKUP($B442,Pitchers!$A1:$S251,14,FALSE)</f>
        <v>26.5</v>
      </c>
      <c r="AN442" s="30">
        <f>VLOOKUP($B442,Pitchers!$A1:$S251,15,FALSE)</f>
        <v>26.5</v>
      </c>
      <c r="AO442" s="30">
        <f>VLOOKUP($B442,Pitchers!$A1:$S251,16,FALSE)</f>
        <v>8.3333333333333339</v>
      </c>
      <c r="AP442" s="30">
        <f>VLOOKUP($B442,Pitchers!$A1:$S251,17,FALSE)</f>
        <v>7</v>
      </c>
      <c r="AQ442" s="30">
        <f>VLOOKUP($B442,Pitchers!$A1:$S251,18,FALSE)</f>
        <v>0</v>
      </c>
      <c r="AR442" s="30">
        <f>VLOOKUP($B442,Pitchers!$A1:$S251,19,FALSE)</f>
        <v>0</v>
      </c>
    </row>
    <row r="443" spans="1:44" ht="18.600000000000001" customHeight="1">
      <c r="A443" s="24">
        <f ca="1">RANK(I443,I$2:I$651)</f>
        <v>501</v>
      </c>
      <c r="B443" s="25" t="s">
        <v>597</v>
      </c>
      <c r="C443" s="26" t="s">
        <v>160</v>
      </c>
      <c r="D443" s="26" t="s">
        <v>75</v>
      </c>
      <c r="E443" s="33" t="s">
        <v>15</v>
      </c>
      <c r="F443" s="34">
        <f ca="1">VLOOKUP(B443,'3B'!A1:I55,IF(Settings!$J$13="points",4,7),FALSE)</f>
        <v>38</v>
      </c>
      <c r="G443" s="29">
        <f>(M443*Settings!$B$2)+(N443*Settings!$B$3)+(O443*Settings!$B$4)+(P443*Settings!$B$5)+(Q443*Settings!$B$6)+(T443*Settings!$B$9)+(U443*Settings!$B$10)+(V443*Settings!$B$11)+(W443*Settings!$B$12)+(X443*Settings!$B$13)+(AA443*Settings!$B$16)</f>
        <v>215.85000000000031</v>
      </c>
      <c r="H443" s="30">
        <f>VLOOKUP(B443,'Standard Deviations'!$A1:$D651,4,FALSE)</f>
        <v>-2.8293128861182693</v>
      </c>
      <c r="I443" s="31">
        <f ca="1">IF(Settings!$J$15="no",VLOOKUP(B443,'3B'!A1:I55,IF(Settings!$J$13="points",6,9),FALSE),VLOOKUP(B443,'1B+3B'!$A1:$I104,IF(Settings!$J$13="points",6,9),FALSE))</f>
        <v>-3.5569925498920831</v>
      </c>
      <c r="J443" s="30"/>
      <c r="K443" s="30">
        <f ca="1">J443-A443</f>
        <v>-501</v>
      </c>
      <c r="L443" s="30"/>
      <c r="M443" s="30">
        <f>VLOOKUP($B443,Hitters!$A1:$R401,4,FALSE)</f>
        <v>285.66666666666703</v>
      </c>
      <c r="N443" s="30">
        <f>VLOOKUP($B443,Hitters!$A1:$R401,5,FALSE)</f>
        <v>39.566666666666698</v>
      </c>
      <c r="O443" s="30">
        <f>VLOOKUP($B443,Hitters!$A1:$R401,6,FALSE)</f>
        <v>16.6666666666667</v>
      </c>
      <c r="P443" s="30">
        <f>VLOOKUP($B443,Hitters!$A1:$R401,7,FALSE)</f>
        <v>41.6666666666667</v>
      </c>
      <c r="Q443" s="30">
        <f>VLOOKUP($B443,Hitters!$A1:$R401,8,FALSE)</f>
        <v>4.4000000000000004</v>
      </c>
      <c r="R443" s="32">
        <f>VLOOKUP($B443,Hitters!$A1:$R401,9,FALSE)</f>
        <v>0.21143523920653401</v>
      </c>
      <c r="S443" s="32">
        <f>VLOOKUP($B443,Hitters!$A1:$R401,10,FALSE)</f>
        <v>0.28418421245306302</v>
      </c>
      <c r="T443" s="30">
        <f>VLOOKUP($B443,Hitters!$A1:$R401,11,FALSE)</f>
        <v>60.4</v>
      </c>
      <c r="U443" s="30">
        <f>VLOOKUP($B443,Hitters!$A1:$R401,12,FALSE)</f>
        <v>12.966666666666701</v>
      </c>
      <c r="V443" s="30">
        <f>VLOOKUP($B443,Hitters!$A1:$R401,13,FALSE)</f>
        <v>6.6666666666666693E-2</v>
      </c>
      <c r="W443" s="30">
        <f>VLOOKUP($B443,Hitters!$A1:$R401,14,FALSE)</f>
        <v>30.1666666666667</v>
      </c>
      <c r="X443" s="30">
        <f>VLOOKUP($B443,Hitters!$A1:$R401,15,FALSE)</f>
        <v>115.1</v>
      </c>
      <c r="Y443" s="32">
        <f>VLOOKUP($B443,Hitters!$A1:$R401,16,FALSE)</f>
        <v>0.43232205367561299</v>
      </c>
      <c r="Z443" s="32">
        <f>VLOOKUP($B443,Hitters!$A1:$R401,17,FALSE)</f>
        <v>0.71650626612867596</v>
      </c>
      <c r="AA443" s="30">
        <f>VLOOKUP($B443,Hitters!$A1:$R401,18,FALSE)</f>
        <v>0</v>
      </c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</row>
    <row r="444" spans="1:44" ht="18.600000000000001" customHeight="1">
      <c r="A444" s="24">
        <f ca="1">RANK(I444,I$2:I$651)</f>
        <v>405</v>
      </c>
      <c r="B444" s="25" t="s">
        <v>502</v>
      </c>
      <c r="C444" s="26" t="s">
        <v>158</v>
      </c>
      <c r="D444" s="26" t="s">
        <v>70</v>
      </c>
      <c r="E444" s="27" t="s">
        <v>23</v>
      </c>
      <c r="F444" s="28">
        <f ca="1">VLOOKUP(B444,OF!A1:I139,IF(Settings!$J$13="points",4,7),FALSE)</f>
        <v>110</v>
      </c>
      <c r="G444" s="29">
        <f>(M444*Settings!$B$2)+(N444*Settings!$B$3)+(O444*Settings!$B$4)+(P444*Settings!$B$5)+(Q444*Settings!$B$6)+(T444*Settings!$B$9)+(U444*Settings!$B$10)+(V444*Settings!$B$11)+(W444*Settings!$B$12)+(X444*Settings!$B$13)+(AA444*Settings!$B$16)</f>
        <v>215.54999999999984</v>
      </c>
      <c r="H444" s="30">
        <f>VLOOKUP(B444,'Standard Deviations'!$A1:$D651,4,FALSE)</f>
        <v>-2.3750992940757576</v>
      </c>
      <c r="I444" s="31">
        <f ca="1">VLOOKUP(B444,OF!A1:I139,IF(Settings!$J$13="points",6,9),FALSE)</f>
        <v>-2.4938161900124176</v>
      </c>
      <c r="J444" s="30"/>
      <c r="K444" s="30">
        <f ca="1">J444-A444</f>
        <v>-405</v>
      </c>
      <c r="L444" s="30"/>
      <c r="M444" s="30">
        <f>VLOOKUP($B444,Hitters!$A1:$R401,4,FALSE)</f>
        <v>344</v>
      </c>
      <c r="N444" s="30">
        <f>VLOOKUP($B444,Hitters!$A1:$R401,5,FALSE)</f>
        <v>40.233333333333299</v>
      </c>
      <c r="O444" s="30">
        <f>VLOOKUP($B444,Hitters!$A1:$R401,6,FALSE)</f>
        <v>8.4666666666666703</v>
      </c>
      <c r="P444" s="30">
        <f>VLOOKUP($B444,Hitters!$A1:$R401,7,FALSE)</f>
        <v>37.3333333333333</v>
      </c>
      <c r="Q444" s="30">
        <f>VLOOKUP($B444,Hitters!$A1:$R401,8,FALSE)</f>
        <v>5.6</v>
      </c>
      <c r="R444" s="32">
        <f>VLOOKUP($B444,Hitters!$A1:$R401,9,FALSE)</f>
        <v>0.24156976744186001</v>
      </c>
      <c r="S444" s="32">
        <f>VLOOKUP($B444,Hitters!$A1:$R401,10,FALSE)</f>
        <v>0.29296909826857598</v>
      </c>
      <c r="T444" s="30">
        <f>VLOOKUP($B444,Hitters!$A1:$R401,11,FALSE)</f>
        <v>83.1</v>
      </c>
      <c r="U444" s="30">
        <f>VLOOKUP($B444,Hitters!$A1:$R401,12,FALSE)</f>
        <v>13.3333333333333</v>
      </c>
      <c r="V444" s="30">
        <f>VLOOKUP($B444,Hitters!$A1:$R401,13,FALSE)</f>
        <v>1.8</v>
      </c>
      <c r="W444" s="30">
        <f>VLOOKUP($B444,Hitters!$A1:$R401,14,FALSE)</f>
        <v>26.433333333333302</v>
      </c>
      <c r="X444" s="30">
        <f>VLOOKUP($B444,Hitters!$A1:$R401,15,FALSE)</f>
        <v>97.366666666666703</v>
      </c>
      <c r="Y444" s="32">
        <f>VLOOKUP($B444,Hitters!$A1:$R401,16,FALSE)</f>
        <v>0.364631782945737</v>
      </c>
      <c r="Z444" s="32">
        <f>VLOOKUP($B444,Hitters!$A1:$R401,17,FALSE)</f>
        <v>0.65760088121431204</v>
      </c>
      <c r="AA444" s="30">
        <f>VLOOKUP($B444,Hitters!$A1:$R401,18,FALSE)</f>
        <v>0</v>
      </c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</row>
    <row r="445" spans="1:44" ht="20.100000000000001" customHeight="1">
      <c r="A445" s="24">
        <f ca="1">RANK(I445,I$2:I$651)</f>
        <v>399</v>
      </c>
      <c r="B445" s="25" t="s">
        <v>496</v>
      </c>
      <c r="C445" s="26" t="s">
        <v>85</v>
      </c>
      <c r="D445" s="26" t="s">
        <v>70</v>
      </c>
      <c r="E445" s="45" t="s">
        <v>19</v>
      </c>
      <c r="F445" s="46">
        <f ca="1">VLOOKUP(B445,'C'!A1:I54,IF(Settings!$J$13="points",4,7),FALSE)</f>
        <v>22</v>
      </c>
      <c r="G445" s="29">
        <f>(M445*Settings!$B$2)+(N445*Settings!$B$3)+(O445*Settings!$B$4)+(P445*Settings!$B$5)+(Q445*Settings!$B$6)+(T445*Settings!$B$9)+(U445*Settings!$B$10)+(V445*Settings!$B$11)+(W445*Settings!$B$12)+(X445*Settings!$B$13)+(AA445*Settings!$B$16)</f>
        <v>215.26666666666682</v>
      </c>
      <c r="H445" s="30">
        <f>VLOOKUP(B445,'Standard Deviations'!$A1:$D651,4,FALSE)</f>
        <v>-2.7399234309523233</v>
      </c>
      <c r="I445" s="31">
        <f ca="1">VLOOKUP(B445,'C'!A1:I54,IF(Settings!$J$13="points",6,9),FALSE)</f>
        <v>-2.4228329678996436</v>
      </c>
      <c r="J445" s="30"/>
      <c r="K445" s="30">
        <f ca="1">J445-A445</f>
        <v>-399</v>
      </c>
      <c r="L445" s="30"/>
      <c r="M445" s="30">
        <f>VLOOKUP($B445,Hitters!$A1:$R401,4,FALSE)</f>
        <v>284</v>
      </c>
      <c r="N445" s="30">
        <f>VLOOKUP($B445,Hitters!$A1:$R401,5,FALSE)</f>
        <v>35.6666666666667</v>
      </c>
      <c r="O445" s="30">
        <f>VLOOKUP($B445,Hitters!$A1:$R401,6,FALSE)</f>
        <v>10.966666666666701</v>
      </c>
      <c r="P445" s="30">
        <f>VLOOKUP($B445,Hitters!$A1:$R401,7,FALSE)</f>
        <v>36.866666666666703</v>
      </c>
      <c r="Q445" s="30">
        <f>VLOOKUP($B445,Hitters!$A1:$R401,8,FALSE)</f>
        <v>2.1333333333333302</v>
      </c>
      <c r="R445" s="32">
        <f>VLOOKUP($B445,Hitters!$A1:$R401,9,FALSE)</f>
        <v>0.24307511737089199</v>
      </c>
      <c r="S445" s="32">
        <f>VLOOKUP($B445,Hitters!$A1:$R401,10,FALSE)</f>
        <v>0.31126148916434798</v>
      </c>
      <c r="T445" s="30">
        <f>VLOOKUP($B445,Hitters!$A1:$R401,11,FALSE)</f>
        <v>69.033333333333303</v>
      </c>
      <c r="U445" s="30">
        <f>VLOOKUP($B445,Hitters!$A1:$R401,12,FALSE)</f>
        <v>11.8</v>
      </c>
      <c r="V445" s="30">
        <f>VLOOKUP($B445,Hitters!$A1:$R401,13,FALSE)</f>
        <v>0.96666666666666701</v>
      </c>
      <c r="W445" s="30">
        <f>VLOOKUP($B445,Hitters!$A1:$R401,14,FALSE)</f>
        <v>29.4</v>
      </c>
      <c r="X445" s="30">
        <f>VLOOKUP($B445,Hitters!$A1:$R401,15,FALSE)</f>
        <v>60.6666666666667</v>
      </c>
      <c r="Y445" s="32">
        <f>VLOOKUP($B445,Hitters!$A1:$R401,16,FALSE)</f>
        <v>0.40727699530516398</v>
      </c>
      <c r="Z445" s="32">
        <f>VLOOKUP($B445,Hitters!$A1:$R401,17,FALSE)</f>
        <v>0.71853848446951196</v>
      </c>
      <c r="AA445" s="30">
        <f>VLOOKUP($B445,Hitters!$A1:$R401,18,FALSE)</f>
        <v>0</v>
      </c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</row>
    <row r="446" spans="1:44" ht="18.600000000000001" customHeight="1">
      <c r="A446" s="24">
        <f ca="1">RANK(I446,I$2:I$651)</f>
        <v>569</v>
      </c>
      <c r="B446" s="25" t="s">
        <v>666</v>
      </c>
      <c r="C446" s="26" t="s">
        <v>160</v>
      </c>
      <c r="D446" s="26" t="s">
        <v>75</v>
      </c>
      <c r="E446" s="43" t="s">
        <v>114</v>
      </c>
      <c r="F446" s="44">
        <f ca="1">VLOOKUP(B446,'1B'!A1:I63,IF(Settings!$J$13="points",4,7),FALSE)</f>
        <v>44</v>
      </c>
      <c r="G446" s="29">
        <f>(M446*Settings!$B$2)+(N446*Settings!$B$3)+(O446*Settings!$B$4)+(P446*Settings!$B$5)+(Q446*Settings!$B$6)+(T446*Settings!$B$9)+(U446*Settings!$B$10)+(V446*Settings!$B$11)+(W446*Settings!$B$12)+(X446*Settings!$B$13)+(AA446*Settings!$B$16)</f>
        <v>215.18333333333351</v>
      </c>
      <c r="H446" s="30">
        <f>VLOOKUP(B446,'Standard Deviations'!$A1:$D651,4,FALSE)</f>
        <v>-2.1241639171563298</v>
      </c>
      <c r="I446" s="31">
        <f ca="1">VLOOKUP(B446,'1B'!A1:I63,IF(Settings!$J$13="points",6,9),FALSE)</f>
        <v>-4.7036922363746108</v>
      </c>
      <c r="J446" s="30"/>
      <c r="K446" s="30">
        <f ca="1">J446-A446</f>
        <v>-569</v>
      </c>
      <c r="L446" s="30"/>
      <c r="M446" s="30">
        <f>VLOOKUP($B446,Hitters!$A1:$R401,4,FALSE)</f>
        <v>294.33333333333297</v>
      </c>
      <c r="N446" s="30">
        <f>VLOOKUP($B446,Hitters!$A1:$R401,5,FALSE)</f>
        <v>36.633333333333297</v>
      </c>
      <c r="O446" s="30">
        <f>VLOOKUP($B446,Hitters!$A1:$R401,6,FALSE)</f>
        <v>14.466666666666701</v>
      </c>
      <c r="P446" s="30">
        <f>VLOOKUP($B446,Hitters!$A1:$R401,7,FALSE)</f>
        <v>44.1</v>
      </c>
      <c r="Q446" s="30">
        <f>VLOOKUP($B446,Hitters!$A1:$R401,8,FALSE)</f>
        <v>1.43333333333333</v>
      </c>
      <c r="R446" s="32">
        <f>VLOOKUP($B446,Hitters!$A1:$R401,9,FALSE)</f>
        <v>0.24110985277463201</v>
      </c>
      <c r="S446" s="32">
        <f>VLOOKUP($B446,Hitters!$A1:$R401,10,FALSE)</f>
        <v>0.29966062531590698</v>
      </c>
      <c r="T446" s="30">
        <f>VLOOKUP($B446,Hitters!$A1:$R401,11,FALSE)</f>
        <v>70.966666666666697</v>
      </c>
      <c r="U446" s="30">
        <f>VLOOKUP($B446,Hitters!$A1:$R401,12,FALSE)</f>
        <v>11.966666666666701</v>
      </c>
      <c r="V446" s="30">
        <f>VLOOKUP($B446,Hitters!$A1:$R401,13,FALSE)</f>
        <v>1.2333333333333301</v>
      </c>
      <c r="W446" s="30">
        <f>VLOOKUP($B446,Hitters!$A1:$R401,14,FALSE)</f>
        <v>25.866666666666699</v>
      </c>
      <c r="X446" s="30">
        <f>VLOOKUP($B446,Hitters!$A1:$R401,15,FALSE)</f>
        <v>101.5</v>
      </c>
      <c r="Y446" s="32">
        <f>VLOOKUP($B446,Hitters!$A1:$R401,16,FALSE)</f>
        <v>0.437599093997735</v>
      </c>
      <c r="Z446" s="32">
        <f>VLOOKUP($B446,Hitters!$A1:$R401,17,FALSE)</f>
        <v>0.73725971931364198</v>
      </c>
      <c r="AA446" s="30">
        <f>VLOOKUP($B446,Hitters!$A1:$R401,18,FALSE)</f>
        <v>0</v>
      </c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</row>
    <row r="447" spans="1:44" ht="18.600000000000001" customHeight="1">
      <c r="A447" s="24">
        <f ca="1">RANK(I447,I$2:I$651)</f>
        <v>459</v>
      </c>
      <c r="B447" s="25" t="s">
        <v>557</v>
      </c>
      <c r="C447" s="26" t="s">
        <v>105</v>
      </c>
      <c r="D447" s="26" t="s">
        <v>70</v>
      </c>
      <c r="E447" s="35" t="s">
        <v>31</v>
      </c>
      <c r="F447" s="36">
        <f ca="1">VLOOKUP(B447,SP!A1:I161,IF(Settings!$J$13="points",4,7),FALSE)</f>
        <v>134</v>
      </c>
      <c r="G447" s="29">
        <f>(AC447*Settings!$F$2)+(AF447*Settings!$F$5)+(AG447*Settings!$F$6)+(AH447*Settings!$F$7)+(AI447*Settings!$F$8)+(AJ447*Settings!$F$9)+(AK447*Settings!$F$10)+(AL447*Settings!$F$11)+(AM447*Settings!$F$12)+(AN447*Settings!$F$13)+(AO447*Settings!$F$14)+(AP447*Settings!$F$15)+(AQ447*Settings!$F$16)+(AR447*Settings!$F$17)</f>
        <v>214.67499999999995</v>
      </c>
      <c r="H447" s="30">
        <f>VLOOKUP(B447,'Standard Deviations'!$A1:$D651,4,FALSE)</f>
        <v>-2.9147751451398389</v>
      </c>
      <c r="I447" s="31">
        <f ca="1">IF(Settings!$J$16="no",VLOOKUP(B447,SP!A1:I161,IF(Settings!$J$13="points",6,9),FALSE),VLOOKUP(B447,'SP+RP'!$A1:$I251,IF(Settings!$J$13="points",6,9),FALSE))</f>
        <v>-3.0507624386669381</v>
      </c>
      <c r="J447" s="30"/>
      <c r="K447" s="30">
        <f ca="1">J447-A447</f>
        <v>-459</v>
      </c>
      <c r="L447" s="30"/>
      <c r="M447" s="30"/>
      <c r="N447" s="30"/>
      <c r="O447" s="30"/>
      <c r="P447" s="30"/>
      <c r="Q447" s="30"/>
      <c r="R447" s="32"/>
      <c r="S447" s="32"/>
      <c r="T447" s="30"/>
      <c r="U447" s="30"/>
      <c r="V447" s="30"/>
      <c r="W447" s="30"/>
      <c r="X447" s="30"/>
      <c r="Y447" s="32"/>
      <c r="Z447" s="32"/>
      <c r="AA447" s="30"/>
      <c r="AB447" s="30"/>
      <c r="AC447" s="30">
        <f>VLOOKUP($B447,Pitchers!$A1:$S251,4,FALSE)</f>
        <v>101.35</v>
      </c>
      <c r="AD447" s="32">
        <f>VLOOKUP($B447,Pitchers!$A1:$S251,5,FALSE)</f>
        <v>4.3112974839664533</v>
      </c>
      <c r="AE447" s="32">
        <f>VLOOKUP($B447,Pitchers!$A1:$S251,6,FALSE)</f>
        <v>1.2900838677849038</v>
      </c>
      <c r="AF447" s="30">
        <f>VLOOKUP($B447,Pitchers!$A1:$S251,7,FALSE)</f>
        <v>99.85</v>
      </c>
      <c r="AG447" s="30">
        <f>VLOOKUP($B447,Pitchers!$A1:$S251,8,FALSE)</f>
        <v>5.75</v>
      </c>
      <c r="AH447" s="30">
        <f>VLOOKUP($B447,Pitchers!$A1:$S251,9,FALSE)</f>
        <v>0</v>
      </c>
      <c r="AI447" s="30">
        <f>VLOOKUP($B447,Pitchers!$A1:$S251,10,FALSE)</f>
        <v>48.55</v>
      </c>
      <c r="AJ447" s="30">
        <f>VLOOKUP($B447,Pitchers!$A1:$S251,11,FALSE)</f>
        <v>95.5</v>
      </c>
      <c r="AK447" s="30">
        <f>VLOOKUP($B447,Pitchers!$A1:$S251,12,FALSE)</f>
        <v>35.25</v>
      </c>
      <c r="AL447" s="30">
        <f>VLOOKUP($B447,Pitchers!$A1:$S251,13,FALSE)</f>
        <v>20</v>
      </c>
      <c r="AM447" s="30">
        <f>VLOOKUP($B447,Pitchers!$A1:$S251,14,FALSE)</f>
        <v>24.35</v>
      </c>
      <c r="AN447" s="30">
        <f>VLOOKUP($B447,Pitchers!$A1:$S251,15,FALSE)</f>
        <v>21.35</v>
      </c>
      <c r="AO447" s="30">
        <f>VLOOKUP($B447,Pitchers!$A1:$S251,16,FALSE)</f>
        <v>6.05</v>
      </c>
      <c r="AP447" s="30">
        <f>VLOOKUP($B447,Pitchers!$A1:$S251,17,FALSE)</f>
        <v>10</v>
      </c>
      <c r="AQ447" s="30">
        <f>VLOOKUP($B447,Pitchers!$A1:$S251,18,FALSE)</f>
        <v>0</v>
      </c>
      <c r="AR447" s="30">
        <f>VLOOKUP($B447,Pitchers!$A1:$S251,19,FALSE)</f>
        <v>0</v>
      </c>
    </row>
    <row r="448" spans="1:44" ht="20.100000000000001" customHeight="1">
      <c r="A448" s="24">
        <f ca="1">RANK(I448,I$2:I$651)</f>
        <v>233</v>
      </c>
      <c r="B448" s="25" t="s">
        <v>334</v>
      </c>
      <c r="C448" s="26" t="s">
        <v>125</v>
      </c>
      <c r="D448" s="26" t="s">
        <v>75</v>
      </c>
      <c r="E448" s="41" t="s">
        <v>34</v>
      </c>
      <c r="F448" s="42">
        <f ca="1">VLOOKUP(B448,RP!A1:I91,IF(Settings!$J$13="points",4,7),FALSE)</f>
        <v>20</v>
      </c>
      <c r="G448" s="29">
        <f>(AC448*Settings!$F$2)+(AF448*Settings!$F$5)+(AG448*Settings!$F$6)+(AH448*Settings!$F$7)+(AI448*Settings!$F$8)+(AJ448*Settings!$F$9)+(AK448*Settings!$F$10)+(AL448*Settings!$F$11)+(AM448*Settings!$F$12)+(AN448*Settings!$F$13)+(AO448*Settings!$F$14)+(AP448*Settings!$F$15)+(AQ448*Settings!$F$16)+(AR448*Settings!$F$17)</f>
        <v>213.94999999999996</v>
      </c>
      <c r="H448" s="30">
        <f>VLOOKUP(B448,'Standard Deviations'!$A1:$D651,4,FALSE)</f>
        <v>1.5710648638818441</v>
      </c>
      <c r="I448" s="31">
        <f ca="1">IF(Settings!$J$16="no",VLOOKUP(B448,RP!A1:I91,IF(Settings!$J$13="points",6,9),FALSE),VLOOKUP(B448,'SP+RP'!$A1:$I251,IF(Settings!$J$13="points",6,9),FALSE))</f>
        <v>0</v>
      </c>
      <c r="J448" s="30"/>
      <c r="K448" s="30">
        <f ca="1">J448-A448</f>
        <v>-233</v>
      </c>
      <c r="L448" s="30"/>
      <c r="M448" s="30"/>
      <c r="N448" s="30"/>
      <c r="O448" s="30"/>
      <c r="P448" s="30"/>
      <c r="Q448" s="30"/>
      <c r="R448" s="32"/>
      <c r="S448" s="32"/>
      <c r="T448" s="30"/>
      <c r="U448" s="30"/>
      <c r="V448" s="30"/>
      <c r="W448" s="30"/>
      <c r="X448" s="30"/>
      <c r="Y448" s="32"/>
      <c r="Z448" s="32"/>
      <c r="AA448" s="30"/>
      <c r="AB448" s="30"/>
      <c r="AC448" s="30">
        <f>VLOOKUP($B448,Pitchers!$A1:$S251,4,FALSE)</f>
        <v>64.466666666666654</v>
      </c>
      <c r="AD448" s="32">
        <f>VLOOKUP($B448,Pitchers!$A1:$S251,5,FALSE)</f>
        <v>3.3226473629782842</v>
      </c>
      <c r="AE448" s="32">
        <f>VLOOKUP($B448,Pitchers!$A1:$S251,6,FALSE)</f>
        <v>1.0517063081695968</v>
      </c>
      <c r="AF448" s="30">
        <f>VLOOKUP($B448,Pitchers!$A1:$S251,7,FALSE)</f>
        <v>75.433333333333337</v>
      </c>
      <c r="AG448" s="30">
        <f>VLOOKUP($B448,Pitchers!$A1:$S251,8,FALSE)</f>
        <v>3.8000000000000003</v>
      </c>
      <c r="AH448" s="30">
        <f>VLOOKUP($B448,Pitchers!$A1:$S251,9,FALSE)</f>
        <v>9.6666666666666661</v>
      </c>
      <c r="AI448" s="30">
        <f>VLOOKUP($B448,Pitchers!$A1:$S251,10,FALSE)</f>
        <v>23.8</v>
      </c>
      <c r="AJ448" s="30">
        <f>VLOOKUP($B448,Pitchers!$A1:$S251,11,FALSE)</f>
        <v>48.866666666666667</v>
      </c>
      <c r="AK448" s="30">
        <f>VLOOKUP($B448,Pitchers!$A1:$S251,12,FALSE)</f>
        <v>18.933333333333334</v>
      </c>
      <c r="AL448" s="30">
        <f>VLOOKUP($B448,Pitchers!$A1:$S251,13,FALSE)</f>
        <v>8</v>
      </c>
      <c r="AM448" s="30">
        <f>VLOOKUP($B448,Pitchers!$A1:$S251,14,FALSE)</f>
        <v>63.933333333333337</v>
      </c>
      <c r="AN448" s="30">
        <f>VLOOKUP($B448,Pitchers!$A1:$S251,15,FALSE)</f>
        <v>0</v>
      </c>
      <c r="AO448" s="30">
        <f>VLOOKUP($B448,Pitchers!$A1:$S251,16,FALSE)</f>
        <v>3.9666666666666668</v>
      </c>
      <c r="AP448" s="30">
        <f>VLOOKUP($B448,Pitchers!$A1:$S251,17,FALSE)</f>
        <v>0</v>
      </c>
      <c r="AQ448" s="30">
        <f>VLOOKUP($B448,Pitchers!$A1:$S251,18,FALSE)</f>
        <v>16.5</v>
      </c>
      <c r="AR448" s="30">
        <f>VLOOKUP($B448,Pitchers!$A1:$S251,19,FALSE)</f>
        <v>2</v>
      </c>
    </row>
    <row r="449" spans="1:44" ht="18.600000000000001" customHeight="1">
      <c r="A449" s="24">
        <f ca="1">RANK(I449,I$2:I$651)</f>
        <v>356</v>
      </c>
      <c r="B449" s="25" t="s">
        <v>454</v>
      </c>
      <c r="C449" s="26" t="s">
        <v>160</v>
      </c>
      <c r="D449" s="26" t="s">
        <v>75</v>
      </c>
      <c r="E449" s="41" t="s">
        <v>34</v>
      </c>
      <c r="F449" s="42">
        <f ca="1">VLOOKUP(B449,RP!A1:I91,IF(Settings!$J$13="points",4,7),FALSE)</f>
        <v>33</v>
      </c>
      <c r="G449" s="29">
        <f>(AC449*Settings!$F$2)+(AF449*Settings!$F$5)+(AG449*Settings!$F$6)+(AH449*Settings!$F$7)+(AI449*Settings!$F$8)+(AJ449*Settings!$F$9)+(AK449*Settings!$F$10)+(AL449*Settings!$F$11)+(AM449*Settings!$F$12)+(AN449*Settings!$F$13)+(AO449*Settings!$F$14)+(AP449*Settings!$F$15)+(AQ449*Settings!$F$16)+(AR449*Settings!$F$17)</f>
        <v>213.43333333333334</v>
      </c>
      <c r="H449" s="30">
        <f>VLOOKUP(B449,'Standard Deviations'!$A1:$D651,4,FALSE)</f>
        <v>-0.38316914083347053</v>
      </c>
      <c r="I449" s="31">
        <f ca="1">IF(Settings!$J$16="no",VLOOKUP(B449,RP!A1:I91,IF(Settings!$J$13="points",6,9),FALSE),VLOOKUP(B449,'SP+RP'!$A1:$I251,IF(Settings!$J$13="points",6,9),FALSE))</f>
        <v>-1.9542373079177198</v>
      </c>
      <c r="J449" s="30"/>
      <c r="K449" s="30">
        <f ca="1">J449-A449</f>
        <v>-356</v>
      </c>
      <c r="L449" s="30"/>
      <c r="M449" s="30"/>
      <c r="N449" s="30"/>
      <c r="O449" s="30"/>
      <c r="P449" s="30"/>
      <c r="Q449" s="30"/>
      <c r="R449" s="32"/>
      <c r="S449" s="32"/>
      <c r="T449" s="30"/>
      <c r="U449" s="30"/>
      <c r="V449" s="30"/>
      <c r="W449" s="30"/>
      <c r="X449" s="30"/>
      <c r="Y449" s="32"/>
      <c r="Z449" s="32"/>
      <c r="AA449" s="30"/>
      <c r="AB449" s="30"/>
      <c r="AC449" s="30">
        <f>VLOOKUP($B449,Pitchers!$A1:$S251,4,FALSE)</f>
        <v>66.266666666666666</v>
      </c>
      <c r="AD449" s="32">
        <f>VLOOKUP($B449,Pitchers!$A1:$S251,5,FALSE)</f>
        <v>3.5628772635814894</v>
      </c>
      <c r="AE449" s="32">
        <f>VLOOKUP($B449,Pitchers!$A1:$S251,6,FALSE)</f>
        <v>1.1916498993963782</v>
      </c>
      <c r="AF449" s="30">
        <f>VLOOKUP($B449,Pitchers!$A1:$S251,7,FALSE)</f>
        <v>76.399999999999991</v>
      </c>
      <c r="AG449" s="30">
        <f>VLOOKUP($B449,Pitchers!$A1:$S251,8,FALSE)</f>
        <v>2.7333333333333329</v>
      </c>
      <c r="AH449" s="30">
        <f>VLOOKUP($B449,Pitchers!$A1:$S251,9,FALSE)</f>
        <v>11.333333333333334</v>
      </c>
      <c r="AI449" s="30">
        <f>VLOOKUP($B449,Pitchers!$A1:$S251,10,FALSE)</f>
        <v>26.233333333333334</v>
      </c>
      <c r="AJ449" s="30">
        <f>VLOOKUP($B449,Pitchers!$A1:$S251,11,FALSE)</f>
        <v>53.566666666666663</v>
      </c>
      <c r="AK449" s="30">
        <f>VLOOKUP($B449,Pitchers!$A1:$S251,12,FALSE)</f>
        <v>25.400000000000002</v>
      </c>
      <c r="AL449" s="30">
        <f>VLOOKUP($B449,Pitchers!$A1:$S251,13,FALSE)</f>
        <v>8</v>
      </c>
      <c r="AM449" s="30">
        <f>VLOOKUP($B449,Pitchers!$A1:$S251,14,FALSE)</f>
        <v>67.266666666666666</v>
      </c>
      <c r="AN449" s="30">
        <f>VLOOKUP($B449,Pitchers!$A1:$S251,15,FALSE)</f>
        <v>0</v>
      </c>
      <c r="AO449" s="30">
        <f>VLOOKUP($B449,Pitchers!$A1:$S251,16,FALSE)</f>
        <v>3.3666666666666667</v>
      </c>
      <c r="AP449" s="30">
        <f>VLOOKUP($B449,Pitchers!$A1:$S251,17,FALSE)</f>
        <v>0</v>
      </c>
      <c r="AQ449" s="30">
        <f>VLOOKUP($B449,Pitchers!$A1:$S251,18,FALSE)</f>
        <v>13</v>
      </c>
      <c r="AR449" s="30">
        <f>VLOOKUP($B449,Pitchers!$A1:$S251,19,FALSE)</f>
        <v>9</v>
      </c>
    </row>
    <row r="450" spans="1:44" ht="18.600000000000001" customHeight="1">
      <c r="A450" s="24">
        <f ca="1">RANK(I450,I$2:I$651)</f>
        <v>431</v>
      </c>
      <c r="B450" s="25" t="s">
        <v>529</v>
      </c>
      <c r="C450" s="26" t="s">
        <v>160</v>
      </c>
      <c r="D450" s="26" t="s">
        <v>75</v>
      </c>
      <c r="E450" s="35" t="s">
        <v>31</v>
      </c>
      <c r="F450" s="36">
        <f ca="1">VLOOKUP(B450,SP!A1:I161,IF(Settings!$J$13="points",4,7),FALSE)</f>
        <v>125</v>
      </c>
      <c r="G450" s="29">
        <f>(AC450*Settings!$F$2)+(AF450*Settings!$F$5)+(AG450*Settings!$F$6)+(AH450*Settings!$F$7)+(AI450*Settings!$F$8)+(AJ450*Settings!$F$9)+(AK450*Settings!$F$10)+(AL450*Settings!$F$11)+(AM450*Settings!$F$12)+(AN450*Settings!$F$13)+(AO450*Settings!$F$14)+(AP450*Settings!$F$15)+(AQ450*Settings!$F$16)+(AR450*Settings!$F$17)</f>
        <v>213.286</v>
      </c>
      <c r="H450" s="30">
        <f>VLOOKUP(B450,'Standard Deviations'!$A1:$D651,4,FALSE)</f>
        <v>-2.6392573006559346</v>
      </c>
      <c r="I450" s="31">
        <f ca="1">IF(Settings!$J$16="no",VLOOKUP(B450,SP!A1:I161,IF(Settings!$J$13="points",6,9),FALSE),VLOOKUP(B450,'SP+RP'!$A1:$I251,IF(Settings!$J$13="points",6,9),FALSE))</f>
        <v>-2.7752356780840617</v>
      </c>
      <c r="J450" s="30"/>
      <c r="K450" s="30">
        <f ca="1">J450-A450</f>
        <v>-431</v>
      </c>
      <c r="L450" s="30"/>
      <c r="M450" s="30"/>
      <c r="N450" s="30"/>
      <c r="O450" s="30"/>
      <c r="P450" s="30"/>
      <c r="Q450" s="30"/>
      <c r="R450" s="32"/>
      <c r="S450" s="32"/>
      <c r="T450" s="30"/>
      <c r="U450" s="30"/>
      <c r="V450" s="30"/>
      <c r="W450" s="30"/>
      <c r="X450" s="30"/>
      <c r="Y450" s="32"/>
      <c r="Z450" s="32"/>
      <c r="AA450" s="30"/>
      <c r="AB450" s="30"/>
      <c r="AC450" s="30">
        <f>VLOOKUP($B450,Pitchers!$A1:$S251,4,FALSE)</f>
        <v>108.33333333333333</v>
      </c>
      <c r="AD450" s="32">
        <f>VLOOKUP($B450,Pitchers!$A1:$S251,5,FALSE)</f>
        <v>4.225624615384616</v>
      </c>
      <c r="AE450" s="32">
        <f>VLOOKUP($B450,Pitchers!$A1:$S251,6,FALSE)</f>
        <v>1.2846153846153845</v>
      </c>
      <c r="AF450" s="30">
        <f>VLOOKUP($B450,Pitchers!$A1:$S251,7,FALSE)</f>
        <v>98.966666666666654</v>
      </c>
      <c r="AG450" s="30">
        <f>VLOOKUP($B450,Pitchers!$A1:$S251,8,FALSE)</f>
        <v>6</v>
      </c>
      <c r="AH450" s="30">
        <f>VLOOKUP($B450,Pitchers!$A1:$S251,9,FALSE)</f>
        <v>0</v>
      </c>
      <c r="AI450" s="30">
        <f>VLOOKUP($B450,Pitchers!$A1:$S251,10,FALSE)</f>
        <v>50.864000000000004</v>
      </c>
      <c r="AJ450" s="30">
        <f>VLOOKUP($B450,Pitchers!$A1:$S251,11,FALSE)</f>
        <v>107</v>
      </c>
      <c r="AK450" s="30">
        <f>VLOOKUP($B450,Pitchers!$A1:$S251,12,FALSE)</f>
        <v>32.166666666666664</v>
      </c>
      <c r="AL450" s="30">
        <f>VLOOKUP($B450,Pitchers!$A1:$S251,13,FALSE)</f>
        <v>20</v>
      </c>
      <c r="AM450" s="30">
        <f>VLOOKUP($B450,Pitchers!$A1:$S251,14,FALSE)</f>
        <v>27.033333333333331</v>
      </c>
      <c r="AN450" s="30">
        <f>VLOOKUP($B450,Pitchers!$A1:$S251,15,FALSE)</f>
        <v>20.366666666666667</v>
      </c>
      <c r="AO450" s="30">
        <f>VLOOKUP($B450,Pitchers!$A1:$S251,16,FALSE)</f>
        <v>6.833333333333333</v>
      </c>
      <c r="AP450" s="30">
        <f>VLOOKUP($B450,Pitchers!$A1:$S251,17,FALSE)</f>
        <v>7</v>
      </c>
      <c r="AQ450" s="30">
        <f>VLOOKUP($B450,Pitchers!$A1:$S251,18,FALSE)</f>
        <v>0</v>
      </c>
      <c r="AR450" s="30">
        <f>VLOOKUP($B450,Pitchers!$A1:$S251,19,FALSE)</f>
        <v>0</v>
      </c>
    </row>
    <row r="451" spans="1:44" ht="18.600000000000001" customHeight="1">
      <c r="A451" s="24">
        <f ca="1">RANK(I451,I$2:I$651)</f>
        <v>390</v>
      </c>
      <c r="B451" s="25" t="s">
        <v>487</v>
      </c>
      <c r="C451" s="26" t="s">
        <v>64</v>
      </c>
      <c r="D451" s="26" t="s">
        <v>75</v>
      </c>
      <c r="E451" s="45" t="s">
        <v>19</v>
      </c>
      <c r="F451" s="46">
        <f ca="1">VLOOKUP(B451,'C'!A1:I54,IF(Settings!$J$13="points",4,7),FALSE)</f>
        <v>20</v>
      </c>
      <c r="G451" s="29">
        <f>(M451*Settings!$B$2)+(N451*Settings!$B$3)+(O451*Settings!$B$4)+(P451*Settings!$B$5)+(Q451*Settings!$B$6)+(T451*Settings!$B$9)+(U451*Settings!$B$10)+(V451*Settings!$B$11)+(W451*Settings!$B$12)+(X451*Settings!$B$13)+(AA451*Settings!$B$16)</f>
        <v>212.06666666666661</v>
      </c>
      <c r="H451" s="30">
        <f>VLOOKUP(B451,'Standard Deviations'!$A1:$D651,4,FALSE)</f>
        <v>-2.6415314353246577</v>
      </c>
      <c r="I451" s="31">
        <f ca="1">VLOOKUP(B451,'C'!A1:I54,IF(Settings!$J$13="points",6,9),FALSE)</f>
        <v>-2.3244323212774245</v>
      </c>
      <c r="J451" s="30"/>
      <c r="K451" s="30">
        <f ca="1">J451-A451</f>
        <v>-390</v>
      </c>
      <c r="L451" s="30"/>
      <c r="M451" s="30">
        <f>VLOOKUP($B451,Hitters!$A1:$R401,4,FALSE)</f>
        <v>296.33333333333297</v>
      </c>
      <c r="N451" s="30">
        <f>VLOOKUP($B451,Hitters!$A1:$R401,5,FALSE)</f>
        <v>36.5</v>
      </c>
      <c r="O451" s="30">
        <f>VLOOKUP($B451,Hitters!$A1:$R401,6,FALSE)</f>
        <v>5.9</v>
      </c>
      <c r="P451" s="30">
        <f>VLOOKUP($B451,Hitters!$A1:$R401,7,FALSE)</f>
        <v>36.533333333333303</v>
      </c>
      <c r="Q451" s="30">
        <f>VLOOKUP($B451,Hitters!$A1:$R401,8,FALSE)</f>
        <v>1.6</v>
      </c>
      <c r="R451" s="32">
        <f>VLOOKUP($B451,Hitters!$A1:$R401,9,FALSE)</f>
        <v>0.25928008998875102</v>
      </c>
      <c r="S451" s="32">
        <f>VLOOKUP($B451,Hitters!$A1:$R401,10,FALSE)</f>
        <v>0.32133741445408198</v>
      </c>
      <c r="T451" s="30">
        <f>VLOOKUP($B451,Hitters!$A1:$R401,11,FALSE)</f>
        <v>76.8333333333333</v>
      </c>
      <c r="U451" s="30">
        <f>VLOOKUP($B451,Hitters!$A1:$R401,12,FALSE)</f>
        <v>15.8</v>
      </c>
      <c r="V451" s="30">
        <f>VLOOKUP($B451,Hitters!$A1:$R401,13,FALSE)</f>
        <v>0.5</v>
      </c>
      <c r="W451" s="30">
        <f>VLOOKUP($B451,Hitters!$A1:$R401,14,FALSE)</f>
        <v>28.5</v>
      </c>
      <c r="X451" s="30">
        <f>VLOOKUP($B451,Hitters!$A1:$R401,15,FALSE)</f>
        <v>52.4</v>
      </c>
      <c r="Y451" s="32">
        <f>VLOOKUP($B451,Hitters!$A1:$R401,16,FALSE)</f>
        <v>0.37570303712036002</v>
      </c>
      <c r="Z451" s="32">
        <f>VLOOKUP($B451,Hitters!$A1:$R401,17,FALSE)</f>
        <v>0.69704045157444205</v>
      </c>
      <c r="AA451" s="30">
        <f>VLOOKUP($B451,Hitters!$A1:$R401,18,FALSE)</f>
        <v>0</v>
      </c>
      <c r="AB451" s="30"/>
      <c r="AC451" s="30"/>
      <c r="AD451" s="32"/>
      <c r="AE451" s="32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</row>
    <row r="452" spans="1:44" ht="18.600000000000001" customHeight="1">
      <c r="A452" s="24">
        <f ca="1">RANK(I452,I$2:I$651)</f>
        <v>464</v>
      </c>
      <c r="B452" s="25" t="s">
        <v>561</v>
      </c>
      <c r="C452" s="26" t="s">
        <v>309</v>
      </c>
      <c r="D452" s="26" t="s">
        <v>75</v>
      </c>
      <c r="E452" s="41" t="s">
        <v>34</v>
      </c>
      <c r="F452" s="42">
        <f ca="1">VLOOKUP(B452,RP!A1:I91,IF(Settings!$J$13="points",4,7),FALSE)</f>
        <v>62</v>
      </c>
      <c r="G452" s="29">
        <f>(AC452*Settings!$F$2)+(AF452*Settings!$F$5)+(AG452*Settings!$F$6)+(AH452*Settings!$F$7)+(AI452*Settings!$F$8)+(AJ452*Settings!$F$9)+(AK452*Settings!$F$10)+(AL452*Settings!$F$11)+(AM452*Settings!$F$12)+(AN452*Settings!$F$13)+(AO452*Settings!$F$14)+(AP452*Settings!$F$15)+(AQ452*Settings!$F$16)+(AR452*Settings!$F$17)</f>
        <v>211.03333333333336</v>
      </c>
      <c r="H452" s="30">
        <f>VLOOKUP(B452,'Standard Deviations'!$A1:$D651,4,FALSE)</f>
        <v>-1.5254700239012915</v>
      </c>
      <c r="I452" s="31">
        <f ca="1">IF(Settings!$J$16="no",VLOOKUP(B452,RP!A1:I91,IF(Settings!$J$13="points",6,9),FALSE),VLOOKUP(B452,'SP+RP'!$A1:$I251,IF(Settings!$J$13="points",6,9),FALSE))</f>
        <v>-3.0965392742045905</v>
      </c>
      <c r="J452" s="30"/>
      <c r="K452" s="30">
        <f ca="1">J452-A452</f>
        <v>-464</v>
      </c>
      <c r="L452" s="30"/>
      <c r="M452" s="30"/>
      <c r="N452" s="30"/>
      <c r="O452" s="30"/>
      <c r="P452" s="30"/>
      <c r="Q452" s="30"/>
      <c r="R452" s="32"/>
      <c r="S452" s="32"/>
      <c r="T452" s="30"/>
      <c r="U452" s="30"/>
      <c r="V452" s="30"/>
      <c r="W452" s="30"/>
      <c r="X452" s="30"/>
      <c r="Y452" s="32"/>
      <c r="Z452" s="32"/>
      <c r="AA452" s="30"/>
      <c r="AB452" s="30"/>
      <c r="AC452" s="30">
        <f>VLOOKUP($B452,Pitchers!$A1:$S251,4,FALSE)</f>
        <v>65.866666666666674</v>
      </c>
      <c r="AD452" s="32">
        <f>VLOOKUP($B452,Pitchers!$A1:$S251,5,FALSE)</f>
        <v>3.6938259109311735</v>
      </c>
      <c r="AE452" s="32">
        <f>VLOOKUP($B452,Pitchers!$A1:$S251,6,FALSE)</f>
        <v>1.3031376518218623</v>
      </c>
      <c r="AF452" s="30">
        <f>VLOOKUP($B452,Pitchers!$A1:$S251,7,FALSE)</f>
        <v>69.333333333333329</v>
      </c>
      <c r="AG452" s="30">
        <f>VLOOKUP($B452,Pitchers!$A1:$S251,8,FALSE)</f>
        <v>3.7333333333333329</v>
      </c>
      <c r="AH452" s="30">
        <f>VLOOKUP($B452,Pitchers!$A1:$S251,9,FALSE)</f>
        <v>12</v>
      </c>
      <c r="AI452" s="30">
        <f>VLOOKUP($B452,Pitchers!$A1:$S251,10,FALSE)</f>
        <v>27.033333333333331</v>
      </c>
      <c r="AJ452" s="30">
        <f>VLOOKUP($B452,Pitchers!$A1:$S251,11,FALSE)</f>
        <v>59.266666666666673</v>
      </c>
      <c r="AK452" s="30">
        <f>VLOOKUP($B452,Pitchers!$A1:$S251,12,FALSE)</f>
        <v>26.566666666666666</v>
      </c>
      <c r="AL452" s="30">
        <f>VLOOKUP($B452,Pitchers!$A1:$S251,13,FALSE)</f>
        <v>7</v>
      </c>
      <c r="AM452" s="30">
        <f>VLOOKUP($B452,Pitchers!$A1:$S251,14,FALSE)</f>
        <v>65.933333333333337</v>
      </c>
      <c r="AN452" s="30">
        <f>VLOOKUP($B452,Pitchers!$A1:$S251,15,FALSE)</f>
        <v>0</v>
      </c>
      <c r="AO452" s="30">
        <f>VLOOKUP($B452,Pitchers!$A1:$S251,16,FALSE)</f>
        <v>3.6999999999999997</v>
      </c>
      <c r="AP452" s="30">
        <f>VLOOKUP($B452,Pitchers!$A1:$S251,17,FALSE)</f>
        <v>0</v>
      </c>
      <c r="AQ452" s="30">
        <f>VLOOKUP($B452,Pitchers!$A1:$S251,18,FALSE)</f>
        <v>14.5</v>
      </c>
      <c r="AR452" s="30">
        <f>VLOOKUP($B452,Pitchers!$A1:$S251,19,FALSE)</f>
        <v>4</v>
      </c>
    </row>
    <row r="453" spans="1:44" ht="18.600000000000001" customHeight="1">
      <c r="A453" s="24">
        <f ca="1">RANK(I453,I$2:I$651)</f>
        <v>540</v>
      </c>
      <c r="B453" s="25" t="s">
        <v>638</v>
      </c>
      <c r="C453" s="26" t="s">
        <v>260</v>
      </c>
      <c r="D453" s="26" t="s">
        <v>70</v>
      </c>
      <c r="E453" s="35" t="s">
        <v>31</v>
      </c>
      <c r="F453" s="36">
        <f ca="1">VLOOKUP(B453,SP!A1:I161,IF(Settings!$J$13="points",4,7),FALSE)</f>
        <v>149</v>
      </c>
      <c r="G453" s="29">
        <f>(AC453*Settings!$F$2)+(AF453*Settings!$F$5)+(AG453*Settings!$F$6)+(AH453*Settings!$F$7)+(AI453*Settings!$F$8)+(AJ453*Settings!$F$9)+(AK453*Settings!$F$10)+(AL453*Settings!$F$11)+(AM453*Settings!$F$12)+(AN453*Settings!$F$13)+(AO453*Settings!$F$14)+(AP453*Settings!$F$15)+(AQ453*Settings!$F$16)+(AR453*Settings!$F$17)</f>
        <v>210.98866666666663</v>
      </c>
      <c r="H453" s="30">
        <f>VLOOKUP(B453,'Standard Deviations'!$A1:$D651,4,FALSE)</f>
        <v>-3.9901079930873293</v>
      </c>
      <c r="I453" s="31">
        <f ca="1">IF(Settings!$J$16="no",VLOOKUP(B453,SP!A1:I161,IF(Settings!$J$13="points",6,9),FALSE),VLOOKUP(B453,'SP+RP'!$A1:$I251,IF(Settings!$J$13="points",6,9),FALSE))</f>
        <v>-4.1260911728302023</v>
      </c>
      <c r="J453" s="30"/>
      <c r="K453" s="30">
        <f ca="1">J453-A453</f>
        <v>-540</v>
      </c>
      <c r="L453" s="30"/>
      <c r="M453" s="30"/>
      <c r="N453" s="30"/>
      <c r="O453" s="30"/>
      <c r="P453" s="30"/>
      <c r="Q453" s="30"/>
      <c r="R453" s="32"/>
      <c r="S453" s="32"/>
      <c r="T453" s="30"/>
      <c r="U453" s="30"/>
      <c r="V453" s="30"/>
      <c r="W453" s="30"/>
      <c r="X453" s="30"/>
      <c r="Y453" s="32"/>
      <c r="Z453" s="32"/>
      <c r="AA453" s="30"/>
      <c r="AB453" s="30"/>
      <c r="AC453" s="30">
        <f>VLOOKUP($B453,Pitchers!$A1:$S251,4,FALSE)</f>
        <v>109.43333333333332</v>
      </c>
      <c r="AD453" s="32">
        <f>VLOOKUP($B453,Pitchers!$A1:$S251,5,FALSE)</f>
        <v>4.4543283582089561</v>
      </c>
      <c r="AE453" s="32">
        <f>VLOOKUP($B453,Pitchers!$A1:$S251,6,FALSE)</f>
        <v>1.375875723423698</v>
      </c>
      <c r="AF453" s="30">
        <f>VLOOKUP($B453,Pitchers!$A1:$S251,7,FALSE)</f>
        <v>89.566666666666663</v>
      </c>
      <c r="AG453" s="30">
        <f>VLOOKUP($B453,Pitchers!$A1:$S251,8,FALSE)</f>
        <v>6.5666666666666664</v>
      </c>
      <c r="AH453" s="30">
        <f>VLOOKUP($B453,Pitchers!$A1:$S251,9,FALSE)</f>
        <v>0.33333333333333331</v>
      </c>
      <c r="AI453" s="30">
        <f>VLOOKUP($B453,Pitchers!$A1:$S251,10,FALSE)</f>
        <v>54.161333333333339</v>
      </c>
      <c r="AJ453" s="30">
        <f>VLOOKUP($B453,Pitchers!$A1:$S251,11,FALSE)</f>
        <v>104.39999999999999</v>
      </c>
      <c r="AK453" s="30">
        <f>VLOOKUP($B453,Pitchers!$A1:$S251,12,FALSE)</f>
        <v>46.166666666666664</v>
      </c>
      <c r="AL453" s="30">
        <f>VLOOKUP($B453,Pitchers!$A1:$S251,13,FALSE)</f>
        <v>17</v>
      </c>
      <c r="AM453" s="30">
        <f>VLOOKUP($B453,Pitchers!$A1:$S251,14,FALSE)</f>
        <v>28.099999999999998</v>
      </c>
      <c r="AN453" s="30">
        <f>VLOOKUP($B453,Pitchers!$A1:$S251,15,FALSE)</f>
        <v>18.766666666666666</v>
      </c>
      <c r="AO453" s="30">
        <f>VLOOKUP($B453,Pitchers!$A1:$S251,16,FALSE)</f>
        <v>7.1333333333333329</v>
      </c>
      <c r="AP453" s="30">
        <f>VLOOKUP($B453,Pitchers!$A1:$S251,17,FALSE)</f>
        <v>10</v>
      </c>
      <c r="AQ453" s="30">
        <f>VLOOKUP($B453,Pitchers!$A1:$S251,18,FALSE)</f>
        <v>2.5</v>
      </c>
      <c r="AR453" s="30">
        <f>VLOOKUP($B453,Pitchers!$A1:$S251,19,FALSE)</f>
        <v>0</v>
      </c>
    </row>
    <row r="454" spans="1:44" ht="18.600000000000001" customHeight="1">
      <c r="A454" s="24">
        <f ca="1">RANK(I454,I$2:I$651)</f>
        <v>613</v>
      </c>
      <c r="B454" s="25" t="s">
        <v>709</v>
      </c>
      <c r="C454" s="26" t="s">
        <v>87</v>
      </c>
      <c r="D454" s="26" t="s">
        <v>70</v>
      </c>
      <c r="E454" s="43" t="s">
        <v>114</v>
      </c>
      <c r="F454" s="44">
        <f ca="1">VLOOKUP(B454,'1B'!A1:I63,IF(Settings!$J$13="points",4,7),FALSE)</f>
        <v>50</v>
      </c>
      <c r="G454" s="29">
        <f>(M454*Settings!$B$2)+(N454*Settings!$B$3)+(O454*Settings!$B$4)+(P454*Settings!$B$5)+(Q454*Settings!$B$6)+(T454*Settings!$B$9)+(U454*Settings!$B$10)+(V454*Settings!$B$11)+(W454*Settings!$B$12)+(X454*Settings!$B$13)+(AA454*Settings!$B$16)</f>
        <v>209.50000000000026</v>
      </c>
      <c r="H454" s="30">
        <f>VLOOKUP(B454,'Standard Deviations'!$A1:$D651,4,FALSE)</f>
        <v>-3.3035002212859208</v>
      </c>
      <c r="I454" s="31">
        <f ca="1">VLOOKUP(B454,'1B'!A1:I63,IF(Settings!$J$13="points",6,9),FALSE)</f>
        <v>-5.8830335556399094</v>
      </c>
      <c r="J454" s="30"/>
      <c r="K454" s="30">
        <f ca="1">J454-A454</f>
        <v>-613</v>
      </c>
      <c r="L454" s="30"/>
      <c r="M454" s="30">
        <f>VLOOKUP($B454,Hitters!$A1:$R401,4,FALSE)</f>
        <v>278.33333333333297</v>
      </c>
      <c r="N454" s="30">
        <f>VLOOKUP($B454,Hitters!$A1:$R401,5,FALSE)</f>
        <v>36.366666666666703</v>
      </c>
      <c r="O454" s="30">
        <f>VLOOKUP($B454,Hitters!$A1:$R401,6,FALSE)</f>
        <v>13.266666666666699</v>
      </c>
      <c r="P454" s="30">
        <f>VLOOKUP($B454,Hitters!$A1:$R401,7,FALSE)</f>
        <v>38.633333333333297</v>
      </c>
      <c r="Q454" s="30">
        <f>VLOOKUP($B454,Hitters!$A1:$R401,8,FALSE)</f>
        <v>1.7666666666666699</v>
      </c>
      <c r="R454" s="32">
        <f>VLOOKUP($B454,Hitters!$A1:$R401,9,FALSE)</f>
        <v>0.22443113772455101</v>
      </c>
      <c r="S454" s="32">
        <f>VLOOKUP($B454,Hitters!$A1:$R401,10,FALSE)</f>
        <v>0.30429018401654601</v>
      </c>
      <c r="T454" s="30">
        <f>VLOOKUP($B454,Hitters!$A1:$R401,11,FALSE)</f>
        <v>62.466666666666697</v>
      </c>
      <c r="U454" s="30">
        <f>VLOOKUP($B454,Hitters!$A1:$R401,12,FALSE)</f>
        <v>12.266666666666699</v>
      </c>
      <c r="V454" s="30">
        <f>VLOOKUP($B454,Hitters!$A1:$R401,13,FALSE)</f>
        <v>0.53333333333333299</v>
      </c>
      <c r="W454" s="30">
        <f>VLOOKUP($B454,Hitters!$A1:$R401,14,FALSE)</f>
        <v>33.1666666666667</v>
      </c>
      <c r="X454" s="30">
        <f>VLOOKUP($B454,Hitters!$A1:$R401,15,FALSE)</f>
        <v>87.733333333333306</v>
      </c>
      <c r="Y454" s="32">
        <f>VLOOKUP($B454,Hitters!$A1:$R401,16,FALSE)</f>
        <v>0.41532934131736499</v>
      </c>
      <c r="Z454" s="32">
        <f>VLOOKUP($B454,Hitters!$A1:$R401,17,FALSE)</f>
        <v>0.71961952533391105</v>
      </c>
      <c r="AA454" s="30">
        <f>VLOOKUP($B454,Hitters!$A1:$R401,18,FALSE)</f>
        <v>0</v>
      </c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</row>
    <row r="455" spans="1:44" ht="18.600000000000001" customHeight="1">
      <c r="A455" s="24">
        <f ca="1">RANK(I455,I$2:I$651)</f>
        <v>387</v>
      </c>
      <c r="B455" s="25" t="s">
        <v>485</v>
      </c>
      <c r="C455" s="26" t="s">
        <v>101</v>
      </c>
      <c r="D455" s="26" t="s">
        <v>70</v>
      </c>
      <c r="E455" s="35" t="s">
        <v>31</v>
      </c>
      <c r="F455" s="36">
        <f ca="1">VLOOKUP(B455,SP!A1:I161,IF(Settings!$J$13="points",4,7),FALSE)</f>
        <v>115</v>
      </c>
      <c r="G455" s="29">
        <f>(AC455*Settings!$F$2)+(AF455*Settings!$F$5)+(AG455*Settings!$F$6)+(AH455*Settings!$F$7)+(AI455*Settings!$F$8)+(AJ455*Settings!$F$9)+(AK455*Settings!$F$10)+(AL455*Settings!$F$11)+(AM455*Settings!$F$12)+(AN455*Settings!$F$13)+(AO455*Settings!$F$14)+(AP455*Settings!$F$15)+(AQ455*Settings!$F$16)+(AR455*Settings!$F$17)</f>
        <v>207.39666666666665</v>
      </c>
      <c r="H455" s="30">
        <f>VLOOKUP(B455,'Standard Deviations'!$A1:$D651,4,FALSE)</f>
        <v>-2.1450686422385394</v>
      </c>
      <c r="I455" s="31">
        <f ca="1">IF(Settings!$J$16="no",VLOOKUP(B455,SP!A1:I161,IF(Settings!$J$13="points",6,9),FALSE),VLOOKUP(B455,'SP+RP'!$A1:$I251,IF(Settings!$J$13="points",6,9),FALSE))</f>
        <v>-2.2810491194194782</v>
      </c>
      <c r="J455" s="30"/>
      <c r="K455" s="30">
        <f ca="1">J455-A455</f>
        <v>-387</v>
      </c>
      <c r="L455" s="30"/>
      <c r="M455" s="30"/>
      <c r="N455" s="30"/>
      <c r="O455" s="30"/>
      <c r="P455" s="30"/>
      <c r="Q455" s="30"/>
      <c r="R455" s="32"/>
      <c r="S455" s="32"/>
      <c r="T455" s="30"/>
      <c r="U455" s="30"/>
      <c r="V455" s="30"/>
      <c r="W455" s="30"/>
      <c r="X455" s="30"/>
      <c r="Y455" s="32"/>
      <c r="Z455" s="32"/>
      <c r="AA455" s="30"/>
      <c r="AB455" s="30"/>
      <c r="AC455" s="30">
        <f>VLOOKUP($B455,Pitchers!$A1:$S251,4,FALSE)</f>
        <v>102.53333333333335</v>
      </c>
      <c r="AD455" s="32">
        <f>VLOOKUP($B455,Pitchers!$A1:$S251,5,FALSE)</f>
        <v>4.3876462938881664</v>
      </c>
      <c r="AE455" s="32">
        <f>VLOOKUP($B455,Pitchers!$A1:$S251,6,FALSE)</f>
        <v>1.1745773732119633</v>
      </c>
      <c r="AF455" s="30">
        <f>VLOOKUP($B455,Pitchers!$A1:$S251,7,FALSE)</f>
        <v>87.3</v>
      </c>
      <c r="AG455" s="30">
        <f>VLOOKUP($B455,Pitchers!$A1:$S251,8,FALSE)</f>
        <v>5.3666666666666671</v>
      </c>
      <c r="AH455" s="30">
        <f>VLOOKUP($B455,Pitchers!$A1:$S251,9,FALSE)</f>
        <v>1</v>
      </c>
      <c r="AI455" s="30">
        <f>VLOOKUP($B455,Pitchers!$A1:$S251,10,FALSE)</f>
        <v>49.986666666666672</v>
      </c>
      <c r="AJ455" s="30">
        <f>VLOOKUP($B455,Pitchers!$A1:$S251,11,FALSE)</f>
        <v>93.133333333333326</v>
      </c>
      <c r="AK455" s="30">
        <f>VLOOKUP($B455,Pitchers!$A1:$S251,12,FALSE)</f>
        <v>27.3</v>
      </c>
      <c r="AL455" s="30">
        <f>VLOOKUP($B455,Pitchers!$A1:$S251,13,FALSE)</f>
        <v>17</v>
      </c>
      <c r="AM455" s="30">
        <f>VLOOKUP($B455,Pitchers!$A1:$S251,14,FALSE)</f>
        <v>37.800000000000004</v>
      </c>
      <c r="AN455" s="30">
        <f>VLOOKUP($B455,Pitchers!$A1:$S251,15,FALSE)</f>
        <v>16.066666666666666</v>
      </c>
      <c r="AO455" s="30">
        <f>VLOOKUP($B455,Pitchers!$A1:$S251,16,FALSE)</f>
        <v>6.6000000000000005</v>
      </c>
      <c r="AP455" s="30">
        <f>VLOOKUP($B455,Pitchers!$A1:$S251,17,FALSE)</f>
        <v>5</v>
      </c>
      <c r="AQ455" s="30">
        <f>VLOOKUP($B455,Pitchers!$A1:$S251,18,FALSE)</f>
        <v>1.5</v>
      </c>
      <c r="AR455" s="30">
        <f>VLOOKUP($B455,Pitchers!$A1:$S251,19,FALSE)</f>
        <v>0</v>
      </c>
    </row>
    <row r="456" spans="1:44" ht="20.100000000000001" customHeight="1">
      <c r="A456" s="24">
        <f ca="1">RANK(I456,I$2:I$651)</f>
        <v>477</v>
      </c>
      <c r="B456" s="25" t="s">
        <v>574</v>
      </c>
      <c r="C456" s="26" t="s">
        <v>122</v>
      </c>
      <c r="D456" s="26" t="s">
        <v>75</v>
      </c>
      <c r="E456" s="45" t="s">
        <v>19</v>
      </c>
      <c r="F456" s="46">
        <f ca="1">VLOOKUP(B456,'C'!A1:I54,IF(Settings!$J$13="points",4,7),FALSE)</f>
        <v>29</v>
      </c>
      <c r="G456" s="29">
        <f>(M456*Settings!$B$2)+(N456*Settings!$B$3)+(O456*Settings!$B$4)+(P456*Settings!$B$5)+(Q456*Settings!$B$6)+(T456*Settings!$B$9)+(U456*Settings!$B$10)+(V456*Settings!$B$11)+(W456*Settings!$B$12)+(X456*Settings!$B$13)+(AA456*Settings!$B$16)</f>
        <v>205.91666666666674</v>
      </c>
      <c r="H456" s="30">
        <f>VLOOKUP(B456,'Standard Deviations'!$A1:$D651,4,FALSE)</f>
        <v>-3.6679973981134415</v>
      </c>
      <c r="I456" s="31">
        <f ca="1">VLOOKUP(B456,'C'!A1:I54,IF(Settings!$J$13="points",6,9),FALSE)</f>
        <v>-3.3509054970336489</v>
      </c>
      <c r="J456" s="30"/>
      <c r="K456" s="30">
        <f ca="1">J456-A456</f>
        <v>-477</v>
      </c>
      <c r="L456" s="30"/>
      <c r="M456" s="30">
        <f>VLOOKUP($B456,Hitters!$A1:$R401,4,FALSE)</f>
        <v>291</v>
      </c>
      <c r="N456" s="30">
        <f>VLOOKUP($B456,Hitters!$A1:$R401,5,FALSE)</f>
        <v>36.266666666666701</v>
      </c>
      <c r="O456" s="30">
        <f>VLOOKUP($B456,Hitters!$A1:$R401,6,FALSE)</f>
        <v>9.5333333333333297</v>
      </c>
      <c r="P456" s="30">
        <f>VLOOKUP($B456,Hitters!$A1:$R401,7,FALSE)</f>
        <v>36.4</v>
      </c>
      <c r="Q456" s="30">
        <f>VLOOKUP($B456,Hitters!$A1:$R401,8,FALSE)</f>
        <v>1.1000000000000001</v>
      </c>
      <c r="R456" s="32">
        <f>VLOOKUP($B456,Hitters!$A1:$R401,9,FALSE)</f>
        <v>0.23081328751431801</v>
      </c>
      <c r="S456" s="32">
        <f>VLOOKUP($B456,Hitters!$A1:$R401,10,FALSE)</f>
        <v>0.30005247831410797</v>
      </c>
      <c r="T456" s="30">
        <f>VLOOKUP($B456,Hitters!$A1:$R401,11,FALSE)</f>
        <v>67.1666666666667</v>
      </c>
      <c r="U456" s="30">
        <f>VLOOKUP($B456,Hitters!$A1:$R401,12,FALSE)</f>
        <v>13.766666666666699</v>
      </c>
      <c r="V456" s="30">
        <f>VLOOKUP($B456,Hitters!$A1:$R401,13,FALSE)</f>
        <v>0.5</v>
      </c>
      <c r="W456" s="30">
        <f>VLOOKUP($B456,Hitters!$A1:$R401,14,FALSE)</f>
        <v>30.033333333333299</v>
      </c>
      <c r="X456" s="30">
        <f>VLOOKUP($B456,Hitters!$A1:$R401,15,FALSE)</f>
        <v>66.633333333333297</v>
      </c>
      <c r="Y456" s="32">
        <f>VLOOKUP($B456,Hitters!$A1:$R401,16,FALSE)</f>
        <v>0.37983963344788102</v>
      </c>
      <c r="Z456" s="32">
        <f>VLOOKUP($B456,Hitters!$A1:$R401,17,FALSE)</f>
        <v>0.67989211176198905</v>
      </c>
      <c r="AA456" s="30">
        <f>VLOOKUP($B456,Hitters!$A1:$R401,18,FALSE)</f>
        <v>0</v>
      </c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</row>
    <row r="457" spans="1:44" ht="18.600000000000001" customHeight="1">
      <c r="A457" s="24">
        <f ca="1">RANK(I457,I$2:I$651)</f>
        <v>447</v>
      </c>
      <c r="B457" s="25" t="s">
        <v>543</v>
      </c>
      <c r="C457" s="26" t="s">
        <v>136</v>
      </c>
      <c r="D457" s="26" t="s">
        <v>75</v>
      </c>
      <c r="E457" s="41" t="s">
        <v>34</v>
      </c>
      <c r="F457" s="42">
        <f ca="1">VLOOKUP(B457,RP!A1:I91,IF(Settings!$J$13="points",4,7),FALSE)</f>
        <v>59</v>
      </c>
      <c r="G457" s="29">
        <f>(AC457*Settings!$F$2)+(AF457*Settings!$F$5)+(AG457*Settings!$F$6)+(AH457*Settings!$F$7)+(AI457*Settings!$F$8)+(AJ457*Settings!$F$9)+(AK457*Settings!$F$10)+(AL457*Settings!$F$11)+(AM457*Settings!$F$12)+(AN457*Settings!$F$13)+(AO457*Settings!$F$14)+(AP457*Settings!$F$15)+(AQ457*Settings!$F$16)+(AR457*Settings!$F$17)</f>
        <v>205.22533333333328</v>
      </c>
      <c r="H457" s="30">
        <f>VLOOKUP(B457,'Standard Deviations'!$A1:$D651,4,FALSE)</f>
        <v>-1.3761653642486085</v>
      </c>
      <c r="I457" s="31">
        <f ca="1">IF(Settings!$J$16="no",VLOOKUP(B457,RP!A1:I91,IF(Settings!$J$13="points",6,9),FALSE),VLOOKUP(B457,'SP+RP'!$A1:$I251,IF(Settings!$J$13="points",6,9),FALSE))</f>
        <v>-2.9472335275826018</v>
      </c>
      <c r="J457" s="30"/>
      <c r="K457" s="30">
        <f ca="1">J457-A457</f>
        <v>-447</v>
      </c>
      <c r="L457" s="30"/>
      <c r="M457" s="30"/>
      <c r="N457" s="30"/>
      <c r="O457" s="30"/>
      <c r="P457" s="30"/>
      <c r="Q457" s="30"/>
      <c r="R457" s="32"/>
      <c r="S457" s="32"/>
      <c r="T457" s="30"/>
      <c r="U457" s="30"/>
      <c r="V457" s="30"/>
      <c r="W457" s="30"/>
      <c r="X457" s="30"/>
      <c r="Y457" s="32"/>
      <c r="Z457" s="32"/>
      <c r="AA457" s="30"/>
      <c r="AB457" s="30"/>
      <c r="AC457" s="30">
        <f>VLOOKUP($B457,Pitchers!$A1:$S251,4,FALSE)</f>
        <v>61.066666666666663</v>
      </c>
      <c r="AD457" s="32">
        <f>VLOOKUP($B457,Pitchers!$A1:$S251,5,FALSE)</f>
        <v>3.5505786026200874</v>
      </c>
      <c r="AE457" s="32">
        <f>VLOOKUP($B457,Pitchers!$A1:$S251,6,FALSE)</f>
        <v>1.2783842794759825</v>
      </c>
      <c r="AF457" s="30">
        <f>VLOOKUP($B457,Pitchers!$A1:$S251,7,FALSE)</f>
        <v>53.566666666666663</v>
      </c>
      <c r="AG457" s="30">
        <f>VLOOKUP($B457,Pitchers!$A1:$S251,8,FALSE)</f>
        <v>3.0333333333333332</v>
      </c>
      <c r="AH457" s="30">
        <f>VLOOKUP($B457,Pitchers!$A1:$S251,9,FALSE)</f>
        <v>13.333333333333334</v>
      </c>
      <c r="AI457" s="30">
        <f>VLOOKUP($B457,Pitchers!$A1:$S251,10,FALSE)</f>
        <v>24.091333333333335</v>
      </c>
      <c r="AJ457" s="30">
        <f>VLOOKUP($B457,Pitchers!$A1:$S251,11,FALSE)</f>
        <v>58.9</v>
      </c>
      <c r="AK457" s="30">
        <f>VLOOKUP($B457,Pitchers!$A1:$S251,12,FALSE)</f>
        <v>19.166666666666668</v>
      </c>
      <c r="AL457" s="30">
        <f>VLOOKUP($B457,Pitchers!$A1:$S251,13,FALSE)</f>
        <v>7</v>
      </c>
      <c r="AM457" s="30">
        <f>VLOOKUP($B457,Pitchers!$A1:$S251,14,FALSE)</f>
        <v>63.6</v>
      </c>
      <c r="AN457" s="30">
        <f>VLOOKUP($B457,Pitchers!$A1:$S251,15,FALSE)</f>
        <v>0</v>
      </c>
      <c r="AO457" s="30">
        <f>VLOOKUP($B457,Pitchers!$A1:$S251,16,FALSE)</f>
        <v>3.4333333333333336</v>
      </c>
      <c r="AP457" s="30">
        <f>VLOOKUP($B457,Pitchers!$A1:$S251,17,FALSE)</f>
        <v>0</v>
      </c>
      <c r="AQ457" s="30">
        <f>VLOOKUP($B457,Pitchers!$A1:$S251,18,FALSE)</f>
        <v>10.5</v>
      </c>
      <c r="AR457" s="30">
        <f>VLOOKUP($B457,Pitchers!$A1:$S251,19,FALSE)</f>
        <v>8</v>
      </c>
    </row>
    <row r="458" spans="1:44" ht="18.600000000000001" customHeight="1">
      <c r="A458" s="24">
        <f ca="1">RANK(I458,I$2:I$651)</f>
        <v>561</v>
      </c>
      <c r="B458" s="25" t="s">
        <v>659</v>
      </c>
      <c r="C458" s="26" t="s">
        <v>309</v>
      </c>
      <c r="D458" s="26" t="s">
        <v>75</v>
      </c>
      <c r="E458" s="35" t="s">
        <v>31</v>
      </c>
      <c r="F458" s="36">
        <f ca="1">VLOOKUP(B458,SP!A1:I161,IF(Settings!$J$13="points",4,7),FALSE)</f>
        <v>155</v>
      </c>
      <c r="G458" s="29">
        <f>(AC458*Settings!$F$2)+(AF458*Settings!$F$5)+(AG458*Settings!$F$6)+(AH458*Settings!$F$7)+(AI458*Settings!$F$8)+(AJ458*Settings!$F$9)+(AK458*Settings!$F$10)+(AL458*Settings!$F$11)+(AM458*Settings!$F$12)+(AN458*Settings!$F$13)+(AO458*Settings!$F$14)+(AP458*Settings!$F$15)+(AQ458*Settings!$F$16)+(AR458*Settings!$F$17)</f>
        <v>204.69066666666663</v>
      </c>
      <c r="H458" s="30">
        <f>VLOOKUP(B458,'Standard Deviations'!$A1:$D651,4,FALSE)</f>
        <v>-4.4459615789785643</v>
      </c>
      <c r="I458" s="31">
        <f ca="1">IF(Settings!$J$16="no",VLOOKUP(B458,SP!A1:I161,IF(Settings!$J$13="points",6,9),FALSE),VLOOKUP(B458,'SP+RP'!$A1:$I251,IF(Settings!$J$13="points",6,9),FALSE))</f>
        <v>-4.5819465418557019</v>
      </c>
      <c r="J458" s="30"/>
      <c r="K458" s="30">
        <f ca="1">J458-A458</f>
        <v>-561</v>
      </c>
      <c r="L458" s="30"/>
      <c r="M458" s="30"/>
      <c r="N458" s="30"/>
      <c r="O458" s="30"/>
      <c r="P458" s="30"/>
      <c r="Q458" s="30"/>
      <c r="R458" s="32"/>
      <c r="S458" s="32"/>
      <c r="T458" s="30"/>
      <c r="U458" s="30"/>
      <c r="V458" s="30"/>
      <c r="W458" s="30"/>
      <c r="X458" s="30"/>
      <c r="Y458" s="32"/>
      <c r="Z458" s="32"/>
      <c r="AA458" s="30"/>
      <c r="AB458" s="30"/>
      <c r="AC458" s="30">
        <f>VLOOKUP($B458,Pitchers!$A1:$S251,4,FALSE)</f>
        <v>107.8</v>
      </c>
      <c r="AD458" s="32">
        <f>VLOOKUP($B458,Pitchers!$A1:$S251,5,FALSE)</f>
        <v>4.4548608534322822</v>
      </c>
      <c r="AE458" s="32">
        <f>VLOOKUP($B458,Pitchers!$A1:$S251,6,FALSE)</f>
        <v>1.4254792826221401</v>
      </c>
      <c r="AF458" s="30">
        <f>VLOOKUP($B458,Pitchers!$A1:$S251,7,FALSE)</f>
        <v>105.83333333333333</v>
      </c>
      <c r="AG458" s="30">
        <f>VLOOKUP($B458,Pitchers!$A1:$S251,8,FALSE)</f>
        <v>5.7</v>
      </c>
      <c r="AH458" s="30">
        <f>VLOOKUP($B458,Pitchers!$A1:$S251,9,FALSE)</f>
        <v>0</v>
      </c>
      <c r="AI458" s="30">
        <f>VLOOKUP($B458,Pitchers!$A1:$S251,10,FALSE)</f>
        <v>53.359333333333332</v>
      </c>
      <c r="AJ458" s="30">
        <f>VLOOKUP($B458,Pitchers!$A1:$S251,11,FALSE)</f>
        <v>102.16666666666667</v>
      </c>
      <c r="AK458" s="30">
        <f>VLOOKUP($B458,Pitchers!$A1:$S251,12,FALSE)</f>
        <v>51.5</v>
      </c>
      <c r="AL458" s="30">
        <f>VLOOKUP($B458,Pitchers!$A1:$S251,13,FALSE)</f>
        <v>17</v>
      </c>
      <c r="AM458" s="30">
        <f>VLOOKUP($B458,Pitchers!$A1:$S251,14,FALSE)</f>
        <v>22.866666666666664</v>
      </c>
      <c r="AN458" s="30">
        <f>VLOOKUP($B458,Pitchers!$A1:$S251,15,FALSE)</f>
        <v>21.533333333333331</v>
      </c>
      <c r="AO458" s="30">
        <f>VLOOKUP($B458,Pitchers!$A1:$S251,16,FALSE)</f>
        <v>6.8999999999999995</v>
      </c>
      <c r="AP458" s="30">
        <f>VLOOKUP($B458,Pitchers!$A1:$S251,17,FALSE)</f>
        <v>10</v>
      </c>
      <c r="AQ458" s="30">
        <f>VLOOKUP($B458,Pitchers!$A1:$S251,18,FALSE)</f>
        <v>0.5</v>
      </c>
      <c r="AR458" s="30">
        <f>VLOOKUP($B458,Pitchers!$A1:$S251,19,FALSE)</f>
        <v>0</v>
      </c>
    </row>
    <row r="459" spans="1:44" ht="18.600000000000001" customHeight="1">
      <c r="A459" s="24">
        <f ca="1">RANK(I459,I$2:I$651)</f>
        <v>604</v>
      </c>
      <c r="B459" s="25" t="s">
        <v>700</v>
      </c>
      <c r="C459" s="26" t="s">
        <v>69</v>
      </c>
      <c r="D459" s="26" t="s">
        <v>70</v>
      </c>
      <c r="E459" s="37" t="s">
        <v>27</v>
      </c>
      <c r="F459" s="38">
        <f ca="1">VLOOKUP(B459,SS!A1:I45,IF(Settings!$J$13="points",4,7),FALSE)</f>
        <v>36</v>
      </c>
      <c r="G459" s="29">
        <f>(M459*Settings!$B$2)+(N459*Settings!$B$3)+(O459*Settings!$B$4)+(P459*Settings!$B$5)+(Q459*Settings!$B$6)+(T459*Settings!$B$9)+(U459*Settings!$B$10)+(V459*Settings!$B$11)+(W459*Settings!$B$12)+(X459*Settings!$B$13)+(AA459*Settings!$B$16)</f>
        <v>202.45</v>
      </c>
      <c r="H459" s="30">
        <f>VLOOKUP(B459,'Standard Deviations'!$A1:$D651,4,FALSE)</f>
        <v>-2.5029512461894159</v>
      </c>
      <c r="I459" s="31">
        <f ca="1">IF(Settings!$J$16="no",VLOOKUP(B459,SS!A1:I45,IF(Settings!$J$13="points",6,9),FALSE),VLOOKUP(B459,'2B+SS'!$A1:$I94,IF(Settings!$J$13="points",6,9),FALSE))</f>
        <v>-5.5073758206513403</v>
      </c>
      <c r="J459" s="30"/>
      <c r="K459" s="30">
        <f ca="1">J459-A459</f>
        <v>-604</v>
      </c>
      <c r="L459" s="30"/>
      <c r="M459" s="30">
        <f>VLOOKUP($B459,Hitters!$A1:$R401,4,FALSE)</f>
        <v>243</v>
      </c>
      <c r="N459" s="30">
        <f>VLOOKUP($B459,Hitters!$A1:$R401,5,FALSE)</f>
        <v>32.950000000000003</v>
      </c>
      <c r="O459" s="30">
        <f>VLOOKUP($B459,Hitters!$A1:$R401,6,FALSE)</f>
        <v>8.5</v>
      </c>
      <c r="P459" s="30">
        <f>VLOOKUP($B459,Hitters!$A1:$R401,7,FALSE)</f>
        <v>30.75</v>
      </c>
      <c r="Q459" s="30">
        <f>VLOOKUP($B459,Hitters!$A1:$R401,8,FALSE)</f>
        <v>10.55</v>
      </c>
      <c r="R459" s="32">
        <f>VLOOKUP($B459,Hitters!$A1:$R401,9,FALSE)</f>
        <v>0.23662551440329199</v>
      </c>
      <c r="S459" s="32">
        <f>VLOOKUP($B459,Hitters!$A1:$R401,10,FALSE)</f>
        <v>0.30171292683833101</v>
      </c>
      <c r="T459" s="30">
        <f>VLOOKUP($B459,Hitters!$A1:$R401,11,FALSE)</f>
        <v>57.5</v>
      </c>
      <c r="U459" s="30">
        <f>VLOOKUP($B459,Hitters!$A1:$R401,12,FALSE)</f>
        <v>13</v>
      </c>
      <c r="V459" s="30">
        <f>VLOOKUP($B459,Hitters!$A1:$R401,13,FALSE)</f>
        <v>1.75</v>
      </c>
      <c r="W459" s="30">
        <f>VLOOKUP($B459,Hitters!$A1:$R401,14,FALSE)</f>
        <v>23.7</v>
      </c>
      <c r="X459" s="30">
        <f>VLOOKUP($B459,Hitters!$A1:$R401,15,FALSE)</f>
        <v>57.6</v>
      </c>
      <c r="Y459" s="32">
        <f>VLOOKUP($B459,Hitters!$A1:$R401,16,FALSE)</f>
        <v>0.40946502057613199</v>
      </c>
      <c r="Z459" s="32">
        <f>VLOOKUP($B459,Hitters!$A1:$R401,17,FALSE)</f>
        <v>0.71117794741446305</v>
      </c>
      <c r="AA459" s="30">
        <f>VLOOKUP($B459,Hitters!$A1:$R401,18,FALSE)</f>
        <v>0</v>
      </c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</row>
    <row r="460" spans="1:44" ht="20.100000000000001" customHeight="1">
      <c r="A460" s="24">
        <f ca="1">RANK(I460,I$2:I$651)</f>
        <v>578</v>
      </c>
      <c r="B460" s="25" t="s">
        <v>674</v>
      </c>
      <c r="C460" s="26" t="s">
        <v>85</v>
      </c>
      <c r="D460" s="26" t="s">
        <v>70</v>
      </c>
      <c r="E460" s="47" t="s">
        <v>11</v>
      </c>
      <c r="F460" s="48">
        <f ca="1">VLOOKUP(B460,'2B'!A1:I50,IF(Settings!$J$13="points",4,7),FALSE)</f>
        <v>41</v>
      </c>
      <c r="G460" s="29">
        <f>(M460*Settings!$B$2)+(N460*Settings!$B$3)+(O460*Settings!$B$4)+(P460*Settings!$B$5)+(Q460*Settings!$B$6)+(T460*Settings!$B$9)+(U460*Settings!$B$10)+(V460*Settings!$B$11)+(W460*Settings!$B$12)+(X460*Settings!$B$13)+(AA460*Settings!$B$16)</f>
        <v>202.3666666666667</v>
      </c>
      <c r="H460" s="30">
        <f>VLOOKUP(B460,'Standard Deviations'!$A1:$D651,4,FALSE)</f>
        <v>-2.5290537046449195</v>
      </c>
      <c r="I460" s="31">
        <f ca="1">IF(Settings!$J$16="no",VLOOKUP(B460,'2B'!A1:I50,IF(Settings!$J$13="points",6,9),FALSE),VLOOKUP(B460,'2B+SS'!$A1:$I94,IF(Settings!$J$13="points",6,9),FALSE))</f>
        <v>-4.8367848024813753</v>
      </c>
      <c r="J460" s="30"/>
      <c r="K460" s="30">
        <f ca="1">J460-A460</f>
        <v>-578</v>
      </c>
      <c r="L460" s="30"/>
      <c r="M460" s="30">
        <f>VLOOKUP($B460,Hitters!$A1:$R401,4,FALSE)</f>
        <v>311.66666666666703</v>
      </c>
      <c r="N460" s="30">
        <f>VLOOKUP($B460,Hitters!$A1:$R401,5,FALSE)</f>
        <v>37.066666666666698</v>
      </c>
      <c r="O460" s="30">
        <f>VLOOKUP($B460,Hitters!$A1:$R401,6,FALSE)</f>
        <v>2.2000000000000002</v>
      </c>
      <c r="P460" s="30">
        <f>VLOOKUP($B460,Hitters!$A1:$R401,7,FALSE)</f>
        <v>26.566666666666698</v>
      </c>
      <c r="Q460" s="30">
        <f>VLOOKUP($B460,Hitters!$A1:$R401,8,FALSE)</f>
        <v>5.0999999999999996</v>
      </c>
      <c r="R460" s="32">
        <f>VLOOKUP($B460,Hitters!$A1:$R401,9,FALSE)</f>
        <v>0.26919786096256698</v>
      </c>
      <c r="S460" s="32">
        <f>VLOOKUP($B460,Hitters!$A1:$R401,10,FALSE)</f>
        <v>0.30495208469218799</v>
      </c>
      <c r="T460" s="30">
        <f>VLOOKUP($B460,Hitters!$A1:$R401,11,FALSE)</f>
        <v>83.9</v>
      </c>
      <c r="U460" s="30">
        <f>VLOOKUP($B460,Hitters!$A1:$R401,12,FALSE)</f>
        <v>15.533333333333299</v>
      </c>
      <c r="V460" s="30">
        <f>VLOOKUP($B460,Hitters!$A1:$R401,13,FALSE)</f>
        <v>1.06666666666667</v>
      </c>
      <c r="W460" s="30">
        <f>VLOOKUP($B460,Hitters!$A1:$R401,14,FALSE)</f>
        <v>17.399999999999999</v>
      </c>
      <c r="X460" s="30">
        <f>VLOOKUP($B460,Hitters!$A1:$R401,15,FALSE)</f>
        <v>31.6666666666667</v>
      </c>
      <c r="Y460" s="32">
        <f>VLOOKUP($B460,Hitters!$A1:$R401,16,FALSE)</f>
        <v>0.34705882352941197</v>
      </c>
      <c r="Z460" s="32">
        <f>VLOOKUP($B460,Hitters!$A1:$R401,17,FALSE)</f>
        <v>0.65201090822160002</v>
      </c>
      <c r="AA460" s="30">
        <f>VLOOKUP($B460,Hitters!$A1:$R401,18,FALSE)</f>
        <v>0</v>
      </c>
      <c r="AB460" s="30"/>
      <c r="AC460" s="30"/>
      <c r="AD460" s="32"/>
      <c r="AE460" s="32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</row>
    <row r="461" spans="1:44" ht="18.600000000000001" customHeight="1">
      <c r="A461" s="24">
        <f ca="1">RANK(I461,I$2:I$651)</f>
        <v>565</v>
      </c>
      <c r="B461" s="25" t="s">
        <v>661</v>
      </c>
      <c r="C461" s="26" t="s">
        <v>69</v>
      </c>
      <c r="D461" s="26" t="s">
        <v>70</v>
      </c>
      <c r="E461" s="37" t="s">
        <v>27</v>
      </c>
      <c r="F461" s="38">
        <f ca="1">VLOOKUP(B461,SS!A1:I45,IF(Settings!$J$13="points",4,7),FALSE)</f>
        <v>30</v>
      </c>
      <c r="G461" s="29">
        <f>(M461*Settings!$B$2)+(N461*Settings!$B$3)+(O461*Settings!$B$4)+(P461*Settings!$B$5)+(Q461*Settings!$B$6)+(T461*Settings!$B$9)+(U461*Settings!$B$10)+(V461*Settings!$B$11)+(W461*Settings!$B$12)+(X461*Settings!$B$13)+(AA461*Settings!$B$16)</f>
        <v>202.22500000000002</v>
      </c>
      <c r="H461" s="30">
        <f>VLOOKUP(B461,'Standard Deviations'!$A1:$D651,4,FALSE)</f>
        <v>-1.6125003454296003</v>
      </c>
      <c r="I461" s="31">
        <f ca="1">IF(Settings!$J$16="no",VLOOKUP(B461,SS!A1:I45,IF(Settings!$J$13="points",6,9),FALSE),VLOOKUP(B461,'2B+SS'!$A1:$I94,IF(Settings!$J$13="points",6,9),FALSE))</f>
        <v>-4.6169215066049487</v>
      </c>
      <c r="J461" s="30"/>
      <c r="K461" s="30">
        <f ca="1">J461-A461</f>
        <v>-565</v>
      </c>
      <c r="L461" s="30"/>
      <c r="M461" s="30">
        <f>VLOOKUP($B461,Hitters!$A1:$R401,4,FALSE)</f>
        <v>260.5</v>
      </c>
      <c r="N461" s="30">
        <f>VLOOKUP($B461,Hitters!$A1:$R401,5,FALSE)</f>
        <v>34.35</v>
      </c>
      <c r="O461" s="30">
        <f>VLOOKUP($B461,Hitters!$A1:$R401,6,FALSE)</f>
        <v>8.9499999999999993</v>
      </c>
      <c r="P461" s="30">
        <f>VLOOKUP($B461,Hitters!$A1:$R401,7,FALSE)</f>
        <v>32.5</v>
      </c>
      <c r="Q461" s="30">
        <f>VLOOKUP($B461,Hitters!$A1:$R401,8,FALSE)</f>
        <v>10.45</v>
      </c>
      <c r="R461" s="32">
        <f>VLOOKUP($B461,Hitters!$A1:$R401,9,FALSE)</f>
        <v>0.25105566218809999</v>
      </c>
      <c r="S461" s="32">
        <f>VLOOKUP($B461,Hitters!$A1:$R401,10,FALSE)</f>
        <v>0.30004779522401798</v>
      </c>
      <c r="T461" s="30">
        <f>VLOOKUP($B461,Hitters!$A1:$R401,11,FALSE)</f>
        <v>65.400000000000006</v>
      </c>
      <c r="U461" s="30">
        <f>VLOOKUP($B461,Hitters!$A1:$R401,12,FALSE)</f>
        <v>11.55</v>
      </c>
      <c r="V461" s="30">
        <f>VLOOKUP($B461,Hitters!$A1:$R401,13,FALSE)</f>
        <v>0.8</v>
      </c>
      <c r="W461" s="30">
        <f>VLOOKUP($B461,Hitters!$A1:$R401,14,FALSE)</f>
        <v>19.350000000000001</v>
      </c>
      <c r="X461" s="30">
        <f>VLOOKUP($B461,Hitters!$A1:$R401,15,FALSE)</f>
        <v>63.15</v>
      </c>
      <c r="Y461" s="32">
        <f>VLOOKUP($B461,Hitters!$A1:$R401,16,FALSE)</f>
        <v>0.40460652591170798</v>
      </c>
      <c r="Z461" s="32">
        <f>VLOOKUP($B461,Hitters!$A1:$R401,17,FALSE)</f>
        <v>0.70465432113572601</v>
      </c>
      <c r="AA461" s="30">
        <f>VLOOKUP($B461,Hitters!$A1:$R401,18,FALSE)</f>
        <v>0</v>
      </c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</row>
    <row r="462" spans="1:44" ht="18.600000000000001" customHeight="1">
      <c r="A462" s="24">
        <f ca="1">RANK(I462,I$2:I$651)</f>
        <v>418</v>
      </c>
      <c r="B462" s="25" t="s">
        <v>514</v>
      </c>
      <c r="C462" s="26" t="s">
        <v>69</v>
      </c>
      <c r="D462" s="26" t="s">
        <v>70</v>
      </c>
      <c r="E462" s="45" t="s">
        <v>19</v>
      </c>
      <c r="F462" s="46">
        <f ca="1">VLOOKUP(B462,'C'!A1:I54,IF(Settings!$J$13="points",4,7),FALSE)</f>
        <v>24</v>
      </c>
      <c r="G462" s="29">
        <f>(M462*Settings!$B$2)+(N462*Settings!$B$3)+(O462*Settings!$B$4)+(P462*Settings!$B$5)+(Q462*Settings!$B$6)+(T462*Settings!$B$9)+(U462*Settings!$B$10)+(V462*Settings!$B$11)+(W462*Settings!$B$12)+(X462*Settings!$B$13)+(AA462*Settings!$B$16)</f>
        <v>202.18333333333328</v>
      </c>
      <c r="H462" s="30">
        <f>VLOOKUP(B462,'Standard Deviations'!$A1:$D651,4,FALSE)</f>
        <v>-2.9926837328927314</v>
      </c>
      <c r="I462" s="31">
        <f ca="1">VLOOKUP(B462,'C'!A1:I54,IF(Settings!$J$13="points",6,9),FALSE)</f>
        <v>-2.6755904096311456</v>
      </c>
      <c r="J462" s="30"/>
      <c r="K462" s="30">
        <f ca="1">J462-A462</f>
        <v>-418</v>
      </c>
      <c r="L462" s="30"/>
      <c r="M462" s="30">
        <f>VLOOKUP($B462,Hitters!$A1:$R401,4,FALSE)</f>
        <v>310</v>
      </c>
      <c r="N462" s="30">
        <f>VLOOKUP($B462,Hitters!$A1:$R401,5,FALSE)</f>
        <v>34.566666666666698</v>
      </c>
      <c r="O462" s="30">
        <f>VLOOKUP($B462,Hitters!$A1:$R401,6,FALSE)</f>
        <v>8.7666666666666693</v>
      </c>
      <c r="P462" s="30">
        <f>VLOOKUP($B462,Hitters!$A1:$R401,7,FALSE)</f>
        <v>36.1</v>
      </c>
      <c r="Q462" s="30">
        <f>VLOOKUP($B462,Hitters!$A1:$R401,8,FALSE)</f>
        <v>1.93333333333333</v>
      </c>
      <c r="R462" s="32">
        <f>VLOOKUP($B462,Hitters!$A1:$R401,9,FALSE)</f>
        <v>0.24591397849462401</v>
      </c>
      <c r="S462" s="32">
        <f>VLOOKUP($B462,Hitters!$A1:$R401,10,FALSE)</f>
        <v>0.27740492170022402</v>
      </c>
      <c r="T462" s="30">
        <f>VLOOKUP($B462,Hitters!$A1:$R401,11,FALSE)</f>
        <v>76.233333333333306</v>
      </c>
      <c r="U462" s="30">
        <f>VLOOKUP($B462,Hitters!$A1:$R401,12,FALSE)</f>
        <v>14.133333333333301</v>
      </c>
      <c r="V462" s="30">
        <f>VLOOKUP($B462,Hitters!$A1:$R401,13,FALSE)</f>
        <v>1.3333333333333299</v>
      </c>
      <c r="W462" s="30">
        <f>VLOOKUP($B462,Hitters!$A1:$R401,14,FALSE)</f>
        <v>14.7</v>
      </c>
      <c r="X462" s="30">
        <f>VLOOKUP($B462,Hitters!$A1:$R401,15,FALSE)</f>
        <v>61.233333333333299</v>
      </c>
      <c r="Y462" s="32">
        <f>VLOOKUP($B462,Hitters!$A1:$R401,16,FALSE)</f>
        <v>0.38494623655914001</v>
      </c>
      <c r="Z462" s="32">
        <f>VLOOKUP($B462,Hitters!$A1:$R401,17,FALSE)</f>
        <v>0.66235115825936397</v>
      </c>
      <c r="AA462" s="30">
        <f>VLOOKUP($B462,Hitters!$A1:$R401,18,FALSE)</f>
        <v>0</v>
      </c>
      <c r="AB462" s="30"/>
      <c r="AC462" s="30"/>
      <c r="AD462" s="32"/>
      <c r="AE462" s="32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</row>
    <row r="463" spans="1:44" ht="18.600000000000001" customHeight="1">
      <c r="A463" s="24">
        <f ca="1">RANK(I463,I$2:I$651)</f>
        <v>462</v>
      </c>
      <c r="B463" s="25" t="s">
        <v>559</v>
      </c>
      <c r="C463" s="26" t="s">
        <v>136</v>
      </c>
      <c r="D463" s="26" t="s">
        <v>75</v>
      </c>
      <c r="E463" s="35" t="s">
        <v>31</v>
      </c>
      <c r="F463" s="36">
        <f ca="1">VLOOKUP(B463,SP!A1:I161,IF(Settings!$J$13="points",4,7),FALSE)</f>
        <v>136</v>
      </c>
      <c r="G463" s="29">
        <f>(AC463*Settings!$F$2)+(AF463*Settings!$F$5)+(AG463*Settings!$F$6)+(AH463*Settings!$F$7)+(AI463*Settings!$F$8)+(AJ463*Settings!$F$9)+(AK463*Settings!$F$10)+(AL463*Settings!$F$11)+(AM463*Settings!$F$12)+(AN463*Settings!$F$13)+(AO463*Settings!$F$14)+(AP463*Settings!$F$15)+(AQ463*Settings!$F$16)+(AR463*Settings!$F$17)</f>
        <v>201.92699999999996</v>
      </c>
      <c r="H463" s="30">
        <f>VLOOKUP(B463,'Standard Deviations'!$A1:$D651,4,FALSE)</f>
        <v>-2.9294222540908965</v>
      </c>
      <c r="I463" s="31">
        <f ca="1">IF(Settings!$J$16="no",VLOOKUP(B463,SP!A1:I161,IF(Settings!$J$13="points",6,9),FALSE),VLOOKUP(B463,'SP+RP'!$A1:$I251,IF(Settings!$J$13="points",6,9),FALSE))</f>
        <v>-3.0654012876498449</v>
      </c>
      <c r="J463" s="30"/>
      <c r="K463" s="30">
        <f ca="1">J463-A463</f>
        <v>-462</v>
      </c>
      <c r="L463" s="30"/>
      <c r="M463" s="30"/>
      <c r="N463" s="30"/>
      <c r="O463" s="30"/>
      <c r="P463" s="30"/>
      <c r="Q463" s="30"/>
      <c r="R463" s="32"/>
      <c r="S463" s="32"/>
      <c r="T463" s="30"/>
      <c r="U463" s="30"/>
      <c r="V463" s="30"/>
      <c r="W463" s="30"/>
      <c r="X463" s="30"/>
      <c r="Y463" s="32"/>
      <c r="Z463" s="32"/>
      <c r="AA463" s="30"/>
      <c r="AB463" s="30"/>
      <c r="AC463" s="30">
        <f>VLOOKUP($B463,Pitchers!$A1:$S251,4,FALSE)</f>
        <v>104.6</v>
      </c>
      <c r="AD463" s="32">
        <f>VLOOKUP($B463,Pitchers!$A1:$S251,5,FALSE)</f>
        <v>4.0308986615678775</v>
      </c>
      <c r="AE463" s="32">
        <f>VLOOKUP($B463,Pitchers!$A1:$S251,6,FALSE)</f>
        <v>1.3188336520076482</v>
      </c>
      <c r="AF463" s="30">
        <f>VLOOKUP($B463,Pitchers!$A1:$S251,7,FALSE)</f>
        <v>96.25</v>
      </c>
      <c r="AG463" s="30">
        <f>VLOOKUP($B463,Pitchers!$A1:$S251,8,FALSE)</f>
        <v>5.15</v>
      </c>
      <c r="AH463" s="30">
        <f>VLOOKUP($B463,Pitchers!$A1:$S251,9,FALSE)</f>
        <v>0</v>
      </c>
      <c r="AI463" s="30">
        <f>VLOOKUP($B463,Pitchers!$A1:$S251,10,FALSE)</f>
        <v>46.847999999999999</v>
      </c>
      <c r="AJ463" s="30">
        <f>VLOOKUP($B463,Pitchers!$A1:$S251,11,FALSE)</f>
        <v>103.1</v>
      </c>
      <c r="AK463" s="30">
        <f>VLOOKUP($B463,Pitchers!$A1:$S251,12,FALSE)</f>
        <v>34.85</v>
      </c>
      <c r="AL463" s="30">
        <f>VLOOKUP($B463,Pitchers!$A1:$S251,13,FALSE)</f>
        <v>13</v>
      </c>
      <c r="AM463" s="30">
        <f>VLOOKUP($B463,Pitchers!$A1:$S251,14,FALSE)</f>
        <v>34.200000000000003</v>
      </c>
      <c r="AN463" s="30">
        <f>VLOOKUP($B463,Pitchers!$A1:$S251,15,FALSE)</f>
        <v>16.600000000000001</v>
      </c>
      <c r="AO463" s="30">
        <f>VLOOKUP($B463,Pitchers!$A1:$S251,16,FALSE)</f>
        <v>6.45</v>
      </c>
      <c r="AP463" s="30">
        <f>VLOOKUP($B463,Pitchers!$A1:$S251,17,FALSE)</f>
        <v>7</v>
      </c>
      <c r="AQ463" s="30">
        <f>VLOOKUP($B463,Pitchers!$A1:$S251,18,FALSE)</f>
        <v>2</v>
      </c>
      <c r="AR463" s="30">
        <f>VLOOKUP($B463,Pitchers!$A1:$S251,19,FALSE)</f>
        <v>0</v>
      </c>
    </row>
    <row r="464" spans="1:44" ht="18.600000000000001" customHeight="1">
      <c r="A464" s="24">
        <f ca="1">RANK(I464,I$2:I$651)</f>
        <v>556</v>
      </c>
      <c r="B464" s="25" t="s">
        <v>653</v>
      </c>
      <c r="C464" s="26" t="s">
        <v>309</v>
      </c>
      <c r="D464" s="26" t="s">
        <v>75</v>
      </c>
      <c r="E464" s="35" t="s">
        <v>31</v>
      </c>
      <c r="F464" s="36">
        <f ca="1">VLOOKUP(B464,SP!A1:I161,IF(Settings!$J$13="points",4,7),FALSE)</f>
        <v>153</v>
      </c>
      <c r="G464" s="29">
        <f>(AC464*Settings!$F$2)+(AF464*Settings!$F$5)+(AG464*Settings!$F$6)+(AH464*Settings!$F$7)+(AI464*Settings!$F$8)+(AJ464*Settings!$F$9)+(AK464*Settings!$F$10)+(AL464*Settings!$F$11)+(AM464*Settings!$F$12)+(AN464*Settings!$F$13)+(AO464*Settings!$F$14)+(AP464*Settings!$F$15)+(AQ464*Settings!$F$16)+(AR464*Settings!$F$17)</f>
        <v>201.1939999999999</v>
      </c>
      <c r="H464" s="30">
        <f>VLOOKUP(B464,'Standard Deviations'!$A1:$D651,4,FALSE)</f>
        <v>-4.2627830885461657</v>
      </c>
      <c r="I464" s="31">
        <f ca="1">IF(Settings!$J$16="no",VLOOKUP(B464,SP!A1:I161,IF(Settings!$J$13="points",6,9),FALSE),VLOOKUP(B464,'SP+RP'!$A1:$I251,IF(Settings!$J$13="points",6,9),FALSE))</f>
        <v>-4.3987672803013877</v>
      </c>
      <c r="J464" s="30"/>
      <c r="K464" s="30">
        <f ca="1">J464-A464</f>
        <v>-556</v>
      </c>
      <c r="L464" s="30"/>
      <c r="M464" s="30"/>
      <c r="N464" s="30"/>
      <c r="O464" s="30"/>
      <c r="P464" s="30"/>
      <c r="Q464" s="30"/>
      <c r="R464" s="32"/>
      <c r="S464" s="32"/>
      <c r="T464" s="30"/>
      <c r="U464" s="30"/>
      <c r="V464" s="30"/>
      <c r="W464" s="30"/>
      <c r="X464" s="30"/>
      <c r="Y464" s="32"/>
      <c r="Z464" s="32"/>
      <c r="AA464" s="30"/>
      <c r="AB464" s="30"/>
      <c r="AC464" s="30">
        <f>VLOOKUP($B464,Pitchers!$A1:$S251,4,FALSE)</f>
        <v>111.55</v>
      </c>
      <c r="AD464" s="32">
        <f>VLOOKUP($B464,Pitchers!$A1:$S251,5,FALSE)</f>
        <v>4.4883818915284621</v>
      </c>
      <c r="AE464" s="32">
        <f>VLOOKUP($B464,Pitchers!$A1:$S251,6,FALSE)</f>
        <v>1.3818915284625726</v>
      </c>
      <c r="AF464" s="30">
        <f>VLOOKUP($B464,Pitchers!$A1:$S251,7,FALSE)</f>
        <v>103.15</v>
      </c>
      <c r="AG464" s="30">
        <f>VLOOKUP($B464,Pitchers!$A1:$S251,8,FALSE)</f>
        <v>5.25</v>
      </c>
      <c r="AH464" s="30">
        <f>VLOOKUP($B464,Pitchers!$A1:$S251,9,FALSE)</f>
        <v>0</v>
      </c>
      <c r="AI464" s="30">
        <f>VLOOKUP($B464,Pitchers!$A1:$S251,10,FALSE)</f>
        <v>55.631</v>
      </c>
      <c r="AJ464" s="30">
        <f>VLOOKUP($B464,Pitchers!$A1:$S251,11,FALSE)</f>
        <v>106.1</v>
      </c>
      <c r="AK464" s="30">
        <f>VLOOKUP($B464,Pitchers!$A1:$S251,12,FALSE)</f>
        <v>48.05</v>
      </c>
      <c r="AL464" s="30">
        <f>VLOOKUP($B464,Pitchers!$A1:$S251,13,FALSE)</f>
        <v>17</v>
      </c>
      <c r="AM464" s="30">
        <f>VLOOKUP($B464,Pitchers!$A1:$S251,14,FALSE)</f>
        <v>23.3</v>
      </c>
      <c r="AN464" s="30">
        <f>VLOOKUP($B464,Pitchers!$A1:$S251,15,FALSE)</f>
        <v>23.3</v>
      </c>
      <c r="AO464" s="30">
        <f>VLOOKUP($B464,Pitchers!$A1:$S251,16,FALSE)</f>
        <v>8.4</v>
      </c>
      <c r="AP464" s="30">
        <f>VLOOKUP($B464,Pitchers!$A1:$S251,17,FALSE)</f>
        <v>10</v>
      </c>
      <c r="AQ464" s="30">
        <f>VLOOKUP($B464,Pitchers!$A1:$S251,18,FALSE)</f>
        <v>0</v>
      </c>
      <c r="AR464" s="30">
        <f>VLOOKUP($B464,Pitchers!$A1:$S251,19,FALSE)</f>
        <v>0</v>
      </c>
    </row>
    <row r="465" spans="1:44" ht="18.600000000000001" customHeight="1">
      <c r="A465" s="24">
        <f ca="1">RANK(I465,I$2:I$651)</f>
        <v>144</v>
      </c>
      <c r="B465" s="25" t="s">
        <v>239</v>
      </c>
      <c r="C465" s="26" t="s">
        <v>72</v>
      </c>
      <c r="D465" s="26" t="s">
        <v>70</v>
      </c>
      <c r="E465" s="41" t="s">
        <v>34</v>
      </c>
      <c r="F465" s="42">
        <f ca="1">VLOOKUP(B465,RP!A1:I91,IF(Settings!$J$13="points",4,7),FALSE)</f>
        <v>11</v>
      </c>
      <c r="G465" s="29">
        <f>(AC465*Settings!$F$2)+(AF465*Settings!$F$5)+(AG465*Settings!$F$6)+(AH465*Settings!$F$7)+(AI465*Settings!$F$8)+(AJ465*Settings!$F$9)+(AK465*Settings!$F$10)+(AL465*Settings!$F$11)+(AM465*Settings!$F$12)+(AN465*Settings!$F$13)+(AO465*Settings!$F$14)+(AP465*Settings!$F$15)+(AQ465*Settings!$F$16)+(AR465*Settings!$F$17)</f>
        <v>201.0333333333333</v>
      </c>
      <c r="H465" s="30">
        <f>VLOOKUP(B465,'Standard Deviations'!$A1:$D651,4,FALSE)</f>
        <v>3.2464891469940764</v>
      </c>
      <c r="I465" s="31">
        <f ca="1">IF(Settings!$J$16="no",VLOOKUP(B465,RP!A1:I91,IF(Settings!$J$13="points",6,9),FALSE),VLOOKUP(B465,'SP+RP'!$A1:$I251,IF(Settings!$J$13="points",6,9),FALSE))</f>
        <v>1.6754233908046909</v>
      </c>
      <c r="J465" s="30"/>
      <c r="K465" s="30">
        <f ca="1">J465-A465</f>
        <v>-144</v>
      </c>
      <c r="L465" s="30"/>
      <c r="M465" s="30"/>
      <c r="N465" s="30"/>
      <c r="O465" s="30"/>
      <c r="P465" s="30"/>
      <c r="Q465" s="30"/>
      <c r="R465" s="32"/>
      <c r="S465" s="32"/>
      <c r="T465" s="30"/>
      <c r="U465" s="30"/>
      <c r="V465" s="30"/>
      <c r="W465" s="30"/>
      <c r="X465" s="30"/>
      <c r="Y465" s="32"/>
      <c r="Z465" s="32"/>
      <c r="AA465" s="30"/>
      <c r="AB465" s="30"/>
      <c r="AC465" s="30">
        <f>VLOOKUP($B465,Pitchers!$A1:$S251,4,FALSE)</f>
        <v>63.666666666666664</v>
      </c>
      <c r="AD465" s="32">
        <f>VLOOKUP($B465,Pitchers!$A1:$S251,5,FALSE)</f>
        <v>2.6057591623036651</v>
      </c>
      <c r="AE465" s="32">
        <f>VLOOKUP($B465,Pitchers!$A1:$S251,6,FALSE)</f>
        <v>0.98376963350785351</v>
      </c>
      <c r="AF465" s="30">
        <f>VLOOKUP($B465,Pitchers!$A1:$S251,7,FALSE)</f>
        <v>92.466666666666654</v>
      </c>
      <c r="AG465" s="30">
        <f>VLOOKUP($B465,Pitchers!$A1:$S251,8,FALSE)</f>
        <v>2.9333333333333336</v>
      </c>
      <c r="AH465" s="30">
        <f>VLOOKUP($B465,Pitchers!$A1:$S251,9,FALSE)</f>
        <v>6</v>
      </c>
      <c r="AI465" s="30">
        <f>VLOOKUP($B465,Pitchers!$A1:$S251,10,FALSE)</f>
        <v>18.433333333333334</v>
      </c>
      <c r="AJ465" s="30">
        <f>VLOOKUP($B465,Pitchers!$A1:$S251,11,FALSE)</f>
        <v>43.333333333333336</v>
      </c>
      <c r="AK465" s="30">
        <f>VLOOKUP($B465,Pitchers!$A1:$S251,12,FALSE)</f>
        <v>19.3</v>
      </c>
      <c r="AL465" s="30">
        <f>VLOOKUP($B465,Pitchers!$A1:$S251,13,FALSE)</f>
        <v>5</v>
      </c>
      <c r="AM465" s="30">
        <f>VLOOKUP($B465,Pitchers!$A1:$S251,14,FALSE)</f>
        <v>63.933333333333337</v>
      </c>
      <c r="AN465" s="30">
        <f>VLOOKUP($B465,Pitchers!$A1:$S251,15,FALSE)</f>
        <v>0</v>
      </c>
      <c r="AO465" s="30">
        <f>VLOOKUP($B465,Pitchers!$A1:$S251,16,FALSE)</f>
        <v>3.5333333333333332</v>
      </c>
      <c r="AP465" s="30">
        <f>VLOOKUP($B465,Pitchers!$A1:$S251,17,FALSE)</f>
        <v>0</v>
      </c>
      <c r="AQ465" s="30">
        <f>VLOOKUP($B465,Pitchers!$A1:$S251,18,FALSE)</f>
        <v>17</v>
      </c>
      <c r="AR465" s="30">
        <f>VLOOKUP($B465,Pitchers!$A1:$S251,19,FALSE)</f>
        <v>0</v>
      </c>
    </row>
    <row r="466" spans="1:44" ht="20.100000000000001" customHeight="1">
      <c r="A466" s="24">
        <f ca="1">RANK(I466,I$2:I$651)</f>
        <v>490</v>
      </c>
      <c r="B466" s="25" t="s">
        <v>586</v>
      </c>
      <c r="C466" s="26" t="s">
        <v>119</v>
      </c>
      <c r="D466" s="26" t="s">
        <v>70</v>
      </c>
      <c r="E466" s="33" t="s">
        <v>15</v>
      </c>
      <c r="F466" s="34">
        <f ca="1">VLOOKUP(B466,'3B'!A1:I55,IF(Settings!$J$13="points",4,7),FALSE)</f>
        <v>37</v>
      </c>
      <c r="G466" s="29">
        <f>(M466*Settings!$B$2)+(N466*Settings!$B$3)+(O466*Settings!$B$4)+(P466*Settings!$B$5)+(Q466*Settings!$B$6)+(T466*Settings!$B$9)+(U466*Settings!$B$10)+(V466*Settings!$B$11)+(W466*Settings!$B$12)+(X466*Settings!$B$13)+(AA466*Settings!$B$16)</f>
        <v>199.95000000000005</v>
      </c>
      <c r="H466" s="30">
        <f>VLOOKUP(B466,'Standard Deviations'!$A1:$D651,4,FALSE)</f>
        <v>-2.7783704184685871</v>
      </c>
      <c r="I466" s="31">
        <f ca="1">IF(Settings!$J$15="no",VLOOKUP(B466,'3B'!A1:I55,IF(Settings!$J$13="points",6,9),FALSE),VLOOKUP(B466,'1B+3B'!$A1:$I104,IF(Settings!$J$13="points",6,9),FALSE))</f>
        <v>-3.5060485404366184</v>
      </c>
      <c r="J466" s="30"/>
      <c r="K466" s="30">
        <f ca="1">J466-A466</f>
        <v>-490</v>
      </c>
      <c r="L466" s="30"/>
      <c r="M466" s="30">
        <f>VLOOKUP($B466,Hitters!$A1:$R401,4,FALSE)</f>
        <v>313.33333333333297</v>
      </c>
      <c r="N466" s="30">
        <f>VLOOKUP($B466,Hitters!$A1:$R401,5,FALSE)</f>
        <v>37.6</v>
      </c>
      <c r="O466" s="30">
        <f>VLOOKUP($B466,Hitters!$A1:$R401,6,FALSE)</f>
        <v>1.56666666666667</v>
      </c>
      <c r="P466" s="30">
        <f>VLOOKUP($B466,Hitters!$A1:$R401,7,FALSE)</f>
        <v>23.733333333333299</v>
      </c>
      <c r="Q466" s="30">
        <f>VLOOKUP($B466,Hitters!$A1:$R401,8,FALSE)</f>
        <v>9.8000000000000007</v>
      </c>
      <c r="R466" s="32">
        <f>VLOOKUP($B466,Hitters!$A1:$R401,9,FALSE)</f>
        <v>0.25340425531914901</v>
      </c>
      <c r="S466" s="32">
        <f>VLOOKUP($B466,Hitters!$A1:$R401,10,FALSE)</f>
        <v>0.307092751363991</v>
      </c>
      <c r="T466" s="30">
        <f>VLOOKUP($B466,Hitters!$A1:$R401,11,FALSE)</f>
        <v>79.400000000000006</v>
      </c>
      <c r="U466" s="30">
        <f>VLOOKUP($B466,Hitters!$A1:$R401,12,FALSE)</f>
        <v>12.1</v>
      </c>
      <c r="V466" s="30">
        <f>VLOOKUP($B466,Hitters!$A1:$R401,13,FALSE)</f>
        <v>2.7666666666666702</v>
      </c>
      <c r="W466" s="30">
        <f>VLOOKUP($B466,Hitters!$A1:$R401,14,FALSE)</f>
        <v>25.6666666666667</v>
      </c>
      <c r="X466" s="30">
        <f>VLOOKUP($B466,Hitters!$A1:$R401,15,FALSE)</f>
        <v>49.633333333333297</v>
      </c>
      <c r="Y466" s="32">
        <f>VLOOKUP($B466,Hitters!$A1:$R401,16,FALSE)</f>
        <v>0.32468085106382999</v>
      </c>
      <c r="Z466" s="32">
        <f>VLOOKUP($B466,Hitters!$A1:$R401,17,FALSE)</f>
        <v>0.63177360242781999</v>
      </c>
      <c r="AA466" s="30">
        <f>VLOOKUP($B466,Hitters!$A1:$R401,18,FALSE)</f>
        <v>0</v>
      </c>
      <c r="AB466" s="30"/>
      <c r="AC466" s="30"/>
      <c r="AD466" s="32"/>
      <c r="AE466" s="32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</row>
    <row r="467" spans="1:44" ht="20.100000000000001" customHeight="1">
      <c r="A467" s="24">
        <f ca="1">RANK(I467,I$2:I$651)</f>
        <v>531</v>
      </c>
      <c r="B467" s="25" t="s">
        <v>628</v>
      </c>
      <c r="C467" s="26" t="s">
        <v>77</v>
      </c>
      <c r="D467" s="26" t="s">
        <v>70</v>
      </c>
      <c r="E467" s="45" t="s">
        <v>19</v>
      </c>
      <c r="F467" s="46">
        <f ca="1">VLOOKUP(B467,'C'!A1:I54,IF(Settings!$J$13="points",4,7),FALSE)</f>
        <v>36</v>
      </c>
      <c r="G467" s="29">
        <f>(M467*Settings!$B$2)+(N467*Settings!$B$3)+(O467*Settings!$B$4)+(P467*Settings!$B$5)+(Q467*Settings!$B$6)+(T467*Settings!$B$9)+(U467*Settings!$B$10)+(V467*Settings!$B$11)+(W467*Settings!$B$12)+(X467*Settings!$B$13)+(AA467*Settings!$B$16)</f>
        <v>199.78333333333285</v>
      </c>
      <c r="H467" s="30">
        <f>VLOOKUP(B467,'Standard Deviations'!$A1:$D651,4,FALSE)</f>
        <v>-4.2533436584326161</v>
      </c>
      <c r="I467" s="31">
        <f ca="1">VLOOKUP(B467,'C'!A1:I54,IF(Settings!$J$13="points",6,9),FALSE)</f>
        <v>-3.9362445582948893</v>
      </c>
      <c r="J467" s="30"/>
      <c r="K467" s="30">
        <f ca="1">J467-A467</f>
        <v>-531</v>
      </c>
      <c r="L467" s="30"/>
      <c r="M467" s="30">
        <f>VLOOKUP($B467,Hitters!$A1:$R401,4,FALSE)</f>
        <v>290.66666666666703</v>
      </c>
      <c r="N467" s="30">
        <f>VLOOKUP($B467,Hitters!$A1:$R401,5,FALSE)</f>
        <v>38.233333333333299</v>
      </c>
      <c r="O467" s="30">
        <f>VLOOKUP($B467,Hitters!$A1:$R401,6,FALSE)</f>
        <v>17.533333333333299</v>
      </c>
      <c r="P467" s="30">
        <f>VLOOKUP($B467,Hitters!$A1:$R401,7,FALSE)</f>
        <v>43.033333333333303</v>
      </c>
      <c r="Q467" s="30">
        <f>VLOOKUP($B467,Hitters!$A1:$R401,8,FALSE)</f>
        <v>0.36666666666666697</v>
      </c>
      <c r="R467" s="32">
        <f>VLOOKUP($B467,Hitters!$A1:$R401,9,FALSE)</f>
        <v>0.19243119266055</v>
      </c>
      <c r="S467" s="32">
        <f>VLOOKUP($B467,Hitters!$A1:$R401,10,FALSE)</f>
        <v>0.25012622012790298</v>
      </c>
      <c r="T467" s="30">
        <f>VLOOKUP($B467,Hitters!$A1:$R401,11,FALSE)</f>
        <v>55.933333333333302</v>
      </c>
      <c r="U467" s="30">
        <f>VLOOKUP($B467,Hitters!$A1:$R401,12,FALSE)</f>
        <v>10.633333333333301</v>
      </c>
      <c r="V467" s="30">
        <f>VLOOKUP($B467,Hitters!$A1:$R401,13,FALSE)</f>
        <v>0.93333333333333302</v>
      </c>
      <c r="W467" s="30">
        <f>VLOOKUP($B467,Hitters!$A1:$R401,14,FALSE)</f>
        <v>23.3333333333333</v>
      </c>
      <c r="X467" s="30">
        <f>VLOOKUP($B467,Hitters!$A1:$R401,15,FALSE)</f>
        <v>111.366666666667</v>
      </c>
      <c r="Y467" s="32">
        <f>VLOOKUP($B467,Hitters!$A1:$R401,16,FALSE)</f>
        <v>0.41639908256880698</v>
      </c>
      <c r="Z467" s="32">
        <f>VLOOKUP($B467,Hitters!$A1:$R401,17,FALSE)</f>
        <v>0.66652530269670995</v>
      </c>
      <c r="AA467" s="30">
        <f>VLOOKUP($B467,Hitters!$A1:$R401,18,FALSE)</f>
        <v>0</v>
      </c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</row>
    <row r="468" spans="1:44" ht="18.600000000000001" customHeight="1">
      <c r="A468" s="24">
        <f ca="1">RANK(I468,I$2:I$651)</f>
        <v>429</v>
      </c>
      <c r="B468" s="25" t="s">
        <v>528</v>
      </c>
      <c r="C468" s="26" t="s">
        <v>64</v>
      </c>
      <c r="D468" s="26" t="s">
        <v>75</v>
      </c>
      <c r="E468" s="35" t="s">
        <v>31</v>
      </c>
      <c r="F468" s="36">
        <f ca="1">VLOOKUP(B468,SP!A1:I161,IF(Settings!$J$13="points",4,7),FALSE)</f>
        <v>124</v>
      </c>
      <c r="G468" s="29">
        <f>(AC468*Settings!$F$2)+(AF468*Settings!$F$5)+(AG468*Settings!$F$6)+(AH468*Settings!$F$7)+(AI468*Settings!$F$8)+(AJ468*Settings!$F$9)+(AK468*Settings!$F$10)+(AL468*Settings!$F$11)+(AM468*Settings!$F$12)+(AN468*Settings!$F$13)+(AO468*Settings!$F$14)+(AP468*Settings!$F$15)+(AQ468*Settings!$F$16)+(AR468*Settings!$F$17)</f>
        <v>199.39999999999998</v>
      </c>
      <c r="H468" s="30">
        <f>VLOOKUP(B468,'Standard Deviations'!$A1:$D651,4,FALSE)</f>
        <v>-2.6359316920757929</v>
      </c>
      <c r="I468" s="31">
        <f ca="1">IF(Settings!$J$16="no",VLOOKUP(B468,SP!A1:I161,IF(Settings!$J$13="points",6,9),FALSE),VLOOKUP(B468,'SP+RP'!$A1:$I251,IF(Settings!$J$13="points",6,9),FALSE))</f>
        <v>-2.7719122327865242</v>
      </c>
      <c r="J468" s="30"/>
      <c r="K468" s="30">
        <f ca="1">J468-A468</f>
        <v>-429</v>
      </c>
      <c r="L468" s="30"/>
      <c r="M468" s="30"/>
      <c r="N468" s="30"/>
      <c r="O468" s="30"/>
      <c r="P468" s="30"/>
      <c r="Q468" s="30"/>
      <c r="R468" s="32"/>
      <c r="S468" s="32"/>
      <c r="T468" s="30"/>
      <c r="U468" s="30"/>
      <c r="V468" s="30"/>
      <c r="W468" s="30"/>
      <c r="X468" s="30"/>
      <c r="Y468" s="32"/>
      <c r="Z468" s="32"/>
      <c r="AA468" s="30"/>
      <c r="AB468" s="30"/>
      <c r="AC468" s="30">
        <f>VLOOKUP($B468,Pitchers!$A1:$S251,4,FALSE)</f>
        <v>92.366666666666674</v>
      </c>
      <c r="AD468" s="32">
        <f>VLOOKUP($B468,Pitchers!$A1:$S251,5,FALSE)</f>
        <v>4.0436665463731503</v>
      </c>
      <c r="AE468" s="32">
        <f>VLOOKUP($B468,Pitchers!$A1:$S251,6,FALSE)</f>
        <v>1.302778780223746</v>
      </c>
      <c r="AF468" s="30">
        <f>VLOOKUP($B468,Pitchers!$A1:$S251,7,FALSE)</f>
        <v>92.600000000000009</v>
      </c>
      <c r="AG468" s="30">
        <f>VLOOKUP($B468,Pitchers!$A1:$S251,8,FALSE)</f>
        <v>5.333333333333333</v>
      </c>
      <c r="AH468" s="30">
        <f>VLOOKUP($B468,Pitchers!$A1:$S251,9,FALSE)</f>
        <v>1.3333333333333333</v>
      </c>
      <c r="AI468" s="30">
        <f>VLOOKUP($B468,Pitchers!$A1:$S251,10,FALSE)</f>
        <v>41.5</v>
      </c>
      <c r="AJ468" s="30">
        <f>VLOOKUP($B468,Pitchers!$A1:$S251,11,FALSE)</f>
        <v>88.866666666666674</v>
      </c>
      <c r="AK468" s="30">
        <f>VLOOKUP($B468,Pitchers!$A1:$S251,12,FALSE)</f>
        <v>31.466666666666669</v>
      </c>
      <c r="AL468" s="30">
        <f>VLOOKUP($B468,Pitchers!$A1:$S251,13,FALSE)</f>
        <v>14</v>
      </c>
      <c r="AM468" s="30">
        <f>VLOOKUP($B468,Pitchers!$A1:$S251,14,FALSE)</f>
        <v>38.800000000000004</v>
      </c>
      <c r="AN468" s="30">
        <f>VLOOKUP($B468,Pitchers!$A1:$S251,15,FALSE)</f>
        <v>13.466666666666667</v>
      </c>
      <c r="AO468" s="30">
        <f>VLOOKUP($B468,Pitchers!$A1:$S251,16,FALSE)</f>
        <v>5.3666666666666671</v>
      </c>
      <c r="AP468" s="30">
        <f>VLOOKUP($B468,Pitchers!$A1:$S251,17,FALSE)</f>
        <v>6</v>
      </c>
      <c r="AQ468" s="30">
        <f>VLOOKUP($B468,Pitchers!$A1:$S251,18,FALSE)</f>
        <v>6.5</v>
      </c>
      <c r="AR468" s="30">
        <f>VLOOKUP($B468,Pitchers!$A1:$S251,19,FALSE)</f>
        <v>0</v>
      </c>
    </row>
    <row r="469" spans="1:44" ht="20.100000000000001" customHeight="1">
      <c r="A469" s="24">
        <f ca="1">RANK(I469,I$2:I$651)</f>
        <v>558</v>
      </c>
      <c r="B469" s="25" t="s">
        <v>655</v>
      </c>
      <c r="C469" s="26" t="s">
        <v>79</v>
      </c>
      <c r="D469" s="26" t="s">
        <v>70</v>
      </c>
      <c r="E469" s="45" t="s">
        <v>19</v>
      </c>
      <c r="F469" s="46">
        <f ca="1">VLOOKUP(B469,'C'!A1:I54,IF(Settings!$J$13="points",4,7),FALSE)</f>
        <v>42</v>
      </c>
      <c r="G469" s="29">
        <f>(M469*Settings!$B$2)+(N469*Settings!$B$3)+(O469*Settings!$B$4)+(P469*Settings!$B$5)+(Q469*Settings!$B$6)+(T469*Settings!$B$9)+(U469*Settings!$B$10)+(V469*Settings!$B$11)+(W469*Settings!$B$12)+(X469*Settings!$B$13)+(AA469*Settings!$B$16)</f>
        <v>199.35000000000025</v>
      </c>
      <c r="H469" s="30">
        <f>VLOOKUP(B469,'Standard Deviations'!$A1:$D651,4,FALSE)</f>
        <v>-4.7495435130066248</v>
      </c>
      <c r="I469" s="31">
        <f ca="1">VLOOKUP(B469,'C'!A1:I54,IF(Settings!$J$13="points",6,9),FALSE)</f>
        <v>-4.4324465829319459</v>
      </c>
      <c r="J469" s="30"/>
      <c r="K469" s="30">
        <f ca="1">J469-A469</f>
        <v>-558</v>
      </c>
      <c r="L469" s="30"/>
      <c r="M469" s="30">
        <f>VLOOKUP($B469,Hitters!$A1:$R401,4,FALSE)</f>
        <v>338.66666666666703</v>
      </c>
      <c r="N469" s="30">
        <f>VLOOKUP($B469,Hitters!$A1:$R401,5,FALSE)</f>
        <v>40.366666666666703</v>
      </c>
      <c r="O469" s="30">
        <f>VLOOKUP($B469,Hitters!$A1:$R401,6,FALSE)</f>
        <v>12.6666666666667</v>
      </c>
      <c r="P469" s="30">
        <f>VLOOKUP($B469,Hitters!$A1:$R401,7,FALSE)</f>
        <v>40.200000000000003</v>
      </c>
      <c r="Q469" s="30">
        <f>VLOOKUP($B469,Hitters!$A1:$R401,8,FALSE)</f>
        <v>0.96666666666666701</v>
      </c>
      <c r="R469" s="32">
        <f>VLOOKUP($B469,Hitters!$A1:$R401,9,FALSE)</f>
        <v>0.19360236220472399</v>
      </c>
      <c r="S469" s="32">
        <f>VLOOKUP($B469,Hitters!$A1:$R401,10,FALSE)</f>
        <v>0.26175727152978001</v>
      </c>
      <c r="T469" s="30">
        <f>VLOOKUP($B469,Hitters!$A1:$R401,11,FALSE)</f>
        <v>65.566666666666706</v>
      </c>
      <c r="U469" s="30">
        <f>VLOOKUP($B469,Hitters!$A1:$R401,12,FALSE)</f>
        <v>11.8</v>
      </c>
      <c r="V469" s="30">
        <f>VLOOKUP($B469,Hitters!$A1:$R401,13,FALSE)</f>
        <v>0.53333333333333299</v>
      </c>
      <c r="W469" s="30">
        <f>VLOOKUP($B469,Hitters!$A1:$R401,14,FALSE)</f>
        <v>32.466666666666697</v>
      </c>
      <c r="X469" s="30">
        <f>VLOOKUP($B469,Hitters!$A1:$R401,15,FALSE)</f>
        <v>114.1</v>
      </c>
      <c r="Y469" s="32">
        <f>VLOOKUP($B469,Hitters!$A1:$R401,16,FALSE)</f>
        <v>0.343799212598425</v>
      </c>
      <c r="Z469" s="32">
        <f>VLOOKUP($B469,Hitters!$A1:$R401,17,FALSE)</f>
        <v>0.60555648412820595</v>
      </c>
      <c r="AA469" s="30">
        <f>VLOOKUP($B469,Hitters!$A1:$R401,18,FALSE)</f>
        <v>0</v>
      </c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</row>
    <row r="470" spans="1:44" ht="18.600000000000001" customHeight="1">
      <c r="A470" s="24">
        <f ca="1">RANK(I470,I$2:I$651)</f>
        <v>432</v>
      </c>
      <c r="B470" s="25" t="s">
        <v>527</v>
      </c>
      <c r="C470" s="26" t="s">
        <v>260</v>
      </c>
      <c r="D470" s="26" t="s">
        <v>70</v>
      </c>
      <c r="E470" s="45" t="s">
        <v>19</v>
      </c>
      <c r="F470" s="46">
        <f ca="1">VLOOKUP(B470,'C'!A1:I54,IF(Settings!$J$13="points",4,7),FALSE)</f>
        <v>26</v>
      </c>
      <c r="G470" s="29">
        <f>(M470*Settings!$B$2)+(N470*Settings!$B$3)+(O470*Settings!$B$4)+(P470*Settings!$B$5)+(Q470*Settings!$B$6)+(T470*Settings!$B$9)+(U470*Settings!$B$10)+(V470*Settings!$B$11)+(W470*Settings!$B$12)+(X470*Settings!$B$13)+(AA470*Settings!$B$16)</f>
        <v>198.08333333333317</v>
      </c>
      <c r="H470" s="30">
        <f>VLOOKUP(B470,'Standard Deviations'!$A1:$D651,4,FALSE)</f>
        <v>-3.1050828617271531</v>
      </c>
      <c r="I470" s="31">
        <f ca="1">VLOOKUP(B470,'C'!A1:I54,IF(Settings!$J$13="points",6,9),FALSE)</f>
        <v>-2.7879886256749726</v>
      </c>
      <c r="J470" s="30"/>
      <c r="K470" s="30">
        <f ca="1">J470-A470</f>
        <v>-432</v>
      </c>
      <c r="L470" s="30"/>
      <c r="M470" s="30">
        <f>VLOOKUP($B470,Hitters!$A1:$R401,4,FALSE)</f>
        <v>283.33333333333297</v>
      </c>
      <c r="N470" s="30">
        <f>VLOOKUP($B470,Hitters!$A1:$R401,5,FALSE)</f>
        <v>34.4</v>
      </c>
      <c r="O470" s="30">
        <f>VLOOKUP($B470,Hitters!$A1:$R401,6,FALSE)</f>
        <v>13.2</v>
      </c>
      <c r="P470" s="30">
        <f>VLOOKUP($B470,Hitters!$A1:$R401,7,FALSE)</f>
        <v>39.066666666666698</v>
      </c>
      <c r="Q470" s="30">
        <f>VLOOKUP($B470,Hitters!$A1:$R401,8,FALSE)</f>
        <v>1.0333333333333301</v>
      </c>
      <c r="R470" s="32">
        <f>VLOOKUP($B470,Hitters!$A1:$R401,9,FALSE)</f>
        <v>0.23235294117647101</v>
      </c>
      <c r="S470" s="32">
        <f>VLOOKUP($B470,Hitters!$A1:$R401,10,FALSE)</f>
        <v>0.28532814358309</v>
      </c>
      <c r="T470" s="30">
        <f>VLOOKUP($B470,Hitters!$A1:$R401,11,FALSE)</f>
        <v>65.8333333333333</v>
      </c>
      <c r="U470" s="30">
        <f>VLOOKUP($B470,Hitters!$A1:$R401,12,FALSE)</f>
        <v>11.8333333333333</v>
      </c>
      <c r="V470" s="30">
        <f>VLOOKUP($B470,Hitters!$A1:$R401,13,FALSE)</f>
        <v>0.96666666666666701</v>
      </c>
      <c r="W470" s="30">
        <f>VLOOKUP($B470,Hitters!$A1:$R401,14,FALSE)</f>
        <v>22.133333333333301</v>
      </c>
      <c r="X470" s="30">
        <f>VLOOKUP($B470,Hitters!$A1:$R401,15,FALSE)</f>
        <v>89.566666666666706</v>
      </c>
      <c r="Y470" s="32">
        <f>VLOOKUP($B470,Hitters!$A1:$R401,16,FALSE)</f>
        <v>0.42070588235294099</v>
      </c>
      <c r="Z470" s="32">
        <f>VLOOKUP($B470,Hitters!$A1:$R401,17,FALSE)</f>
        <v>0.70603402593603104</v>
      </c>
      <c r="AA470" s="30">
        <f>VLOOKUP($B470,Hitters!$A1:$R401,18,FALSE)</f>
        <v>0</v>
      </c>
      <c r="AB470" s="30"/>
      <c r="AC470" s="30"/>
      <c r="AD470" s="32"/>
      <c r="AE470" s="32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</row>
    <row r="471" spans="1:44" ht="18.600000000000001" customHeight="1">
      <c r="A471" s="24">
        <f ca="1">RANK(I471,I$2:I$651)</f>
        <v>520</v>
      </c>
      <c r="B471" s="25" t="s">
        <v>617</v>
      </c>
      <c r="C471" s="26" t="s">
        <v>122</v>
      </c>
      <c r="D471" s="26" t="s">
        <v>75</v>
      </c>
      <c r="E471" s="33" t="s">
        <v>15</v>
      </c>
      <c r="F471" s="34">
        <f ca="1">VLOOKUP(B471,'3B'!A1:I55,IF(Settings!$J$13="points",4,7),FALSE)</f>
        <v>39</v>
      </c>
      <c r="G471" s="29">
        <f>(M471*Settings!$B$2)+(N471*Settings!$B$3)+(O471*Settings!$B$4)+(P471*Settings!$B$5)+(Q471*Settings!$B$6)+(T471*Settings!$B$9)+(U471*Settings!$B$10)+(V471*Settings!$B$11)+(W471*Settings!$B$12)+(X471*Settings!$B$13)+(AA471*Settings!$B$16)</f>
        <v>197.99999999999994</v>
      </c>
      <c r="H471" s="30">
        <f>VLOOKUP(B471,'Standard Deviations'!$A1:$D651,4,FALSE)</f>
        <v>-3.0744729015564598</v>
      </c>
      <c r="I471" s="31">
        <f ca="1">IF(Settings!$J$15="no",VLOOKUP(B471,'3B'!A1:I55,IF(Settings!$J$13="points",6,9),FALSE),VLOOKUP(B471,'1B+3B'!$A1:$I104,IF(Settings!$J$13="points",6,9),FALSE))</f>
        <v>-3.8021555820337758</v>
      </c>
      <c r="J471" s="30"/>
      <c r="K471" s="30">
        <f ca="1">J471-A471</f>
        <v>-520</v>
      </c>
      <c r="L471" s="30"/>
      <c r="M471" s="30">
        <f>VLOOKUP($B471,Hitters!$A1:$R401,4,FALSE)</f>
        <v>280.66666666666703</v>
      </c>
      <c r="N471" s="30">
        <f>VLOOKUP($B471,Hitters!$A1:$R401,5,FALSE)</f>
        <v>36.4</v>
      </c>
      <c r="O471" s="30">
        <f>VLOOKUP($B471,Hitters!$A1:$R401,6,FALSE)</f>
        <v>9.1999999999999993</v>
      </c>
      <c r="P471" s="30">
        <f>VLOOKUP($B471,Hitters!$A1:$R401,7,FALSE)</f>
        <v>33.1666666666667</v>
      </c>
      <c r="Q471" s="30">
        <f>VLOOKUP($B471,Hitters!$A1:$R401,8,FALSE)</f>
        <v>2.4</v>
      </c>
      <c r="R471" s="32">
        <f>VLOOKUP($B471,Hitters!$A1:$R401,9,FALSE)</f>
        <v>0.24275534441805199</v>
      </c>
      <c r="S471" s="32">
        <f>VLOOKUP($B471,Hitters!$A1:$R401,10,FALSE)</f>
        <v>0.29297815523355097</v>
      </c>
      <c r="T471" s="30">
        <f>VLOOKUP($B471,Hitters!$A1:$R401,11,FALSE)</f>
        <v>68.133333333333297</v>
      </c>
      <c r="U471" s="30">
        <f>VLOOKUP($B471,Hitters!$A1:$R401,12,FALSE)</f>
        <v>13.3</v>
      </c>
      <c r="V471" s="30">
        <f>VLOOKUP($B471,Hitters!$A1:$R401,13,FALSE)</f>
        <v>1.93333333333333</v>
      </c>
      <c r="W471" s="30">
        <f>VLOOKUP($B471,Hitters!$A1:$R401,14,FALSE)</f>
        <v>21.1</v>
      </c>
      <c r="X471" s="30">
        <f>VLOOKUP($B471,Hitters!$A1:$R401,15,FALSE)</f>
        <v>69.599999999999994</v>
      </c>
      <c r="Y471" s="32">
        <f>VLOOKUP($B471,Hitters!$A1:$R401,16,FALSE)</f>
        <v>0.40225653206650802</v>
      </c>
      <c r="Z471" s="32">
        <f>VLOOKUP($B471,Hitters!$A1:$R401,17,FALSE)</f>
        <v>0.695234687300059</v>
      </c>
      <c r="AA471" s="30">
        <f>VLOOKUP($B471,Hitters!$A1:$R401,18,FALSE)</f>
        <v>0</v>
      </c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</row>
    <row r="472" spans="1:44" ht="18.600000000000001" customHeight="1">
      <c r="A472" s="24">
        <f ca="1">RANK(I472,I$2:I$651)</f>
        <v>595</v>
      </c>
      <c r="B472" s="25" t="s">
        <v>691</v>
      </c>
      <c r="C472" s="26" t="s">
        <v>101</v>
      </c>
      <c r="D472" s="26" t="s">
        <v>70</v>
      </c>
      <c r="E472" s="37" t="s">
        <v>27</v>
      </c>
      <c r="F472" s="38">
        <f ca="1">VLOOKUP(B472,SS!A1:I45,IF(Settings!$J$13="points",4,7),FALSE)</f>
        <v>35</v>
      </c>
      <c r="G472" s="29">
        <f>(M472*Settings!$B$2)+(N472*Settings!$B$3)+(O472*Settings!$B$4)+(P472*Settings!$B$5)+(Q472*Settings!$B$6)+(T472*Settings!$B$9)+(U472*Settings!$B$10)+(V472*Settings!$B$11)+(W472*Settings!$B$12)+(X472*Settings!$B$13)+(AA472*Settings!$B$16)</f>
        <v>197.94999999999982</v>
      </c>
      <c r="H472" s="30">
        <f>VLOOKUP(B472,'Standard Deviations'!$A1:$D651,4,FALSE)</f>
        <v>-2.2450458329918783</v>
      </c>
      <c r="I472" s="31">
        <f ca="1">IF(Settings!$J$16="no",VLOOKUP(B472,SS!A1:I45,IF(Settings!$J$13="points",6,9),FALSE),VLOOKUP(B472,'2B+SS'!$A1:$I94,IF(Settings!$J$13="points",6,9),FALSE))</f>
        <v>-5.2494688425834353</v>
      </c>
      <c r="J472" s="30"/>
      <c r="K472" s="30">
        <f ca="1">J472-A472</f>
        <v>-595</v>
      </c>
      <c r="L472" s="30"/>
      <c r="M472" s="30">
        <f>VLOOKUP($B472,Hitters!$A1:$R401,4,FALSE)</f>
        <v>278</v>
      </c>
      <c r="N472" s="30">
        <f>VLOOKUP($B472,Hitters!$A1:$R401,5,FALSE)</f>
        <v>33.433333333333302</v>
      </c>
      <c r="O472" s="30">
        <f>VLOOKUP($B472,Hitters!$A1:$R401,6,FALSE)</f>
        <v>6.6666666666666696</v>
      </c>
      <c r="P472" s="30">
        <f>VLOOKUP($B472,Hitters!$A1:$R401,7,FALSE)</f>
        <v>28.533333333333299</v>
      </c>
      <c r="Q472" s="30">
        <f>VLOOKUP($B472,Hitters!$A1:$R401,8,FALSE)</f>
        <v>17.3333333333333</v>
      </c>
      <c r="R472" s="32">
        <f>VLOOKUP($B472,Hitters!$A1:$R401,9,FALSE)</f>
        <v>0.227338129496403</v>
      </c>
      <c r="S472" s="32">
        <f>VLOOKUP($B472,Hitters!$A1:$R401,10,FALSE)</f>
        <v>0.26521376950266801</v>
      </c>
      <c r="T472" s="30">
        <f>VLOOKUP($B472,Hitters!$A1:$R401,11,FALSE)</f>
        <v>63.2</v>
      </c>
      <c r="U472" s="30">
        <f>VLOOKUP($B472,Hitters!$A1:$R401,12,FALSE)</f>
        <v>14</v>
      </c>
      <c r="V472" s="30">
        <f>VLOOKUP($B472,Hitters!$A1:$R401,13,FALSE)</f>
        <v>2.8</v>
      </c>
      <c r="W472" s="30">
        <f>VLOOKUP($B472,Hitters!$A1:$R401,14,FALSE)</f>
        <v>15.3333333333333</v>
      </c>
      <c r="X472" s="30">
        <f>VLOOKUP($B472,Hitters!$A1:$R401,15,FALSE)</f>
        <v>80.566666666666706</v>
      </c>
      <c r="Y472" s="32">
        <f>VLOOKUP($B472,Hitters!$A1:$R401,16,FALSE)</f>
        <v>0.36978417266187102</v>
      </c>
      <c r="Z472" s="32">
        <f>VLOOKUP($B472,Hitters!$A1:$R401,17,FALSE)</f>
        <v>0.63499794216453798</v>
      </c>
      <c r="AA472" s="30">
        <f>VLOOKUP($B472,Hitters!$A1:$R401,18,FALSE)</f>
        <v>0</v>
      </c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</row>
    <row r="473" spans="1:44" ht="18.600000000000001" customHeight="1">
      <c r="A473" s="24">
        <f ca="1">RANK(I473,I$2:I$651)</f>
        <v>382</v>
      </c>
      <c r="B473" s="25" t="s">
        <v>480</v>
      </c>
      <c r="C473" s="26" t="s">
        <v>260</v>
      </c>
      <c r="D473" s="26" t="s">
        <v>70</v>
      </c>
      <c r="E473" s="27" t="s">
        <v>23</v>
      </c>
      <c r="F473" s="28">
        <f ca="1">VLOOKUP(B473,OF!A1:I139,IF(Settings!$J$13="points",4,7),FALSE)</f>
        <v>107</v>
      </c>
      <c r="G473" s="29">
        <f>(M473*Settings!$B$2)+(N473*Settings!$B$3)+(O473*Settings!$B$4)+(P473*Settings!$B$5)+(Q473*Settings!$B$6)+(T473*Settings!$B$9)+(U473*Settings!$B$10)+(V473*Settings!$B$11)+(W473*Settings!$B$12)+(X473*Settings!$B$13)+(AA473*Settings!$B$16)</f>
        <v>197.91666666666669</v>
      </c>
      <c r="H473" s="30">
        <f>VLOOKUP(B473,'Standard Deviations'!$A1:$D651,4,FALSE)</f>
        <v>-2.105117424258105</v>
      </c>
      <c r="I473" s="31">
        <f ca="1">VLOOKUP(B473,OF!A1:I139,IF(Settings!$J$13="points",6,9),FALSE)</f>
        <v>-2.2238346590728564</v>
      </c>
      <c r="J473" s="30"/>
      <c r="K473" s="30">
        <f ca="1">J473-A473</f>
        <v>-382</v>
      </c>
      <c r="L473" s="30"/>
      <c r="M473" s="30">
        <f>VLOOKUP($B473,Hitters!$A1:$R401,4,FALSE)</f>
        <v>280.33333333333297</v>
      </c>
      <c r="N473" s="30">
        <f>VLOOKUP($B473,Hitters!$A1:$R401,5,FALSE)</f>
        <v>34.433333333333302</v>
      </c>
      <c r="O473" s="30">
        <f>VLOOKUP($B473,Hitters!$A1:$R401,6,FALSE)</f>
        <v>6.56666666666667</v>
      </c>
      <c r="P473" s="30">
        <f>VLOOKUP($B473,Hitters!$A1:$R401,7,FALSE)</f>
        <v>29.4</v>
      </c>
      <c r="Q473" s="30">
        <f>VLOOKUP($B473,Hitters!$A1:$R401,8,FALSE)</f>
        <v>7.3666666666666698</v>
      </c>
      <c r="R473" s="32">
        <f>VLOOKUP($B473,Hitters!$A1:$R401,9,FALSE)</f>
        <v>0.25945303210463699</v>
      </c>
      <c r="S473" s="32">
        <f>VLOOKUP($B473,Hitters!$A1:$R401,10,FALSE)</f>
        <v>0.30720769171669698</v>
      </c>
      <c r="T473" s="30">
        <f>VLOOKUP($B473,Hitters!$A1:$R401,11,FALSE)</f>
        <v>72.733333333333306</v>
      </c>
      <c r="U473" s="30">
        <f>VLOOKUP($B473,Hitters!$A1:$R401,12,FALSE)</f>
        <v>12.0666666666667</v>
      </c>
      <c r="V473" s="30">
        <f>VLOOKUP($B473,Hitters!$A1:$R401,13,FALSE)</f>
        <v>2.43333333333333</v>
      </c>
      <c r="W473" s="30">
        <f>VLOOKUP($B473,Hitters!$A1:$R401,14,FALSE)</f>
        <v>20.566666666666698</v>
      </c>
      <c r="X473" s="30">
        <f>VLOOKUP($B473,Hitters!$A1:$R401,15,FALSE)</f>
        <v>63.3</v>
      </c>
      <c r="Y473" s="32">
        <f>VLOOKUP($B473,Hitters!$A1:$R401,16,FALSE)</f>
        <v>0.39013079667063</v>
      </c>
      <c r="Z473" s="32">
        <f>VLOOKUP($B473,Hitters!$A1:$R401,17,FALSE)</f>
        <v>0.69733848838732704</v>
      </c>
      <c r="AA473" s="30">
        <f>VLOOKUP($B473,Hitters!$A1:$R401,18,FALSE)</f>
        <v>0</v>
      </c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</row>
    <row r="474" spans="1:44" ht="18.600000000000001" customHeight="1">
      <c r="A474" s="24">
        <f ca="1">RANK(I474,I$2:I$651)</f>
        <v>354</v>
      </c>
      <c r="B474" s="25" t="s">
        <v>451</v>
      </c>
      <c r="C474" s="26" t="s">
        <v>139</v>
      </c>
      <c r="D474" s="26" t="s">
        <v>75</v>
      </c>
      <c r="E474" s="27" t="s">
        <v>23</v>
      </c>
      <c r="F474" s="28">
        <f ca="1">VLOOKUP(B474,OF!A1:I139,IF(Settings!$J$13="points",4,7),FALSE)</f>
        <v>98</v>
      </c>
      <c r="G474" s="29">
        <f>(M474*Settings!$B$2)+(N474*Settings!$B$3)+(O474*Settings!$B$4)+(P474*Settings!$B$5)+(Q474*Settings!$B$6)+(T474*Settings!$B$9)+(U474*Settings!$B$10)+(V474*Settings!$B$11)+(W474*Settings!$B$12)+(X474*Settings!$B$13)+(AA474*Settings!$B$16)</f>
        <v>197.9</v>
      </c>
      <c r="H474" s="30">
        <f>VLOOKUP(B474,'Standard Deviations'!$A1:$D651,4,FALSE)</f>
        <v>-1.789843590468895</v>
      </c>
      <c r="I474" s="31">
        <f ca="1">VLOOKUP(B474,OF!A1:I139,IF(Settings!$J$13="points",6,9),FALSE)</f>
        <v>-1.9085585738369273</v>
      </c>
      <c r="J474" s="30"/>
      <c r="K474" s="30">
        <f ca="1">J474-A474</f>
        <v>-354</v>
      </c>
      <c r="L474" s="30"/>
      <c r="M474" s="30">
        <f>VLOOKUP($B474,Hitters!$A1:$R401,4,FALSE)</f>
        <v>251</v>
      </c>
      <c r="N474" s="30">
        <f>VLOOKUP($B474,Hitters!$A1:$R401,5,FALSE)</f>
        <v>33.35</v>
      </c>
      <c r="O474" s="30">
        <f>VLOOKUP($B474,Hitters!$A1:$R401,6,FALSE)</f>
        <v>4.3499999999999996</v>
      </c>
      <c r="P474" s="30">
        <f>VLOOKUP($B474,Hitters!$A1:$R401,7,FALSE)</f>
        <v>26.25</v>
      </c>
      <c r="Q474" s="30">
        <f>VLOOKUP($B474,Hitters!$A1:$R401,8,FALSE)</f>
        <v>10.95</v>
      </c>
      <c r="R474" s="32">
        <f>VLOOKUP($B474,Hitters!$A1:$R401,9,FALSE)</f>
        <v>0.26454183266932302</v>
      </c>
      <c r="S474" s="32">
        <f>VLOOKUP($B474,Hitters!$A1:$R401,10,FALSE)</f>
        <v>0.32356024727956301</v>
      </c>
      <c r="T474" s="30">
        <f>VLOOKUP($B474,Hitters!$A1:$R401,11,FALSE)</f>
        <v>66.400000000000006</v>
      </c>
      <c r="U474" s="30">
        <f>VLOOKUP($B474,Hitters!$A1:$R401,12,FALSE)</f>
        <v>14</v>
      </c>
      <c r="V474" s="30">
        <f>VLOOKUP($B474,Hitters!$A1:$R401,13,FALSE)</f>
        <v>2.4500000000000002</v>
      </c>
      <c r="W474" s="30">
        <f>VLOOKUP($B474,Hitters!$A1:$R401,14,FALSE)</f>
        <v>23.1</v>
      </c>
      <c r="X474" s="30">
        <f>VLOOKUP($B474,Hitters!$A1:$R401,15,FALSE)</f>
        <v>51.7</v>
      </c>
      <c r="Y474" s="32">
        <f>VLOOKUP($B474,Hitters!$A1:$R401,16,FALSE)</f>
        <v>0.39183266932270899</v>
      </c>
      <c r="Z474" s="32">
        <f>VLOOKUP($B474,Hitters!$A1:$R401,17,FALSE)</f>
        <v>0.715392916602272</v>
      </c>
      <c r="AA474" s="30">
        <f>VLOOKUP($B474,Hitters!$A1:$R401,18,FALSE)</f>
        <v>0</v>
      </c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</row>
    <row r="475" spans="1:44" ht="18.600000000000001" customHeight="1">
      <c r="A475" s="24">
        <f ca="1">RANK(I475,I$2:I$651)</f>
        <v>508</v>
      </c>
      <c r="B475" s="25" t="s">
        <v>605</v>
      </c>
      <c r="C475" s="26" t="s">
        <v>136</v>
      </c>
      <c r="D475" s="26" t="s">
        <v>75</v>
      </c>
      <c r="E475" s="45" t="s">
        <v>19</v>
      </c>
      <c r="F475" s="46">
        <f ca="1">VLOOKUP(B475,'C'!A1:I54,IF(Settings!$J$13="points",4,7),FALSE)</f>
        <v>33</v>
      </c>
      <c r="G475" s="29">
        <f>(M475*Settings!$B$2)+(N475*Settings!$B$3)+(O475*Settings!$B$4)+(P475*Settings!$B$5)+(Q475*Settings!$B$6)+(T475*Settings!$B$9)+(U475*Settings!$B$10)+(V475*Settings!$B$11)+(W475*Settings!$B$12)+(X475*Settings!$B$13)+(AA475*Settings!$B$16)</f>
        <v>197.68333333333328</v>
      </c>
      <c r="H475" s="30">
        <f>VLOOKUP(B475,'Standard Deviations'!$A1:$D651,4,FALSE)</f>
        <v>-3.9590247318252607</v>
      </c>
      <c r="I475" s="31">
        <f ca="1">VLOOKUP(B475,'C'!A1:I54,IF(Settings!$J$13="points",6,9),FALSE)</f>
        <v>-3.6419307745019229</v>
      </c>
      <c r="J475" s="30"/>
      <c r="K475" s="30">
        <f ca="1">J475-A475</f>
        <v>-508</v>
      </c>
      <c r="L475" s="30"/>
      <c r="M475" s="30">
        <f>VLOOKUP($B475,Hitters!$A1:$R401,4,FALSE)</f>
        <v>332.66666666666703</v>
      </c>
      <c r="N475" s="30">
        <f>VLOOKUP($B475,Hitters!$A1:$R401,5,FALSE)</f>
        <v>33.366666666666703</v>
      </c>
      <c r="O475" s="30">
        <f>VLOOKUP($B475,Hitters!$A1:$R401,6,FALSE)</f>
        <v>6.2333333333333298</v>
      </c>
      <c r="P475" s="30">
        <f>VLOOKUP($B475,Hitters!$A1:$R401,7,FALSE)</f>
        <v>36.266666666666701</v>
      </c>
      <c r="Q475" s="30">
        <f>VLOOKUP($B475,Hitters!$A1:$R401,8,FALSE)</f>
        <v>0.86666666666666703</v>
      </c>
      <c r="R475" s="32">
        <f>VLOOKUP($B475,Hitters!$A1:$R401,9,FALSE)</f>
        <v>0.23687374749498999</v>
      </c>
      <c r="S475" s="32">
        <f>VLOOKUP($B475,Hitters!$A1:$R401,10,FALSE)</f>
        <v>0.30223010001989498</v>
      </c>
      <c r="T475" s="30">
        <f>VLOOKUP($B475,Hitters!$A1:$R401,11,FALSE)</f>
        <v>78.8</v>
      </c>
      <c r="U475" s="30">
        <f>VLOOKUP($B475,Hitters!$A1:$R401,12,FALSE)</f>
        <v>14.633333333333301</v>
      </c>
      <c r="V475" s="30">
        <f>VLOOKUP($B475,Hitters!$A1:$R401,13,FALSE)</f>
        <v>0.56666666666666698</v>
      </c>
      <c r="W475" s="30">
        <f>VLOOKUP($B475,Hitters!$A1:$R401,14,FALSE)</f>
        <v>32.6</v>
      </c>
      <c r="X475" s="30">
        <f>VLOOKUP($B475,Hitters!$A1:$R401,15,FALSE)</f>
        <v>81.966666666666697</v>
      </c>
      <c r="Y475" s="32">
        <f>VLOOKUP($B475,Hitters!$A1:$R401,16,FALSE)</f>
        <v>0.34048096192384802</v>
      </c>
      <c r="Z475" s="32">
        <f>VLOOKUP($B475,Hitters!$A1:$R401,17,FALSE)</f>
        <v>0.64271106194374295</v>
      </c>
      <c r="AA475" s="30">
        <f>VLOOKUP($B475,Hitters!$A1:$R401,18,FALSE)</f>
        <v>0</v>
      </c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</row>
    <row r="476" spans="1:44" ht="20.100000000000001" customHeight="1">
      <c r="A476" s="24">
        <f ca="1">RANK(I476,I$2:I$651)</f>
        <v>601</v>
      </c>
      <c r="B476" s="25" t="s">
        <v>697</v>
      </c>
      <c r="C476" s="26" t="s">
        <v>122</v>
      </c>
      <c r="D476" s="26" t="s">
        <v>75</v>
      </c>
      <c r="E476" s="43" t="s">
        <v>114</v>
      </c>
      <c r="F476" s="44">
        <f ca="1">VLOOKUP(B476,'1B'!A1:I63,IF(Settings!$J$13="points",4,7),FALSE)</f>
        <v>46</v>
      </c>
      <c r="G476" s="29">
        <f>(M476*Settings!$B$2)+(N476*Settings!$B$3)+(O476*Settings!$B$4)+(P476*Settings!$B$5)+(Q476*Settings!$B$6)+(T476*Settings!$B$9)+(U476*Settings!$B$10)+(V476*Settings!$B$11)+(W476*Settings!$B$12)+(X476*Settings!$B$13)+(AA476*Settings!$B$16)</f>
        <v>195.9666666666667</v>
      </c>
      <c r="H476" s="30">
        <f>VLOOKUP(B476,'Standard Deviations'!$A1:$D651,4,FALSE)</f>
        <v>-2.8486068946244076</v>
      </c>
      <c r="I476" s="31">
        <f ca="1">VLOOKUP(B476,'1B'!A1:I63,IF(Settings!$J$13="points",6,9),FALSE)</f>
        <v>-5.4281339397251074</v>
      </c>
      <c r="J476" s="30"/>
      <c r="K476" s="30">
        <f ca="1">J476-A476</f>
        <v>-601</v>
      </c>
      <c r="L476" s="30"/>
      <c r="M476" s="30">
        <f>VLOOKUP($B476,Hitters!$A1:$R401,4,FALSE)</f>
        <v>264</v>
      </c>
      <c r="N476" s="30">
        <f>VLOOKUP($B476,Hitters!$A1:$R401,5,FALSE)</f>
        <v>36.1666666666667</v>
      </c>
      <c r="O476" s="30">
        <f>VLOOKUP($B476,Hitters!$A1:$R401,6,FALSE)</f>
        <v>11.9</v>
      </c>
      <c r="P476" s="30">
        <f>VLOOKUP($B476,Hitters!$A1:$R401,7,FALSE)</f>
        <v>34.6666666666667</v>
      </c>
      <c r="Q476" s="30">
        <f>VLOOKUP($B476,Hitters!$A1:$R401,8,FALSE)</f>
        <v>2.9666666666666699</v>
      </c>
      <c r="R476" s="32">
        <f>VLOOKUP($B476,Hitters!$A1:$R401,9,FALSE)</f>
        <v>0.23749999999999999</v>
      </c>
      <c r="S476" s="32">
        <f>VLOOKUP($B476,Hitters!$A1:$R401,10,FALSE)</f>
        <v>0.31763734915571801</v>
      </c>
      <c r="T476" s="30">
        <f>VLOOKUP($B476,Hitters!$A1:$R401,11,FALSE)</f>
        <v>62.7</v>
      </c>
      <c r="U476" s="30">
        <f>VLOOKUP($B476,Hitters!$A1:$R401,12,FALSE)</f>
        <v>8.43333333333333</v>
      </c>
      <c r="V476" s="30">
        <f>VLOOKUP($B476,Hitters!$A1:$R401,13,FALSE)</f>
        <v>0.266666666666667</v>
      </c>
      <c r="W476" s="30">
        <f>VLOOKUP($B476,Hitters!$A1:$R401,14,FALSE)</f>
        <v>32.233333333333299</v>
      </c>
      <c r="X476" s="30">
        <f>VLOOKUP($B476,Hitters!$A1:$R401,15,FALSE)</f>
        <v>82</v>
      </c>
      <c r="Y476" s="32">
        <f>VLOOKUP($B476,Hitters!$A1:$R401,16,FALSE)</f>
        <v>0.40669191919191899</v>
      </c>
      <c r="Z476" s="32">
        <f>VLOOKUP($B476,Hitters!$A1:$R401,17,FALSE)</f>
        <v>0.724329268347637</v>
      </c>
      <c r="AA476" s="30">
        <f>VLOOKUP($B476,Hitters!$A1:$R401,18,FALSE)</f>
        <v>0</v>
      </c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</row>
    <row r="477" spans="1:44" ht="18.600000000000001" customHeight="1">
      <c r="A477" s="24">
        <f ca="1">RANK(I477,I$2:I$651)</f>
        <v>365</v>
      </c>
      <c r="B477" s="25" t="s">
        <v>463</v>
      </c>
      <c r="C477" s="26" t="s">
        <v>219</v>
      </c>
      <c r="D477" s="26" t="s">
        <v>75</v>
      </c>
      <c r="E477" s="27" t="s">
        <v>23</v>
      </c>
      <c r="F477" s="28">
        <f ca="1">VLOOKUP(B477,OF!A1:I139,IF(Settings!$J$13="points",4,7),FALSE)</f>
        <v>102</v>
      </c>
      <c r="G477" s="29">
        <f>(M477*Settings!$B$2)+(N477*Settings!$B$3)+(O477*Settings!$B$4)+(P477*Settings!$B$5)+(Q477*Settings!$B$6)+(T477*Settings!$B$9)+(U477*Settings!$B$10)+(V477*Settings!$B$11)+(W477*Settings!$B$12)+(X477*Settings!$B$13)+(AA477*Settings!$B$16)</f>
        <v>194.93333333333328</v>
      </c>
      <c r="H477" s="30">
        <f>VLOOKUP(B477,'Standard Deviations'!$A1:$D651,4,FALSE)</f>
        <v>-1.8941832605763735</v>
      </c>
      <c r="I477" s="31">
        <f ca="1">VLOOKUP(B477,OF!A1:I139,IF(Settings!$J$13="points",6,9),FALSE)</f>
        <v>-2.0129026106859995</v>
      </c>
      <c r="J477" s="30"/>
      <c r="K477" s="30">
        <f ca="1">J477-A477</f>
        <v>-365</v>
      </c>
      <c r="L477" s="30"/>
      <c r="M477" s="30">
        <f>VLOOKUP($B477,Hitters!$A1:$R401,4,FALSE)</f>
        <v>239</v>
      </c>
      <c r="N477" s="30">
        <f>VLOOKUP($B477,Hitters!$A1:$R401,5,FALSE)</f>
        <v>36.8333333333333</v>
      </c>
      <c r="O477" s="30">
        <f>VLOOKUP($B477,Hitters!$A1:$R401,6,FALSE)</f>
        <v>7.4</v>
      </c>
      <c r="P477" s="30">
        <f>VLOOKUP($B477,Hitters!$A1:$R401,7,FALSE)</f>
        <v>26.6</v>
      </c>
      <c r="Q477" s="30">
        <f>VLOOKUP($B477,Hitters!$A1:$R401,8,FALSE)</f>
        <v>10.9333333333333</v>
      </c>
      <c r="R477" s="32">
        <f>VLOOKUP($B477,Hitters!$A1:$R401,9,FALSE)</f>
        <v>0.251046025104602</v>
      </c>
      <c r="S477" s="32">
        <f>VLOOKUP($B477,Hitters!$A1:$R401,10,FALSE)</f>
        <v>0.33416129308551601</v>
      </c>
      <c r="T477" s="30">
        <f>VLOOKUP($B477,Hitters!$A1:$R401,11,FALSE)</f>
        <v>60</v>
      </c>
      <c r="U477" s="30">
        <f>VLOOKUP($B477,Hitters!$A1:$R401,12,FALSE)</f>
        <v>10.5666666666667</v>
      </c>
      <c r="V477" s="30">
        <f>VLOOKUP($B477,Hitters!$A1:$R401,13,FALSE)</f>
        <v>1.43333333333333</v>
      </c>
      <c r="W477" s="30">
        <f>VLOOKUP($B477,Hitters!$A1:$R401,14,FALSE)</f>
        <v>31.033333333333299</v>
      </c>
      <c r="X477" s="30">
        <f>VLOOKUP($B477,Hitters!$A1:$R401,15,FALSE)</f>
        <v>72.866666666666703</v>
      </c>
      <c r="Y477" s="32">
        <f>VLOOKUP($B477,Hitters!$A1:$R401,16,FALSE)</f>
        <v>0.40013947001394701</v>
      </c>
      <c r="Z477" s="32">
        <f>VLOOKUP($B477,Hitters!$A1:$R401,17,FALSE)</f>
        <v>0.73430076309946302</v>
      </c>
      <c r="AA477" s="30">
        <f>VLOOKUP($B477,Hitters!$A1:$R401,18,FALSE)</f>
        <v>0</v>
      </c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</row>
    <row r="478" spans="1:44" ht="20.100000000000001" customHeight="1">
      <c r="A478" s="24">
        <f ca="1">RANK(I478,I$2:I$651)</f>
        <v>541</v>
      </c>
      <c r="B478" s="25" t="s">
        <v>637</v>
      </c>
      <c r="C478" s="26" t="s">
        <v>87</v>
      </c>
      <c r="D478" s="26" t="s">
        <v>70</v>
      </c>
      <c r="E478" s="33" t="s">
        <v>15</v>
      </c>
      <c r="F478" s="34">
        <f ca="1">VLOOKUP(B478,'3B'!A1:I55,IF(Settings!$J$13="points",4,7),FALSE)</f>
        <v>41</v>
      </c>
      <c r="G478" s="29">
        <f>(M478*Settings!$B$2)+(N478*Settings!$B$3)+(O478*Settings!$B$4)+(P478*Settings!$B$5)+(Q478*Settings!$B$6)+(T478*Settings!$B$9)+(U478*Settings!$B$10)+(V478*Settings!$B$11)+(W478*Settings!$B$12)+(X478*Settings!$B$13)+(AA478*Settings!$B$16)</f>
        <v>193.98333333333326</v>
      </c>
      <c r="H478" s="30">
        <f>VLOOKUP(B478,'Standard Deviations'!$A1:$D651,4,FALSE)</f>
        <v>-3.4043508146449701</v>
      </c>
      <c r="I478" s="31">
        <f ca="1">IF(Settings!$J$15="no",VLOOKUP(B478,'3B'!A1:I55,IF(Settings!$J$13="points",6,9),FALSE),VLOOKUP(B478,'1B+3B'!$A1:$I104,IF(Settings!$J$13="points",6,9),FALSE))</f>
        <v>-4.1320304935858454</v>
      </c>
      <c r="J478" s="30"/>
      <c r="K478" s="30">
        <f ca="1">J478-A478</f>
        <v>-541</v>
      </c>
      <c r="L478" s="30"/>
      <c r="M478" s="30">
        <f>VLOOKUP($B478,Hitters!$A1:$R401,4,FALSE)</f>
        <v>274.33333333333297</v>
      </c>
      <c r="N478" s="30">
        <f>VLOOKUP($B478,Hitters!$A1:$R401,5,FALSE)</f>
        <v>34.299999999999997</v>
      </c>
      <c r="O478" s="30">
        <f>VLOOKUP($B478,Hitters!$A1:$R401,6,FALSE)</f>
        <v>11.633333333333301</v>
      </c>
      <c r="P478" s="30">
        <f>VLOOKUP($B478,Hitters!$A1:$R401,7,FALSE)</f>
        <v>37.1</v>
      </c>
      <c r="Q478" s="30">
        <f>VLOOKUP($B478,Hitters!$A1:$R401,8,FALSE)</f>
        <v>3.6333333333333302</v>
      </c>
      <c r="R478" s="32">
        <f>VLOOKUP($B478,Hitters!$A1:$R401,9,FALSE)</f>
        <v>0.224179829890644</v>
      </c>
      <c r="S478" s="32">
        <f>VLOOKUP($B478,Hitters!$A1:$R401,10,FALSE)</f>
        <v>0.29835201197747702</v>
      </c>
      <c r="T478" s="30">
        <f>VLOOKUP($B478,Hitters!$A1:$R401,11,FALSE)</f>
        <v>61.5</v>
      </c>
      <c r="U478" s="30">
        <f>VLOOKUP($B478,Hitters!$A1:$R401,12,FALSE)</f>
        <v>9.3666666666666707</v>
      </c>
      <c r="V478" s="30">
        <f>VLOOKUP($B478,Hitters!$A1:$R401,13,FALSE)</f>
        <v>0.93333333333333302</v>
      </c>
      <c r="W478" s="30">
        <f>VLOOKUP($B478,Hitters!$A1:$R401,14,FALSE)</f>
        <v>30.1666666666667</v>
      </c>
      <c r="X478" s="30">
        <f>VLOOKUP($B478,Hitters!$A1:$R401,15,FALSE)</f>
        <v>88.8333333333333</v>
      </c>
      <c r="Y478" s="32">
        <f>VLOOKUP($B478,Hitters!$A1:$R401,16,FALSE)</f>
        <v>0.39234507897934401</v>
      </c>
      <c r="Z478" s="32">
        <f>VLOOKUP($B478,Hitters!$A1:$R401,17,FALSE)</f>
        <v>0.69069709095682097</v>
      </c>
      <c r="AA478" s="30">
        <f>VLOOKUP($B478,Hitters!$A1:$R401,18,FALSE)</f>
        <v>0</v>
      </c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</row>
    <row r="479" spans="1:44" ht="18.600000000000001" customHeight="1">
      <c r="A479" s="24">
        <f ca="1">RANK(I479,I$2:I$651)</f>
        <v>535</v>
      </c>
      <c r="B479" s="25" t="s">
        <v>632</v>
      </c>
      <c r="C479" s="26" t="s">
        <v>219</v>
      </c>
      <c r="D479" s="26" t="s">
        <v>75</v>
      </c>
      <c r="E479" s="33" t="s">
        <v>15</v>
      </c>
      <c r="F479" s="34">
        <f ca="1">VLOOKUP(B479,'3B'!A1:I55,IF(Settings!$J$13="points",4,7),FALSE)</f>
        <v>40</v>
      </c>
      <c r="G479" s="29">
        <f>(M479*Settings!$B$2)+(N479*Settings!$B$3)+(O479*Settings!$B$4)+(P479*Settings!$B$5)+(Q479*Settings!$B$6)+(T479*Settings!$B$9)+(U479*Settings!$B$10)+(V479*Settings!$B$11)+(W479*Settings!$B$12)+(X479*Settings!$B$13)+(AA479*Settings!$B$16)</f>
        <v>193.54999999999993</v>
      </c>
      <c r="H479" s="30">
        <f>VLOOKUP(B479,'Standard Deviations'!$A1:$D651,4,FALSE)</f>
        <v>-3.3395299936197627</v>
      </c>
      <c r="I479" s="31">
        <f ca="1">IF(Settings!$J$15="no",VLOOKUP(B479,'3B'!A1:I55,IF(Settings!$J$13="points",6,9),FALSE),VLOOKUP(B479,'1B+3B'!$A1:$I104,IF(Settings!$J$13="points",6,9),FALSE))</f>
        <v>-4.0672125447336978</v>
      </c>
      <c r="J479" s="30"/>
      <c r="K479" s="30">
        <f ca="1">J479-A479</f>
        <v>-535</v>
      </c>
      <c r="L479" s="30"/>
      <c r="M479" s="30">
        <f>VLOOKUP($B479,Hitters!$A1:$R401,4,FALSE)</f>
        <v>256.66666666666703</v>
      </c>
      <c r="N479" s="30">
        <f>VLOOKUP($B479,Hitters!$A1:$R401,5,FALSE)</f>
        <v>34.366666666666703</v>
      </c>
      <c r="O479" s="30">
        <f>VLOOKUP($B479,Hitters!$A1:$R401,6,FALSE)</f>
        <v>12.6</v>
      </c>
      <c r="P479" s="30">
        <f>VLOOKUP($B479,Hitters!$A1:$R401,7,FALSE)</f>
        <v>36.5</v>
      </c>
      <c r="Q479" s="30">
        <f>VLOOKUP($B479,Hitters!$A1:$R401,8,FALSE)</f>
        <v>1.2</v>
      </c>
      <c r="R479" s="32">
        <f>VLOOKUP($B479,Hitters!$A1:$R401,9,FALSE)</f>
        <v>0.23103896103896099</v>
      </c>
      <c r="S479" s="32">
        <f>VLOOKUP($B479,Hitters!$A1:$R401,10,FALSE)</f>
        <v>0.30441841586454799</v>
      </c>
      <c r="T479" s="30">
        <f>VLOOKUP($B479,Hitters!$A1:$R401,11,FALSE)</f>
        <v>59.3</v>
      </c>
      <c r="U479" s="30">
        <f>VLOOKUP($B479,Hitters!$A1:$R401,12,FALSE)</f>
        <v>11.3333333333333</v>
      </c>
      <c r="V479" s="30">
        <f>VLOOKUP($B479,Hitters!$A1:$R401,13,FALSE)</f>
        <v>1</v>
      </c>
      <c r="W479" s="30">
        <f>VLOOKUP($B479,Hitters!$A1:$R401,14,FALSE)</f>
        <v>28.2</v>
      </c>
      <c r="X479" s="30">
        <f>VLOOKUP($B479,Hitters!$A1:$R401,15,FALSE)</f>
        <v>86.566666666666706</v>
      </c>
      <c r="Y479" s="32">
        <f>VLOOKUP($B479,Hitters!$A1:$R401,16,FALSE)</f>
        <v>0.43025974025974001</v>
      </c>
      <c r="Z479" s="32">
        <f>VLOOKUP($B479,Hitters!$A1:$R401,17,FALSE)</f>
        <v>0.73467815612428899</v>
      </c>
      <c r="AA479" s="30">
        <f>VLOOKUP($B479,Hitters!$A1:$R401,18,FALSE)</f>
        <v>0</v>
      </c>
      <c r="AB479" s="30"/>
      <c r="AC479" s="30"/>
      <c r="AD479" s="32"/>
      <c r="AE479" s="32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</row>
    <row r="480" spans="1:44" ht="18.600000000000001" customHeight="1">
      <c r="A480" s="24">
        <f ca="1">RANK(I480,I$2:I$651)</f>
        <v>473</v>
      </c>
      <c r="B480" s="25" t="s">
        <v>570</v>
      </c>
      <c r="C480" s="26" t="s">
        <v>136</v>
      </c>
      <c r="D480" s="26" t="s">
        <v>75</v>
      </c>
      <c r="E480" s="27" t="s">
        <v>23</v>
      </c>
      <c r="F480" s="28">
        <f ca="1">VLOOKUP(B480,OF!A1:I139,IF(Settings!$J$13="points",4,7),FALSE)</f>
        <v>115</v>
      </c>
      <c r="G480" s="29">
        <f>(M480*Settings!$B$2)+(N480*Settings!$B$3)+(O480*Settings!$B$4)+(P480*Settings!$B$5)+(Q480*Settings!$B$6)+(T480*Settings!$B$9)+(U480*Settings!$B$10)+(V480*Settings!$B$11)+(W480*Settings!$B$12)+(X480*Settings!$B$13)+(AA480*Settings!$B$16)</f>
        <v>192.53333333333353</v>
      </c>
      <c r="H480" s="30">
        <f>VLOOKUP(B480,'Standard Deviations'!$A1:$D651,4,FALSE)</f>
        <v>-3.1591422877993125</v>
      </c>
      <c r="I480" s="31">
        <f ca="1">VLOOKUP(B480,OF!A1:I139,IF(Settings!$J$13="points",6,9),FALSE)</f>
        <v>-3.2778528309868138</v>
      </c>
      <c r="J480" s="30"/>
      <c r="K480" s="30">
        <f ca="1">J480-A480</f>
        <v>-473</v>
      </c>
      <c r="L480" s="30"/>
      <c r="M480" s="30">
        <f>VLOOKUP($B480,Hitters!$A1:$R401,4,FALSE)</f>
        <v>263</v>
      </c>
      <c r="N480" s="30">
        <f>VLOOKUP($B480,Hitters!$A1:$R401,5,FALSE)</f>
        <v>32.3333333333333</v>
      </c>
      <c r="O480" s="30">
        <f>VLOOKUP($B480,Hitters!$A1:$R401,6,FALSE)</f>
        <v>11.5666666666667</v>
      </c>
      <c r="P480" s="30">
        <f>VLOOKUP($B480,Hitters!$A1:$R401,7,FALSE)</f>
        <v>35.700000000000003</v>
      </c>
      <c r="Q480" s="30">
        <f>VLOOKUP($B480,Hitters!$A1:$R401,8,FALSE)</f>
        <v>1.56666666666667</v>
      </c>
      <c r="R480" s="32">
        <f>VLOOKUP($B480,Hitters!$A1:$R401,9,FALSE)</f>
        <v>0.23891001267427101</v>
      </c>
      <c r="S480" s="32">
        <f>VLOOKUP($B480,Hitters!$A1:$R401,10,FALSE)</f>
        <v>0.29681341670615702</v>
      </c>
      <c r="T480" s="30">
        <f>VLOOKUP($B480,Hitters!$A1:$R401,11,FALSE)</f>
        <v>62.8333333333333</v>
      </c>
      <c r="U480" s="30">
        <f>VLOOKUP($B480,Hitters!$A1:$R401,12,FALSE)</f>
        <v>10.966666666666701</v>
      </c>
      <c r="V480" s="30">
        <f>VLOOKUP($B480,Hitters!$A1:$R401,13,FALSE)</f>
        <v>2</v>
      </c>
      <c r="W480" s="30">
        <f>VLOOKUP($B480,Hitters!$A1:$R401,14,FALSE)</f>
        <v>22.766666666666701</v>
      </c>
      <c r="X480" s="30">
        <f>VLOOKUP($B480,Hitters!$A1:$R401,15,FALSE)</f>
        <v>76.866666666666703</v>
      </c>
      <c r="Y480" s="32">
        <f>VLOOKUP($B480,Hitters!$A1:$R401,16,FALSE)</f>
        <v>0.42775665399239499</v>
      </c>
      <c r="Z480" s="32">
        <f>VLOOKUP($B480,Hitters!$A1:$R401,17,FALSE)</f>
        <v>0.72457007069855295</v>
      </c>
      <c r="AA480" s="30">
        <f>VLOOKUP($B480,Hitters!$A1:$R401,18,FALSE)</f>
        <v>0</v>
      </c>
      <c r="AB480" s="30"/>
      <c r="AC480" s="30"/>
      <c r="AD480" s="32"/>
      <c r="AE480" s="32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</row>
    <row r="481" spans="1:44" ht="20.100000000000001" customHeight="1">
      <c r="A481" s="24">
        <f ca="1">RANK(I481,I$2:I$651)</f>
        <v>491</v>
      </c>
      <c r="B481" s="25" t="s">
        <v>591</v>
      </c>
      <c r="C481" s="26" t="s">
        <v>72</v>
      </c>
      <c r="D481" s="26" t="s">
        <v>70</v>
      </c>
      <c r="E481" s="35" t="s">
        <v>31</v>
      </c>
      <c r="F481" s="36">
        <f ca="1">VLOOKUP(B481,SP!A1:I161,IF(Settings!$J$13="points",4,7),FALSE)</f>
        <v>142</v>
      </c>
      <c r="G481" s="29">
        <f>(AC481*Settings!$F$2)+(AF481*Settings!$F$5)+(AG481*Settings!$F$6)+(AH481*Settings!$F$7)+(AI481*Settings!$F$8)+(AJ481*Settings!$F$9)+(AK481*Settings!$F$10)+(AL481*Settings!$F$11)+(AM481*Settings!$F$12)+(AN481*Settings!$F$13)+(AO481*Settings!$F$14)+(AP481*Settings!$F$15)+(AQ481*Settings!$F$16)+(AR481*Settings!$F$17)</f>
        <v>190.82466666666664</v>
      </c>
      <c r="H481" s="30">
        <f>VLOOKUP(B481,'Standard Deviations'!$A1:$D651,4,FALSE)</f>
        <v>-3.374852134751519</v>
      </c>
      <c r="I481" s="31">
        <f ca="1">IF(Settings!$J$16="no",VLOOKUP(B481,SP!A1:I161,IF(Settings!$J$13="points",6,9),FALSE),VLOOKUP(B481,'SP+RP'!$A1:$I251,IF(Settings!$J$13="points",6,9),FALSE))</f>
        <v>-3.5108322239329404</v>
      </c>
      <c r="J481" s="30"/>
      <c r="K481" s="30">
        <f ca="1">J481-A481</f>
        <v>-491</v>
      </c>
      <c r="L481" s="30"/>
      <c r="M481" s="30"/>
      <c r="N481" s="30"/>
      <c r="O481" s="30"/>
      <c r="P481" s="30"/>
      <c r="Q481" s="30"/>
      <c r="R481" s="32"/>
      <c r="S481" s="32"/>
      <c r="T481" s="30"/>
      <c r="U481" s="30"/>
      <c r="V481" s="30"/>
      <c r="W481" s="30"/>
      <c r="X481" s="30"/>
      <c r="Y481" s="32"/>
      <c r="Z481" s="32"/>
      <c r="AA481" s="30"/>
      <c r="AB481" s="30"/>
      <c r="AC481" s="30">
        <f>VLOOKUP($B481,Pitchers!$A1:$S251,4,FALSE)</f>
        <v>105.8</v>
      </c>
      <c r="AD481" s="32">
        <f>VLOOKUP($B481,Pitchers!$A1:$S251,5,FALSE)</f>
        <v>4.1278638941398862</v>
      </c>
      <c r="AE481" s="32">
        <f>VLOOKUP($B481,Pitchers!$A1:$S251,6,FALSE)</f>
        <v>1.3352236925015755</v>
      </c>
      <c r="AF481" s="30">
        <f>VLOOKUP($B481,Pitchers!$A1:$S251,7,FALSE)</f>
        <v>77.63333333333334</v>
      </c>
      <c r="AG481" s="30">
        <f>VLOOKUP($B481,Pitchers!$A1:$S251,8,FALSE)</f>
        <v>6.0333333333333341</v>
      </c>
      <c r="AH481" s="30">
        <f>VLOOKUP($B481,Pitchers!$A1:$S251,9,FALSE)</f>
        <v>0.33333333333333331</v>
      </c>
      <c r="AI481" s="30">
        <f>VLOOKUP($B481,Pitchers!$A1:$S251,10,FALSE)</f>
        <v>48.525333333333329</v>
      </c>
      <c r="AJ481" s="30">
        <f>VLOOKUP($B481,Pitchers!$A1:$S251,11,FALSE)</f>
        <v>107.66666666666667</v>
      </c>
      <c r="AK481" s="30">
        <f>VLOOKUP($B481,Pitchers!$A1:$S251,12,FALSE)</f>
        <v>33.6</v>
      </c>
      <c r="AL481" s="30">
        <f>VLOOKUP($B481,Pitchers!$A1:$S251,13,FALSE)</f>
        <v>15</v>
      </c>
      <c r="AM481" s="30">
        <f>VLOOKUP($B481,Pitchers!$A1:$S251,14,FALSE)</f>
        <v>37</v>
      </c>
      <c r="AN481" s="30">
        <f>VLOOKUP($B481,Pitchers!$A1:$S251,15,FALSE)</f>
        <v>13.233333333333334</v>
      </c>
      <c r="AO481" s="30">
        <f>VLOOKUP($B481,Pitchers!$A1:$S251,16,FALSE)</f>
        <v>5.833333333333333</v>
      </c>
      <c r="AP481" s="30">
        <f>VLOOKUP($B481,Pitchers!$A1:$S251,17,FALSE)</f>
        <v>3</v>
      </c>
      <c r="AQ481" s="30">
        <f>VLOOKUP($B481,Pitchers!$A1:$S251,18,FALSE)</f>
        <v>1</v>
      </c>
      <c r="AR481" s="30">
        <f>VLOOKUP($B481,Pitchers!$A1:$S251,19,FALSE)</f>
        <v>0</v>
      </c>
    </row>
    <row r="482" spans="1:44" ht="20.100000000000001" customHeight="1">
      <c r="A482" s="24">
        <f ca="1">RANK(I482,I$2:I$651)</f>
        <v>617</v>
      </c>
      <c r="B482" s="25" t="s">
        <v>713</v>
      </c>
      <c r="C482" s="26" t="s">
        <v>79</v>
      </c>
      <c r="D482" s="26" t="s">
        <v>70</v>
      </c>
      <c r="E482" s="37" t="s">
        <v>27</v>
      </c>
      <c r="F482" s="38">
        <f ca="1">VLOOKUP(B482,SS!A1:I45,IF(Settings!$J$13="points",4,7),FALSE)</f>
        <v>37</v>
      </c>
      <c r="G482" s="29">
        <f>(M482*Settings!$B$2)+(N482*Settings!$B$3)+(O482*Settings!$B$4)+(P482*Settings!$B$5)+(Q482*Settings!$B$6)+(T482*Settings!$B$9)+(U482*Settings!$B$10)+(V482*Settings!$B$11)+(W482*Settings!$B$12)+(X482*Settings!$B$13)+(AA482*Settings!$B$16)</f>
        <v>189.88333333333321</v>
      </c>
      <c r="H482" s="30">
        <f>VLOOKUP(B482,'Standard Deviations'!$A1:$D651,4,FALSE)</f>
        <v>-3.022089870124443</v>
      </c>
      <c r="I482" s="31">
        <f ca="1">IF(Settings!$J$16="no",VLOOKUP(B482,SS!A1:I45,IF(Settings!$J$13="points",6,9),FALSE),VLOOKUP(B482,'2B+SS'!$A1:$I94,IF(Settings!$J$13="points",6,9),FALSE))</f>
        <v>-6.0265175005711127</v>
      </c>
      <c r="J482" s="30"/>
      <c r="K482" s="30">
        <f ca="1">J482-A482</f>
        <v>-617</v>
      </c>
      <c r="L482" s="30"/>
      <c r="M482" s="30">
        <f>VLOOKUP($B482,Hitters!$A1:$R401,4,FALSE)</f>
        <v>275</v>
      </c>
      <c r="N482" s="30">
        <f>VLOOKUP($B482,Hitters!$A1:$R401,5,FALSE)</f>
        <v>34.200000000000003</v>
      </c>
      <c r="O482" s="30">
        <f>VLOOKUP($B482,Hitters!$A1:$R401,6,FALSE)</f>
        <v>7.3333333333333304</v>
      </c>
      <c r="P482" s="30">
        <f>VLOOKUP($B482,Hitters!$A1:$R401,7,FALSE)</f>
        <v>31.533333333333299</v>
      </c>
      <c r="Q482" s="30">
        <f>VLOOKUP($B482,Hitters!$A1:$R401,8,FALSE)</f>
        <v>4.2</v>
      </c>
      <c r="R482" s="32">
        <f>VLOOKUP($B482,Hitters!$A1:$R401,9,FALSE)</f>
        <v>0.24666666666666701</v>
      </c>
      <c r="S482" s="32">
        <f>VLOOKUP($B482,Hitters!$A1:$R401,10,FALSE)</f>
        <v>0.29014259144451299</v>
      </c>
      <c r="T482" s="30">
        <f>VLOOKUP($B482,Hitters!$A1:$R401,11,FALSE)</f>
        <v>67.8333333333333</v>
      </c>
      <c r="U482" s="30">
        <f>VLOOKUP($B482,Hitters!$A1:$R401,12,FALSE)</f>
        <v>11.633333333333301</v>
      </c>
      <c r="V482" s="30">
        <f>VLOOKUP($B482,Hitters!$A1:$R401,13,FALSE)</f>
        <v>0.56666666666666698</v>
      </c>
      <c r="W482" s="30">
        <f>VLOOKUP($B482,Hitters!$A1:$R401,14,FALSE)</f>
        <v>17.966666666666701</v>
      </c>
      <c r="X482" s="30">
        <f>VLOOKUP($B482,Hitters!$A1:$R401,15,FALSE)</f>
        <v>48.7</v>
      </c>
      <c r="Y482" s="32">
        <f>VLOOKUP($B482,Hitters!$A1:$R401,16,FALSE)</f>
        <v>0.37309090909090897</v>
      </c>
      <c r="Z482" s="32">
        <f>VLOOKUP($B482,Hitters!$A1:$R401,17,FALSE)</f>
        <v>0.66323350053542196</v>
      </c>
      <c r="AA482" s="30">
        <f>VLOOKUP($B482,Hitters!$A1:$R401,18,FALSE)</f>
        <v>0</v>
      </c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</row>
    <row r="483" spans="1:44" ht="18.600000000000001" customHeight="1">
      <c r="A483" s="24">
        <f ca="1">RANK(I483,I$2:I$651)</f>
        <v>521</v>
      </c>
      <c r="B483" s="25" t="s">
        <v>618</v>
      </c>
      <c r="C483" s="26" t="s">
        <v>92</v>
      </c>
      <c r="D483" s="26" t="s">
        <v>75</v>
      </c>
      <c r="E483" s="41" t="s">
        <v>34</v>
      </c>
      <c r="F483" s="42">
        <f ca="1">VLOOKUP(B483,RP!A1:I91,IF(Settings!$J$13="points",4,7),FALSE)</f>
        <v>84</v>
      </c>
      <c r="G483" s="29">
        <f>(AC483*Settings!$F$2)+(AF483*Settings!$F$5)+(AG483*Settings!$F$6)+(AH483*Settings!$F$7)+(AI483*Settings!$F$8)+(AJ483*Settings!$F$9)+(AK483*Settings!$F$10)+(AL483*Settings!$F$11)+(AM483*Settings!$F$12)+(AN483*Settings!$F$13)+(AO483*Settings!$F$14)+(AP483*Settings!$F$15)+(AQ483*Settings!$F$16)+(AR483*Settings!$F$17)</f>
        <v>188.76666666666665</v>
      </c>
      <c r="H483" s="30">
        <f>VLOOKUP(B483,'Standard Deviations'!$A1:$D651,4,FALSE)</f>
        <v>-2.2330945475931738</v>
      </c>
      <c r="I483" s="31">
        <f ca="1">IF(Settings!$J$16="no",VLOOKUP(B483,RP!A1:I91,IF(Settings!$J$13="points",6,9),FALSE),VLOOKUP(B483,'SP+RP'!$A1:$I251,IF(Settings!$J$13="points",6,9),FALSE))</f>
        <v>-3.8041648634729333</v>
      </c>
      <c r="J483" s="30"/>
      <c r="K483" s="30">
        <f ca="1">J483-A483</f>
        <v>-521</v>
      </c>
      <c r="L483" s="30"/>
      <c r="M483" s="30"/>
      <c r="N483" s="30"/>
      <c r="O483" s="30"/>
      <c r="P483" s="30"/>
      <c r="Q483" s="30"/>
      <c r="R483" s="32"/>
      <c r="S483" s="32"/>
      <c r="T483" s="30"/>
      <c r="U483" s="30"/>
      <c r="V483" s="30"/>
      <c r="W483" s="30"/>
      <c r="X483" s="30"/>
      <c r="Y483" s="32"/>
      <c r="Z483" s="32"/>
      <c r="AA483" s="30"/>
      <c r="AB483" s="30"/>
      <c r="AC483" s="30">
        <f>VLOOKUP($B483,Pitchers!$A1:$S251,4,FALSE)</f>
        <v>61.966666666666661</v>
      </c>
      <c r="AD483" s="32">
        <f>VLOOKUP($B483,Pitchers!$A1:$S251,5,FALSE)</f>
        <v>3.5777299623453476</v>
      </c>
      <c r="AE483" s="32">
        <f>VLOOKUP($B483,Pitchers!$A1:$S251,6,FALSE)</f>
        <v>1.3566433566433569</v>
      </c>
      <c r="AF483" s="30">
        <f>VLOOKUP($B483,Pitchers!$A1:$S251,7,FALSE)</f>
        <v>68.600000000000009</v>
      </c>
      <c r="AG483" s="30">
        <f>VLOOKUP($B483,Pitchers!$A1:$S251,8,FALSE)</f>
        <v>2.8000000000000003</v>
      </c>
      <c r="AH483" s="30">
        <f>VLOOKUP($B483,Pitchers!$A1:$S251,9,FALSE)</f>
        <v>11.333333333333334</v>
      </c>
      <c r="AI483" s="30">
        <f>VLOOKUP($B483,Pitchers!$A1:$S251,10,FALSE)</f>
        <v>24.633333333333336</v>
      </c>
      <c r="AJ483" s="30">
        <f>VLOOKUP($B483,Pitchers!$A1:$S251,11,FALSE)</f>
        <v>51.266666666666673</v>
      </c>
      <c r="AK483" s="30">
        <f>VLOOKUP($B483,Pitchers!$A1:$S251,12,FALSE)</f>
        <v>32.800000000000004</v>
      </c>
      <c r="AL483" s="30">
        <f>VLOOKUP($B483,Pitchers!$A1:$S251,13,FALSE)</f>
        <v>7</v>
      </c>
      <c r="AM483" s="30">
        <f>VLOOKUP($B483,Pitchers!$A1:$S251,14,FALSE)</f>
        <v>62.6</v>
      </c>
      <c r="AN483" s="30">
        <f>VLOOKUP($B483,Pitchers!$A1:$S251,15,FALSE)</f>
        <v>0</v>
      </c>
      <c r="AO483" s="30">
        <f>VLOOKUP($B483,Pitchers!$A1:$S251,16,FALSE)</f>
        <v>4.333333333333333</v>
      </c>
      <c r="AP483" s="30">
        <f>VLOOKUP($B483,Pitchers!$A1:$S251,17,FALSE)</f>
        <v>0</v>
      </c>
      <c r="AQ483" s="30">
        <f>VLOOKUP($B483,Pitchers!$A1:$S251,18,FALSE)</f>
        <v>15.5</v>
      </c>
      <c r="AR483" s="30">
        <f>VLOOKUP($B483,Pitchers!$A1:$S251,19,FALSE)</f>
        <v>3</v>
      </c>
    </row>
    <row r="484" spans="1:44" ht="20.100000000000001" customHeight="1">
      <c r="A484" s="24">
        <f ca="1">RANK(I484,I$2:I$651)</f>
        <v>358</v>
      </c>
      <c r="B484" s="25" t="s">
        <v>458</v>
      </c>
      <c r="C484" s="26" t="s">
        <v>260</v>
      </c>
      <c r="D484" s="26" t="s">
        <v>70</v>
      </c>
      <c r="E484" s="35" t="s">
        <v>31</v>
      </c>
      <c r="F484" s="36">
        <f ca="1">VLOOKUP(B484,SP!A1:I161,IF(Settings!$J$13="points",4,7),FALSE)</f>
        <v>107</v>
      </c>
      <c r="G484" s="29">
        <f>(AC484*Settings!$F$2)+(AF484*Settings!$F$5)+(AG484*Settings!$F$6)+(AH484*Settings!$F$7)+(AI484*Settings!$F$8)+(AJ484*Settings!$F$9)+(AK484*Settings!$F$10)+(AL484*Settings!$F$11)+(AM484*Settings!$F$12)+(AN484*Settings!$F$13)+(AO484*Settings!$F$14)+(AP484*Settings!$F$15)+(AQ484*Settings!$F$16)+(AR484*Settings!$F$17)</f>
        <v>188.11666666666667</v>
      </c>
      <c r="H484" s="30">
        <f>VLOOKUP(B484,'Standard Deviations'!$A1:$D651,4,FALSE)</f>
        <v>-1.8256833774966192</v>
      </c>
      <c r="I484" s="31">
        <f ca="1">IF(Settings!$J$16="no",VLOOKUP(B484,SP!A1:I161,IF(Settings!$J$13="points",6,9),FALSE),VLOOKUP(B484,'SP+RP'!$A1:$I251,IF(Settings!$J$13="points",6,9),FALSE))</f>
        <v>-1.9616679500416674</v>
      </c>
      <c r="J484" s="30"/>
      <c r="K484" s="30">
        <f ca="1">J484-A484</f>
        <v>-358</v>
      </c>
      <c r="L484" s="30"/>
      <c r="M484" s="30"/>
      <c r="N484" s="30"/>
      <c r="O484" s="30"/>
      <c r="P484" s="30"/>
      <c r="Q484" s="30"/>
      <c r="R484" s="32"/>
      <c r="S484" s="32"/>
      <c r="T484" s="30"/>
      <c r="U484" s="30"/>
      <c r="V484" s="30"/>
      <c r="W484" s="30"/>
      <c r="X484" s="30"/>
      <c r="Y484" s="32"/>
      <c r="Z484" s="32"/>
      <c r="AA484" s="30"/>
      <c r="AB484" s="30"/>
      <c r="AC484" s="30">
        <f>VLOOKUP($B484,Pitchers!$A1:$S251,4,FALSE)</f>
        <v>89.433333333333337</v>
      </c>
      <c r="AD484" s="32">
        <f>VLOOKUP($B484,Pitchers!$A1:$S251,5,FALSE)</f>
        <v>3.9549012299664557</v>
      </c>
      <c r="AE484" s="32">
        <f>VLOOKUP($B484,Pitchers!$A1:$S251,6,FALSE)</f>
        <v>1.2087215803205367</v>
      </c>
      <c r="AF484" s="30">
        <f>VLOOKUP($B484,Pitchers!$A1:$S251,7,FALSE)</f>
        <v>92.033333333333346</v>
      </c>
      <c r="AG484" s="30">
        <f>VLOOKUP($B484,Pitchers!$A1:$S251,8,FALSE)</f>
        <v>4.9333333333333336</v>
      </c>
      <c r="AH484" s="30">
        <f>VLOOKUP($B484,Pitchers!$A1:$S251,9,FALSE)</f>
        <v>0</v>
      </c>
      <c r="AI484" s="30">
        <f>VLOOKUP($B484,Pitchers!$A1:$S251,10,FALSE)</f>
        <v>39.300000000000004</v>
      </c>
      <c r="AJ484" s="30">
        <f>VLOOKUP($B484,Pitchers!$A1:$S251,11,FALSE)</f>
        <v>81.466666666666669</v>
      </c>
      <c r="AK484" s="30">
        <f>VLOOKUP($B484,Pitchers!$A1:$S251,12,FALSE)</f>
        <v>26.633333333333336</v>
      </c>
      <c r="AL484" s="30">
        <f>VLOOKUP($B484,Pitchers!$A1:$S251,13,FALSE)</f>
        <v>9</v>
      </c>
      <c r="AM484" s="30">
        <f>VLOOKUP($B484,Pitchers!$A1:$S251,14,FALSE)</f>
        <v>16.433333333333334</v>
      </c>
      <c r="AN484" s="30">
        <f>VLOOKUP($B484,Pitchers!$A1:$S251,15,FALSE)</f>
        <v>16.099999999999998</v>
      </c>
      <c r="AO484" s="30">
        <f>VLOOKUP($B484,Pitchers!$A1:$S251,16,FALSE)</f>
        <v>6.2666666666666666</v>
      </c>
      <c r="AP484" s="30">
        <f>VLOOKUP($B484,Pitchers!$A1:$S251,17,FALSE)</f>
        <v>6</v>
      </c>
      <c r="AQ484" s="30">
        <f>VLOOKUP($B484,Pitchers!$A1:$S251,18,FALSE)</f>
        <v>0</v>
      </c>
      <c r="AR484" s="30">
        <f>VLOOKUP($B484,Pitchers!$A1:$S251,19,FALSE)</f>
        <v>0</v>
      </c>
    </row>
    <row r="485" spans="1:44" ht="20.100000000000001" customHeight="1">
      <c r="A485" s="24">
        <f ca="1">RANK(I485,I$2:I$651)</f>
        <v>603</v>
      </c>
      <c r="B485" s="25" t="s">
        <v>699</v>
      </c>
      <c r="C485" s="26" t="s">
        <v>160</v>
      </c>
      <c r="D485" s="26" t="s">
        <v>75</v>
      </c>
      <c r="E485" s="39" t="s">
        <v>7</v>
      </c>
      <c r="F485" s="40">
        <f ca="1">VLOOKUP(B485,'1B'!A1:I63,IF(Settings!$J$13="points",4,7),FALSE)</f>
        <v>48</v>
      </c>
      <c r="G485" s="29">
        <f>(M485*Settings!$B$2)+(N485*Settings!$B$3)+(O485*Settings!$B$4)+(P485*Settings!$B$5)+(Q485*Settings!$B$6)+(T485*Settings!$B$9)+(U485*Settings!$B$10)+(V485*Settings!$B$11)+(W485*Settings!$B$12)+(X485*Settings!$B$13)+(AA485*Settings!$B$16)</f>
        <v>187.28333333333313</v>
      </c>
      <c r="H485" s="30">
        <f>VLOOKUP(B485,'Standard Deviations'!$A1:$D651,4,FALSE)</f>
        <v>-2.9096412200500095</v>
      </c>
      <c r="I485" s="31">
        <f ca="1">IF(Settings!$J$15="no",VLOOKUP(B485,'1B'!A1:I63,IF(Settings!$J$13="points",6,9),FALSE),VLOOKUP(B485,'1B+3B'!$A1:$I104,IF(Settings!$J$13="points",6,9),FALSE))</f>
        <v>-5.4891669878978622</v>
      </c>
      <c r="J485" s="30"/>
      <c r="K485" s="30">
        <f ca="1">J485-A485</f>
        <v>-603</v>
      </c>
      <c r="L485" s="30"/>
      <c r="M485" s="30">
        <f>VLOOKUP($B485,Hitters!$A1:$R401,4,FALSE)</f>
        <v>243.666666666667</v>
      </c>
      <c r="N485" s="30">
        <f>VLOOKUP($B485,Hitters!$A1:$R401,5,FALSE)</f>
        <v>32</v>
      </c>
      <c r="O485" s="30">
        <f>VLOOKUP($B485,Hitters!$A1:$R401,6,FALSE)</f>
        <v>10.633333333333301</v>
      </c>
      <c r="P485" s="30">
        <f>VLOOKUP($B485,Hitters!$A1:$R401,7,FALSE)</f>
        <v>34.200000000000003</v>
      </c>
      <c r="Q485" s="30">
        <f>VLOOKUP($B485,Hitters!$A1:$R401,8,FALSE)</f>
        <v>0.9</v>
      </c>
      <c r="R485" s="32">
        <f>VLOOKUP($B485,Hitters!$A1:$R401,9,FALSE)</f>
        <v>0.25020519835841298</v>
      </c>
      <c r="S485" s="32">
        <f>VLOOKUP($B485,Hitters!$A1:$R401,10,FALSE)</f>
        <v>0.30348252467363102</v>
      </c>
      <c r="T485" s="30">
        <f>VLOOKUP($B485,Hitters!$A1:$R401,11,FALSE)</f>
        <v>60.966666666666697</v>
      </c>
      <c r="U485" s="30">
        <f>VLOOKUP($B485,Hitters!$A1:$R401,12,FALSE)</f>
        <v>11.533333333333299</v>
      </c>
      <c r="V485" s="30">
        <f>VLOOKUP($B485,Hitters!$A1:$R401,13,FALSE)</f>
        <v>0.83333333333333304</v>
      </c>
      <c r="W485" s="30">
        <f>VLOOKUP($B485,Hitters!$A1:$R401,14,FALSE)</f>
        <v>19.7</v>
      </c>
      <c r="X485" s="30">
        <f>VLOOKUP($B485,Hitters!$A1:$R401,15,FALSE)</f>
        <v>58.966666666666697</v>
      </c>
      <c r="Y485" s="32">
        <f>VLOOKUP($B485,Hitters!$A1:$R401,16,FALSE)</f>
        <v>0.435294117647059</v>
      </c>
      <c r="Z485" s="32">
        <f>VLOOKUP($B485,Hitters!$A1:$R401,17,FALSE)</f>
        <v>0.73877664232068996</v>
      </c>
      <c r="AA485" s="30">
        <f>VLOOKUP($B485,Hitters!$A1:$R401,18,FALSE)</f>
        <v>0</v>
      </c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</row>
    <row r="486" spans="1:44" ht="20.100000000000001" customHeight="1">
      <c r="A486" s="24">
        <f ca="1">RANK(I486,I$2:I$651)</f>
        <v>633</v>
      </c>
      <c r="B486" s="25" t="s">
        <v>729</v>
      </c>
      <c r="C486" s="26" t="s">
        <v>95</v>
      </c>
      <c r="D486" s="26" t="s">
        <v>70</v>
      </c>
      <c r="E486" s="39" t="s">
        <v>7</v>
      </c>
      <c r="F486" s="40">
        <f ca="1">VLOOKUP(B486,'1B'!A1:I63,IF(Settings!$J$13="points",4,7),FALSE)</f>
        <v>57</v>
      </c>
      <c r="G486" s="29">
        <f>(M486*Settings!$B$2)+(N486*Settings!$B$3)+(O486*Settings!$B$4)+(P486*Settings!$B$5)+(Q486*Settings!$B$6)+(T486*Settings!$B$9)+(U486*Settings!$B$10)+(V486*Settings!$B$11)+(W486*Settings!$B$12)+(X486*Settings!$B$13)+(AA486*Settings!$B$16)</f>
        <v>186.90000000000006</v>
      </c>
      <c r="H486" s="30">
        <f>VLOOKUP(B486,'Standard Deviations'!$A1:$D651,4,FALSE)</f>
        <v>-4.3337583080501272</v>
      </c>
      <c r="I486" s="31">
        <f ca="1">IF(Settings!$J$15="no",VLOOKUP(B486,'1B'!A1:I63,IF(Settings!$J$13="points",6,9),FALSE),VLOOKUP(B486,'1B+3B'!$A1:$I104,IF(Settings!$J$13="points",6,9),FALSE))</f>
        <v>-6.9132902395267548</v>
      </c>
      <c r="J486" s="30"/>
      <c r="K486" s="30">
        <f ca="1">J486-A486</f>
        <v>-633</v>
      </c>
      <c r="L486" s="30"/>
      <c r="M486" s="30">
        <f>VLOOKUP($B486,Hitters!$A1:$R401,4,FALSE)</f>
        <v>245.666666666667</v>
      </c>
      <c r="N486" s="30">
        <f>VLOOKUP($B486,Hitters!$A1:$R401,5,FALSE)</f>
        <v>36.366666666666703</v>
      </c>
      <c r="O486" s="30">
        <f>VLOOKUP($B486,Hitters!$A1:$R401,6,FALSE)</f>
        <v>7.4</v>
      </c>
      <c r="P486" s="30">
        <f>VLOOKUP($B486,Hitters!$A1:$R401,7,FALSE)</f>
        <v>28.3</v>
      </c>
      <c r="Q486" s="30">
        <f>VLOOKUP($B486,Hitters!$A1:$R401,8,FALSE)</f>
        <v>3.4666666666666699</v>
      </c>
      <c r="R486" s="32">
        <f>VLOOKUP($B486,Hitters!$A1:$R401,9,FALSE)</f>
        <v>0.222930800542741</v>
      </c>
      <c r="S486" s="32">
        <f>VLOOKUP($B486,Hitters!$A1:$R401,10,FALSE)</f>
        <v>0.323825288213832</v>
      </c>
      <c r="T486" s="30">
        <f>VLOOKUP($B486,Hitters!$A1:$R401,11,FALSE)</f>
        <v>54.766666666666701</v>
      </c>
      <c r="U486" s="30">
        <f>VLOOKUP($B486,Hitters!$A1:$R401,12,FALSE)</f>
        <v>14.0666666666667</v>
      </c>
      <c r="V486" s="30">
        <f>VLOOKUP($B486,Hitters!$A1:$R401,13,FALSE)</f>
        <v>0.86666666666666703</v>
      </c>
      <c r="W486" s="30">
        <f>VLOOKUP($B486,Hitters!$A1:$R401,14,FALSE)</f>
        <v>37.8333333333333</v>
      </c>
      <c r="X486" s="30">
        <f>VLOOKUP($B486,Hitters!$A1:$R401,15,FALSE)</f>
        <v>75.266666666666694</v>
      </c>
      <c r="Y486" s="32">
        <f>VLOOKUP($B486,Hitters!$A1:$R401,16,FALSE)</f>
        <v>0.37761194029850798</v>
      </c>
      <c r="Z486" s="32">
        <f>VLOOKUP($B486,Hitters!$A1:$R401,17,FALSE)</f>
        <v>0.70143722851234003</v>
      </c>
      <c r="AA486" s="30">
        <f>VLOOKUP($B486,Hitters!$A1:$R401,18,FALSE)</f>
        <v>0</v>
      </c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</row>
    <row r="487" spans="1:44" ht="18.600000000000001" customHeight="1">
      <c r="A487" s="24">
        <f ca="1">RANK(I487,I$2:I$651)</f>
        <v>323</v>
      </c>
      <c r="B487" s="25" t="s">
        <v>420</v>
      </c>
      <c r="C487" s="26" t="s">
        <v>82</v>
      </c>
      <c r="D487" s="26" t="s">
        <v>75</v>
      </c>
      <c r="E487" s="41" t="s">
        <v>34</v>
      </c>
      <c r="F487" s="42">
        <f ca="1">VLOOKUP(B487,RP!A1:I91,IF(Settings!$J$13="points",4,7),FALSE)</f>
        <v>28</v>
      </c>
      <c r="G487" s="29">
        <f>(AC487*Settings!$F$2)+(AF487*Settings!$F$5)+(AG487*Settings!$F$6)+(AH487*Settings!$F$7)+(AI487*Settings!$F$8)+(AJ487*Settings!$F$9)+(AK487*Settings!$F$10)+(AL487*Settings!$F$11)+(AM487*Settings!$F$12)+(AN487*Settings!$F$13)+(AO487*Settings!$F$14)+(AP487*Settings!$F$15)+(AQ487*Settings!$F$16)+(AR487*Settings!$F$17)</f>
        <v>186.45000000000002</v>
      </c>
      <c r="H487" s="30">
        <f>VLOOKUP(B487,'Standard Deviations'!$A1:$D651,4,FALSE)</f>
        <v>7.9594356920478559E-2</v>
      </c>
      <c r="I487" s="31">
        <f ca="1">IF(Settings!$J$16="no",VLOOKUP(B487,RP!A1:I91,IF(Settings!$J$13="points",6,9),FALSE),VLOOKUP(B487,'SP+RP'!$A1:$I251,IF(Settings!$J$13="points",6,9),FALSE))</f>
        <v>-1.4914698613229527</v>
      </c>
      <c r="J487" s="30"/>
      <c r="K487" s="30">
        <f ca="1">J487-A487</f>
        <v>-323</v>
      </c>
      <c r="L487" s="30"/>
      <c r="M487" s="30"/>
      <c r="N487" s="30"/>
      <c r="O487" s="30"/>
      <c r="P487" s="30"/>
      <c r="Q487" s="30"/>
      <c r="R487" s="32"/>
      <c r="S487" s="32"/>
      <c r="T487" s="30"/>
      <c r="U487" s="30"/>
      <c r="V487" s="30"/>
      <c r="W487" s="30"/>
      <c r="X487" s="30"/>
      <c r="Y487" s="32"/>
      <c r="Z487" s="32"/>
      <c r="AA487" s="30"/>
      <c r="AB487" s="30"/>
      <c r="AC487" s="30">
        <f>VLOOKUP($B487,Pitchers!$A1:$S251,4,FALSE)</f>
        <v>49.9</v>
      </c>
      <c r="AD487" s="32">
        <f>VLOOKUP($B487,Pitchers!$A1:$S251,5,FALSE)</f>
        <v>3.529058116232465</v>
      </c>
      <c r="AE487" s="32">
        <f>VLOOKUP($B487,Pitchers!$A1:$S251,6,FALSE)</f>
        <v>1.1269205076820308</v>
      </c>
      <c r="AF487" s="30">
        <f>VLOOKUP($B487,Pitchers!$A1:$S251,7,FALSE)</f>
        <v>61.5</v>
      </c>
      <c r="AG487" s="30">
        <f>VLOOKUP($B487,Pitchers!$A1:$S251,8,FALSE)</f>
        <v>3.4</v>
      </c>
      <c r="AH487" s="30">
        <f>VLOOKUP($B487,Pitchers!$A1:$S251,9,FALSE)</f>
        <v>10.333333333333334</v>
      </c>
      <c r="AI487" s="30">
        <f>VLOOKUP($B487,Pitchers!$A1:$S251,10,FALSE)</f>
        <v>19.566666666666666</v>
      </c>
      <c r="AJ487" s="30">
        <f>VLOOKUP($B487,Pitchers!$A1:$S251,11,FALSE)</f>
        <v>40</v>
      </c>
      <c r="AK487" s="30">
        <f>VLOOKUP($B487,Pitchers!$A1:$S251,12,FALSE)</f>
        <v>16.233333333333334</v>
      </c>
      <c r="AL487" s="30">
        <f>VLOOKUP($B487,Pitchers!$A1:$S251,13,FALSE)</f>
        <v>8</v>
      </c>
      <c r="AM487" s="30">
        <f>VLOOKUP($B487,Pitchers!$A1:$S251,14,FALSE)</f>
        <v>52.933333333333337</v>
      </c>
      <c r="AN487" s="30">
        <f>VLOOKUP($B487,Pitchers!$A1:$S251,15,FALSE)</f>
        <v>0</v>
      </c>
      <c r="AO487" s="30">
        <f>VLOOKUP($B487,Pitchers!$A1:$S251,16,FALSE)</f>
        <v>2.8666666666666667</v>
      </c>
      <c r="AP487" s="30">
        <f>VLOOKUP($B487,Pitchers!$A1:$S251,17,FALSE)</f>
        <v>0</v>
      </c>
      <c r="AQ487" s="30">
        <f>VLOOKUP($B487,Pitchers!$A1:$S251,18,FALSE)</f>
        <v>12.5</v>
      </c>
      <c r="AR487" s="30">
        <f>VLOOKUP($B487,Pitchers!$A1:$S251,19,FALSE)</f>
        <v>2</v>
      </c>
    </row>
    <row r="488" spans="1:44" ht="18.600000000000001" customHeight="1">
      <c r="A488" s="24">
        <f ca="1">RANK(I488,I$2:I$651)</f>
        <v>433</v>
      </c>
      <c r="B488" s="25" t="s">
        <v>530</v>
      </c>
      <c r="C488" s="26" t="s">
        <v>79</v>
      </c>
      <c r="D488" s="26" t="s">
        <v>70</v>
      </c>
      <c r="E488" s="41" t="s">
        <v>34</v>
      </c>
      <c r="F488" s="42">
        <f ca="1">VLOOKUP(B488,RP!A1:I91,IF(Settings!$J$13="points",4,7),FALSE)</f>
        <v>52</v>
      </c>
      <c r="G488" s="29">
        <f>(AC488*Settings!$F$2)+(AF488*Settings!$F$5)+(AG488*Settings!$F$6)+(AH488*Settings!$F$7)+(AI488*Settings!$F$8)+(AJ488*Settings!$F$9)+(AK488*Settings!$F$10)+(AL488*Settings!$F$11)+(AM488*Settings!$F$12)+(AN488*Settings!$F$13)+(AO488*Settings!$F$14)+(AP488*Settings!$F$15)+(AQ488*Settings!$F$16)+(AR488*Settings!$F$17)</f>
        <v>185.59999999999997</v>
      </c>
      <c r="H488" s="30">
        <f>VLOOKUP(B488,'Standard Deviations'!$A1:$D651,4,FALSE)</f>
        <v>-1.2404063137033476</v>
      </c>
      <c r="I488" s="31">
        <f ca="1">IF(Settings!$J$16="no",VLOOKUP(B488,RP!A1:I91,IF(Settings!$J$13="points",6,9),FALSE),VLOOKUP(B488,'SP+RP'!$A1:$I251,IF(Settings!$J$13="points",6,9),FALSE))</f>
        <v>-2.8114757026599744</v>
      </c>
      <c r="J488" s="30"/>
      <c r="K488" s="30">
        <f ca="1">J488-A488</f>
        <v>-433</v>
      </c>
      <c r="L488" s="30"/>
      <c r="M488" s="30"/>
      <c r="N488" s="30"/>
      <c r="O488" s="30"/>
      <c r="P488" s="30"/>
      <c r="Q488" s="30"/>
      <c r="R488" s="32"/>
      <c r="S488" s="32"/>
      <c r="T488" s="30"/>
      <c r="U488" s="30"/>
      <c r="V488" s="30"/>
      <c r="W488" s="30"/>
      <c r="X488" s="30"/>
      <c r="Y488" s="32"/>
      <c r="Z488" s="32"/>
      <c r="AA488" s="30"/>
      <c r="AB488" s="30"/>
      <c r="AC488" s="30">
        <f>VLOOKUP($B488,Pitchers!$A1:$S251,4,FALSE)</f>
        <v>62.366666666666667</v>
      </c>
      <c r="AD488" s="32">
        <f>VLOOKUP($B488,Pitchers!$A1:$S251,5,FALSE)</f>
        <v>3.636557990379476</v>
      </c>
      <c r="AE488" s="32">
        <f>VLOOKUP($B488,Pitchers!$A1:$S251,6,FALSE)</f>
        <v>1.2169962586851952</v>
      </c>
      <c r="AF488" s="30">
        <f>VLOOKUP($B488,Pitchers!$A1:$S251,7,FALSE)</f>
        <v>63.666666666666664</v>
      </c>
      <c r="AG488" s="30">
        <f>VLOOKUP($B488,Pitchers!$A1:$S251,8,FALSE)</f>
        <v>3.4666666666666668</v>
      </c>
      <c r="AH488" s="30">
        <f>VLOOKUP($B488,Pitchers!$A1:$S251,9,FALSE)</f>
        <v>8.3333333333333339</v>
      </c>
      <c r="AI488" s="30">
        <f>VLOOKUP($B488,Pitchers!$A1:$S251,10,FALSE)</f>
        <v>25.2</v>
      </c>
      <c r="AJ488" s="30">
        <f>VLOOKUP($B488,Pitchers!$A1:$S251,11,FALSE)</f>
        <v>54.9</v>
      </c>
      <c r="AK488" s="30">
        <f>VLOOKUP($B488,Pitchers!$A1:$S251,12,FALSE)</f>
        <v>21</v>
      </c>
      <c r="AL488" s="30">
        <f>VLOOKUP($B488,Pitchers!$A1:$S251,13,FALSE)</f>
        <v>7</v>
      </c>
      <c r="AM488" s="30">
        <f>VLOOKUP($B488,Pitchers!$A1:$S251,14,FALSE)</f>
        <v>61.266666666666673</v>
      </c>
      <c r="AN488" s="30">
        <f>VLOOKUP($B488,Pitchers!$A1:$S251,15,FALSE)</f>
        <v>0</v>
      </c>
      <c r="AO488" s="30">
        <f>VLOOKUP($B488,Pitchers!$A1:$S251,16,FALSE)</f>
        <v>2.9666666666666668</v>
      </c>
      <c r="AP488" s="30">
        <f>VLOOKUP($B488,Pitchers!$A1:$S251,17,FALSE)</f>
        <v>0</v>
      </c>
      <c r="AQ488" s="30">
        <f>VLOOKUP($B488,Pitchers!$A1:$S251,18,FALSE)</f>
        <v>16</v>
      </c>
      <c r="AR488" s="30">
        <f>VLOOKUP($B488,Pitchers!$A1:$S251,19,FALSE)</f>
        <v>3</v>
      </c>
    </row>
    <row r="489" spans="1:44" ht="20.100000000000001" customHeight="1">
      <c r="A489" s="24">
        <f ca="1">RANK(I489,I$2:I$651)</f>
        <v>397</v>
      </c>
      <c r="B489" s="25" t="s">
        <v>493</v>
      </c>
      <c r="C489" s="26" t="s">
        <v>77</v>
      </c>
      <c r="D489" s="26" t="s">
        <v>70</v>
      </c>
      <c r="E489" s="27" t="s">
        <v>23</v>
      </c>
      <c r="F489" s="28">
        <f ca="1">VLOOKUP(B489,OF!A1:I139,IF(Settings!$J$13="points",4,7),FALSE)</f>
        <v>109</v>
      </c>
      <c r="G489" s="29">
        <f>(M489*Settings!$B$2)+(N489*Settings!$B$3)+(O489*Settings!$B$4)+(P489*Settings!$B$5)+(Q489*Settings!$B$6)+(T489*Settings!$B$9)+(U489*Settings!$B$10)+(V489*Settings!$B$11)+(W489*Settings!$B$12)+(X489*Settings!$B$13)+(AA489*Settings!$B$16)</f>
        <v>185.26666666666662</v>
      </c>
      <c r="H489" s="30">
        <f>VLOOKUP(B489,'Standard Deviations'!$A1:$D651,4,FALSE)</f>
        <v>-2.2563456947119489</v>
      </c>
      <c r="I489" s="31">
        <f ca="1">VLOOKUP(B489,OF!A1:I139,IF(Settings!$J$13="points",6,9),FALSE)</f>
        <v>-2.3750603277351607</v>
      </c>
      <c r="J489" s="30"/>
      <c r="K489" s="30">
        <f ca="1">J489-A489</f>
        <v>-397</v>
      </c>
      <c r="L489" s="30"/>
      <c r="M489" s="30">
        <f>VLOOKUP($B489,Hitters!$A1:$R401,4,FALSE)</f>
        <v>253</v>
      </c>
      <c r="N489" s="30">
        <f>VLOOKUP($B489,Hitters!$A1:$R401,5,FALSE)</f>
        <v>29.566666666666698</v>
      </c>
      <c r="O489" s="30">
        <f>VLOOKUP($B489,Hitters!$A1:$R401,6,FALSE)</f>
        <v>4.6333333333333302</v>
      </c>
      <c r="P489" s="30">
        <f>VLOOKUP($B489,Hitters!$A1:$R401,7,FALSE)</f>
        <v>28.033333333333299</v>
      </c>
      <c r="Q489" s="30">
        <f>VLOOKUP($B489,Hitters!$A1:$R401,8,FALSE)</f>
        <v>4.8333333333333304</v>
      </c>
      <c r="R489" s="32">
        <f>VLOOKUP($B489,Hitters!$A1:$R401,9,FALSE)</f>
        <v>0.274967061923584</v>
      </c>
      <c r="S489" s="32">
        <f>VLOOKUP($B489,Hitters!$A1:$R401,10,FALSE)</f>
        <v>0.32187093558934698</v>
      </c>
      <c r="T489" s="30">
        <f>VLOOKUP($B489,Hitters!$A1:$R401,11,FALSE)</f>
        <v>69.566666666666706</v>
      </c>
      <c r="U489" s="30">
        <f>VLOOKUP($B489,Hitters!$A1:$R401,12,FALSE)</f>
        <v>13.9333333333333</v>
      </c>
      <c r="V489" s="30">
        <f>VLOOKUP($B489,Hitters!$A1:$R401,13,FALSE)</f>
        <v>1.06666666666667</v>
      </c>
      <c r="W489" s="30">
        <f>VLOOKUP($B489,Hitters!$A1:$R401,14,FALSE)</f>
        <v>18.7</v>
      </c>
      <c r="X489" s="30">
        <f>VLOOKUP($B489,Hitters!$A1:$R401,15,FALSE)</f>
        <v>39.733333333333299</v>
      </c>
      <c r="Y489" s="32">
        <f>VLOOKUP($B489,Hitters!$A1:$R401,16,FALSE)</f>
        <v>0.39341238471673301</v>
      </c>
      <c r="Z489" s="32">
        <f>VLOOKUP($B489,Hitters!$A1:$R401,17,FALSE)</f>
        <v>0.71528332030607999</v>
      </c>
      <c r="AA489" s="30">
        <f>VLOOKUP($B489,Hitters!$A1:$R401,18,FALSE)</f>
        <v>0</v>
      </c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</row>
    <row r="490" spans="1:44" ht="18.600000000000001" customHeight="1">
      <c r="A490" s="24">
        <f ca="1">RANK(I490,I$2:I$651)</f>
        <v>468</v>
      </c>
      <c r="B490" s="25" t="s">
        <v>565</v>
      </c>
      <c r="C490" s="26" t="s">
        <v>139</v>
      </c>
      <c r="D490" s="26" t="s">
        <v>75</v>
      </c>
      <c r="E490" s="27" t="s">
        <v>23</v>
      </c>
      <c r="F490" s="28">
        <f ca="1">VLOOKUP(B490,OF!A1:I139,IF(Settings!$J$13="points",4,7),FALSE)</f>
        <v>114</v>
      </c>
      <c r="G490" s="29">
        <f>(M490*Settings!$B$2)+(N490*Settings!$B$3)+(O490*Settings!$B$4)+(P490*Settings!$B$5)+(Q490*Settings!$B$6)+(T490*Settings!$B$9)+(U490*Settings!$B$10)+(V490*Settings!$B$11)+(W490*Settings!$B$12)+(X490*Settings!$B$13)+(AA490*Settings!$B$16)</f>
        <v>185.16666666666671</v>
      </c>
      <c r="H490" s="30">
        <f>VLOOKUP(B490,'Standard Deviations'!$A1:$D651,4,FALSE)</f>
        <v>-3.0757224584040075</v>
      </c>
      <c r="I490" s="31">
        <f ca="1">VLOOKUP(B490,OF!A1:I139,IF(Settings!$J$13="points",6,9),FALSE)</f>
        <v>-3.1944331190273516</v>
      </c>
      <c r="J490" s="30"/>
      <c r="K490" s="30">
        <f ca="1">J490-A490</f>
        <v>-468</v>
      </c>
      <c r="L490" s="30"/>
      <c r="M490" s="30">
        <f>VLOOKUP($B490,Hitters!$A1:$R401,4,FALSE)</f>
        <v>261.66666666666703</v>
      </c>
      <c r="N490" s="30">
        <f>VLOOKUP($B490,Hitters!$A1:$R401,5,FALSE)</f>
        <v>29.9</v>
      </c>
      <c r="O490" s="30">
        <f>VLOOKUP($B490,Hitters!$A1:$R401,6,FALSE)</f>
        <v>7.43333333333333</v>
      </c>
      <c r="P490" s="30">
        <f>VLOOKUP($B490,Hitters!$A1:$R401,7,FALSE)</f>
        <v>29.033333333333299</v>
      </c>
      <c r="Q490" s="30">
        <f>VLOOKUP($B490,Hitters!$A1:$R401,8,FALSE)</f>
        <v>4.06666666666667</v>
      </c>
      <c r="R490" s="32">
        <f>VLOOKUP($B490,Hitters!$A1:$R401,9,FALSE)</f>
        <v>0.25210191082802502</v>
      </c>
      <c r="S490" s="32">
        <f>VLOOKUP($B490,Hitters!$A1:$R401,10,FALSE)</f>
        <v>0.30272487547612098</v>
      </c>
      <c r="T490" s="30">
        <f>VLOOKUP($B490,Hitters!$A1:$R401,11,FALSE)</f>
        <v>65.966666666666697</v>
      </c>
      <c r="U490" s="30">
        <f>VLOOKUP($B490,Hitters!$A1:$R401,12,FALSE)</f>
        <v>14.6666666666667</v>
      </c>
      <c r="V490" s="30">
        <f>VLOOKUP($B490,Hitters!$A1:$R401,13,FALSE)</f>
        <v>0.6</v>
      </c>
      <c r="W490" s="30">
        <f>VLOOKUP($B490,Hitters!$A1:$R401,14,FALSE)</f>
        <v>20.133333333333301</v>
      </c>
      <c r="X490" s="30">
        <f>VLOOKUP($B490,Hitters!$A1:$R401,15,FALSE)</f>
        <v>57.733333333333299</v>
      </c>
      <c r="Y490" s="32">
        <f>VLOOKUP($B490,Hitters!$A1:$R401,16,FALSE)</f>
        <v>0.39796178343949001</v>
      </c>
      <c r="Z490" s="32">
        <f>VLOOKUP($B490,Hitters!$A1:$R401,17,FALSE)</f>
        <v>0.70068665891561099</v>
      </c>
      <c r="AA490" s="30">
        <f>VLOOKUP($B490,Hitters!$A1:$R401,18,FALSE)</f>
        <v>0</v>
      </c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</row>
    <row r="491" spans="1:44" ht="18.600000000000001" customHeight="1">
      <c r="A491" s="24">
        <f ca="1">RANK(I491,I$2:I$651)</f>
        <v>434</v>
      </c>
      <c r="B491" s="25" t="s">
        <v>531</v>
      </c>
      <c r="C491" s="26" t="s">
        <v>92</v>
      </c>
      <c r="D491" s="26" t="s">
        <v>75</v>
      </c>
      <c r="E491" s="41" t="s">
        <v>34</v>
      </c>
      <c r="F491" s="42">
        <f ca="1">VLOOKUP(B491,RP!A1:I91,IF(Settings!$J$13="points",4,7),FALSE)</f>
        <v>53</v>
      </c>
      <c r="G491" s="29">
        <f>(AC491*Settings!$F$2)+(AF491*Settings!$F$5)+(AG491*Settings!$F$6)+(AH491*Settings!$F$7)+(AI491*Settings!$F$8)+(AJ491*Settings!$F$9)+(AK491*Settings!$F$10)+(AL491*Settings!$F$11)+(AM491*Settings!$F$12)+(AN491*Settings!$F$13)+(AO491*Settings!$F$14)+(AP491*Settings!$F$15)+(AQ491*Settings!$F$16)+(AR491*Settings!$F$17)</f>
        <v>184.23333333333335</v>
      </c>
      <c r="H491" s="30">
        <f>VLOOKUP(B491,'Standard Deviations'!$A1:$D651,4,FALSE)</f>
        <v>-1.2438389590570655</v>
      </c>
      <c r="I491" s="31">
        <f ca="1">IF(Settings!$J$16="no",VLOOKUP(B491,RP!A1:I91,IF(Settings!$J$13="points",6,9),FALSE),VLOOKUP(B491,'SP+RP'!$A1:$I251,IF(Settings!$J$13="points",6,9),FALSE))</f>
        <v>-2.8149011760591431</v>
      </c>
      <c r="J491" s="30"/>
      <c r="K491" s="30">
        <f ca="1">J491-A491</f>
        <v>-434</v>
      </c>
      <c r="L491" s="30"/>
      <c r="M491" s="30"/>
      <c r="N491" s="30"/>
      <c r="O491" s="30"/>
      <c r="P491" s="30"/>
      <c r="Q491" s="30"/>
      <c r="R491" s="32"/>
      <c r="S491" s="32"/>
      <c r="T491" s="30"/>
      <c r="U491" s="30"/>
      <c r="V491" s="30"/>
      <c r="W491" s="30"/>
      <c r="X491" s="30"/>
      <c r="Y491" s="32"/>
      <c r="Z491" s="32"/>
      <c r="AA491" s="30"/>
      <c r="AB491" s="30"/>
      <c r="AC491" s="30">
        <f>VLOOKUP($B491,Pitchers!$A1:$S251,4,FALSE)</f>
        <v>53.433333333333337</v>
      </c>
      <c r="AD491" s="32">
        <f>VLOOKUP($B491,Pitchers!$A1:$S251,5,FALSE)</f>
        <v>3.5202744853399879</v>
      </c>
      <c r="AE491" s="32">
        <f>VLOOKUP($B491,Pitchers!$A1:$S251,6,FALSE)</f>
        <v>1.2676232064878352</v>
      </c>
      <c r="AF491" s="30">
        <f>VLOOKUP($B491,Pitchers!$A1:$S251,7,FALSE)</f>
        <v>61.933333333333337</v>
      </c>
      <c r="AG491" s="30">
        <f>VLOOKUP($B491,Pitchers!$A1:$S251,8,FALSE)</f>
        <v>3.8000000000000003</v>
      </c>
      <c r="AH491" s="30">
        <f>VLOOKUP($B491,Pitchers!$A1:$S251,9,FALSE)</f>
        <v>10</v>
      </c>
      <c r="AI491" s="30">
        <f>VLOOKUP($B491,Pitchers!$A1:$S251,10,FALSE)</f>
        <v>20.900000000000002</v>
      </c>
      <c r="AJ491" s="30">
        <f>VLOOKUP($B491,Pitchers!$A1:$S251,11,FALSE)</f>
        <v>44.4</v>
      </c>
      <c r="AK491" s="30">
        <f>VLOOKUP($B491,Pitchers!$A1:$S251,12,FALSE)</f>
        <v>23.333333333333332</v>
      </c>
      <c r="AL491" s="30">
        <f>VLOOKUP($B491,Pitchers!$A1:$S251,13,FALSE)</f>
        <v>7</v>
      </c>
      <c r="AM491" s="30">
        <f>VLOOKUP($B491,Pitchers!$A1:$S251,14,FALSE)</f>
        <v>56.266666666666673</v>
      </c>
      <c r="AN491" s="30">
        <f>VLOOKUP($B491,Pitchers!$A1:$S251,15,FALSE)</f>
        <v>0</v>
      </c>
      <c r="AO491" s="30">
        <f>VLOOKUP($B491,Pitchers!$A1:$S251,16,FALSE)</f>
        <v>3</v>
      </c>
      <c r="AP491" s="30">
        <f>VLOOKUP($B491,Pitchers!$A1:$S251,17,FALSE)</f>
        <v>0</v>
      </c>
      <c r="AQ491" s="30">
        <f>VLOOKUP($B491,Pitchers!$A1:$S251,18,FALSE)</f>
        <v>11.5</v>
      </c>
      <c r="AR491" s="30">
        <f>VLOOKUP($B491,Pitchers!$A1:$S251,19,FALSE)</f>
        <v>2</v>
      </c>
    </row>
    <row r="492" spans="1:44" ht="18.600000000000001" customHeight="1">
      <c r="A492" s="24">
        <f ca="1">RANK(I492,I$2:I$651)</f>
        <v>591</v>
      </c>
      <c r="B492" s="25" t="s">
        <v>687</v>
      </c>
      <c r="C492" s="26" t="s">
        <v>158</v>
      </c>
      <c r="D492" s="26" t="s">
        <v>70</v>
      </c>
      <c r="E492" s="37" t="s">
        <v>27</v>
      </c>
      <c r="F492" s="38">
        <f ca="1">VLOOKUP(B492,SS!A1:I45,IF(Settings!$J$13="points",4,7),FALSE)</f>
        <v>33</v>
      </c>
      <c r="G492" s="29">
        <f>(M492*Settings!$B$2)+(N492*Settings!$B$3)+(O492*Settings!$B$4)+(P492*Settings!$B$5)+(Q492*Settings!$B$6)+(T492*Settings!$B$9)+(U492*Settings!$B$10)+(V492*Settings!$B$11)+(W492*Settings!$B$12)+(X492*Settings!$B$13)+(AA492*Settings!$B$16)</f>
        <v>183.84999999999997</v>
      </c>
      <c r="H492" s="30">
        <f>VLOOKUP(B492,'Standard Deviations'!$A1:$D651,4,FALSE)</f>
        <v>-2.1278526840492473</v>
      </c>
      <c r="I492" s="31">
        <f ca="1">IF(Settings!$J$16="no",VLOOKUP(B492,SS!A1:I45,IF(Settings!$J$13="points",6,9),FALSE),VLOOKUP(B492,'2B+SS'!$A1:$I94,IF(Settings!$J$13="points",6,9),FALSE))</f>
        <v>-5.1322812335115024</v>
      </c>
      <c r="J492" s="30"/>
      <c r="K492" s="30">
        <f ca="1">J492-A492</f>
        <v>-591</v>
      </c>
      <c r="L492" s="30"/>
      <c r="M492" s="30">
        <f>VLOOKUP($B492,Hitters!$A1:$R401,4,FALSE)</f>
        <v>218.5</v>
      </c>
      <c r="N492" s="30">
        <f>VLOOKUP($B492,Hitters!$A1:$R401,5,FALSE)</f>
        <v>30</v>
      </c>
      <c r="O492" s="30">
        <f>VLOOKUP($B492,Hitters!$A1:$R401,6,FALSE)</f>
        <v>7.85</v>
      </c>
      <c r="P492" s="30">
        <f>VLOOKUP($B492,Hitters!$A1:$R401,7,FALSE)</f>
        <v>28.45</v>
      </c>
      <c r="Q492" s="30">
        <f>VLOOKUP($B492,Hitters!$A1:$R401,8,FALSE)</f>
        <v>6.95</v>
      </c>
      <c r="R492" s="32">
        <f>VLOOKUP($B492,Hitters!$A1:$R401,9,FALSE)</f>
        <v>0.26201372997711703</v>
      </c>
      <c r="S492" s="32">
        <f>VLOOKUP($B492,Hitters!$A1:$R401,10,FALSE)</f>
        <v>0.31267741867653498</v>
      </c>
      <c r="T492" s="30">
        <f>VLOOKUP($B492,Hitters!$A1:$R401,11,FALSE)</f>
        <v>57.25</v>
      </c>
      <c r="U492" s="30">
        <f>VLOOKUP($B492,Hitters!$A1:$R401,12,FALSE)</f>
        <v>13.85</v>
      </c>
      <c r="V492" s="30">
        <f>VLOOKUP($B492,Hitters!$A1:$R401,13,FALSE)</f>
        <v>0.9</v>
      </c>
      <c r="W492" s="30">
        <f>VLOOKUP($B492,Hitters!$A1:$R401,14,FALSE)</f>
        <v>17.100000000000001</v>
      </c>
      <c r="X492" s="30">
        <f>VLOOKUP($B492,Hitters!$A1:$R401,15,FALSE)</f>
        <v>49.3</v>
      </c>
      <c r="Y492" s="32">
        <f>VLOOKUP($B492,Hitters!$A1:$R401,16,FALSE)</f>
        <v>0.44141876430205901</v>
      </c>
      <c r="Z492" s="32">
        <f>VLOOKUP($B492,Hitters!$A1:$R401,17,FALSE)</f>
        <v>0.75409618297859504</v>
      </c>
      <c r="AA492" s="30">
        <f>VLOOKUP($B492,Hitters!$A1:$R401,18,FALSE)</f>
        <v>0</v>
      </c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</row>
    <row r="493" spans="1:44" ht="20.100000000000001" customHeight="1">
      <c r="A493" s="24">
        <f ca="1">RANK(I493,I$2:I$651)</f>
        <v>448</v>
      </c>
      <c r="B493" s="25" t="s">
        <v>545</v>
      </c>
      <c r="C493" s="26" t="s">
        <v>92</v>
      </c>
      <c r="D493" s="26" t="s">
        <v>75</v>
      </c>
      <c r="E493" s="35" t="s">
        <v>31</v>
      </c>
      <c r="F493" s="36">
        <f ca="1">VLOOKUP(B493,SP!A1:I161,IF(Settings!$J$13="points",4,7),FALSE)</f>
        <v>130</v>
      </c>
      <c r="G493" s="29">
        <f>(AC493*Settings!$F$2)+(AF493*Settings!$F$5)+(AG493*Settings!$F$6)+(AH493*Settings!$F$7)+(AI493*Settings!$F$8)+(AJ493*Settings!$F$9)+(AK493*Settings!$F$10)+(AL493*Settings!$F$11)+(AM493*Settings!$F$12)+(AN493*Settings!$F$13)+(AO493*Settings!$F$14)+(AP493*Settings!$F$15)+(AQ493*Settings!$F$16)+(AR493*Settings!$F$17)</f>
        <v>183.62333333333331</v>
      </c>
      <c r="H493" s="30">
        <f>VLOOKUP(B493,'Standard Deviations'!$A1:$D651,4,FALSE)</f>
        <v>-2.8225951030854377</v>
      </c>
      <c r="I493" s="31">
        <f ca="1">IF(Settings!$J$16="no",VLOOKUP(B493,SP!A1:I161,IF(Settings!$J$13="points",6,9),FALSE),VLOOKUP(B493,'SP+RP'!$A1:$I251,IF(Settings!$J$13="points",6,9),FALSE))</f>
        <v>-2.95858006381913</v>
      </c>
      <c r="J493" s="30"/>
      <c r="K493" s="30">
        <f ca="1">J493-A493</f>
        <v>-448</v>
      </c>
      <c r="L493" s="30"/>
      <c r="M493" s="30"/>
      <c r="N493" s="30"/>
      <c r="O493" s="30"/>
      <c r="P493" s="30"/>
      <c r="Q493" s="30"/>
      <c r="R493" s="32"/>
      <c r="S493" s="32"/>
      <c r="T493" s="30"/>
      <c r="U493" s="30"/>
      <c r="V493" s="30"/>
      <c r="W493" s="30"/>
      <c r="X493" s="30"/>
      <c r="Y493" s="32"/>
      <c r="Z493" s="32"/>
      <c r="AA493" s="30"/>
      <c r="AB493" s="30"/>
      <c r="AC493" s="30">
        <f>VLOOKUP($B493,Pitchers!$A1:$S251,4,FALSE)</f>
        <v>87.100000000000009</v>
      </c>
      <c r="AD493" s="32">
        <f>VLOOKUP($B493,Pitchers!$A1:$S251,5,FALSE)</f>
        <v>4.3357060849598161</v>
      </c>
      <c r="AE493" s="32">
        <f>VLOOKUP($B493,Pitchers!$A1:$S251,6,FALSE)</f>
        <v>1.2223497895139686</v>
      </c>
      <c r="AF493" s="30">
        <f>VLOOKUP($B493,Pitchers!$A1:$S251,7,FALSE)</f>
        <v>80.033333333333331</v>
      </c>
      <c r="AG493" s="30">
        <f>VLOOKUP($B493,Pitchers!$A1:$S251,8,FALSE)</f>
        <v>5.3666666666666671</v>
      </c>
      <c r="AH493" s="30">
        <f>VLOOKUP($B493,Pitchers!$A1:$S251,9,FALSE)</f>
        <v>0</v>
      </c>
      <c r="AI493" s="30">
        <f>VLOOKUP($B493,Pitchers!$A1:$S251,10,FALSE)</f>
        <v>41.96</v>
      </c>
      <c r="AJ493" s="30">
        <f>VLOOKUP($B493,Pitchers!$A1:$S251,11,FALSE)</f>
        <v>86.733333333333334</v>
      </c>
      <c r="AK493" s="30">
        <f>VLOOKUP($B493,Pitchers!$A1:$S251,12,FALSE)</f>
        <v>19.733333333333334</v>
      </c>
      <c r="AL493" s="30">
        <f>VLOOKUP($B493,Pitchers!$A1:$S251,13,FALSE)</f>
        <v>16</v>
      </c>
      <c r="AM493" s="30">
        <f>VLOOKUP($B493,Pitchers!$A1:$S251,14,FALSE)</f>
        <v>32.43333333333333</v>
      </c>
      <c r="AN493" s="30">
        <f>VLOOKUP($B493,Pitchers!$A1:$S251,15,FALSE)</f>
        <v>12.333333333333334</v>
      </c>
      <c r="AO493" s="30">
        <f>VLOOKUP($B493,Pitchers!$A1:$S251,16,FALSE)</f>
        <v>4.3666666666666663</v>
      </c>
      <c r="AP493" s="30">
        <f>VLOOKUP($B493,Pitchers!$A1:$S251,17,FALSE)</f>
        <v>5</v>
      </c>
      <c r="AQ493" s="30">
        <f>VLOOKUP($B493,Pitchers!$A1:$S251,18,FALSE)</f>
        <v>2</v>
      </c>
      <c r="AR493" s="30">
        <f>VLOOKUP($B493,Pitchers!$A1:$S251,19,FALSE)</f>
        <v>0</v>
      </c>
    </row>
    <row r="494" spans="1:44" ht="20.100000000000001" customHeight="1">
      <c r="A494" s="24">
        <f ca="1">RANK(I494,I$2:I$651)</f>
        <v>537</v>
      </c>
      <c r="B494" s="25" t="s">
        <v>634</v>
      </c>
      <c r="C494" s="26" t="s">
        <v>97</v>
      </c>
      <c r="D494" s="26" t="s">
        <v>75</v>
      </c>
      <c r="E494" s="45" t="s">
        <v>19</v>
      </c>
      <c r="F494" s="46">
        <f ca="1">VLOOKUP(B494,'C'!A1:I54,IF(Settings!$J$13="points",4,7),FALSE)</f>
        <v>37</v>
      </c>
      <c r="G494" s="29">
        <f>(M494*Settings!$B$2)+(N494*Settings!$B$3)+(O494*Settings!$B$4)+(P494*Settings!$B$5)+(Q494*Settings!$B$6)+(T494*Settings!$B$9)+(U494*Settings!$B$10)+(V494*Settings!$B$11)+(W494*Settings!$B$12)+(X494*Settings!$B$13)+(AA494*Settings!$B$16)</f>
        <v>183.40000000000003</v>
      </c>
      <c r="H494" s="30">
        <f>VLOOKUP(B494,'Standard Deviations'!$A1:$D651,4,FALSE)</f>
        <v>-4.4230814214386704</v>
      </c>
      <c r="I494" s="31">
        <f ca="1">VLOOKUP(B494,'C'!A1:I54,IF(Settings!$J$13="points",6,9),FALSE)</f>
        <v>-4.1059899010346079</v>
      </c>
      <c r="J494" s="30"/>
      <c r="K494" s="30">
        <f ca="1">J494-A494</f>
        <v>-537</v>
      </c>
      <c r="L494" s="30"/>
      <c r="M494" s="30">
        <f>VLOOKUP($B494,Hitters!$A1:$R401,4,FALSE)</f>
        <v>290.33333333333297</v>
      </c>
      <c r="N494" s="30">
        <f>VLOOKUP($B494,Hitters!$A1:$R401,5,FALSE)</f>
        <v>32.6</v>
      </c>
      <c r="O494" s="30">
        <f>VLOOKUP($B494,Hitters!$A1:$R401,6,FALSE)</f>
        <v>6.6</v>
      </c>
      <c r="P494" s="30">
        <f>VLOOKUP($B494,Hitters!$A1:$R401,7,FALSE)</f>
        <v>30.2</v>
      </c>
      <c r="Q494" s="30">
        <f>VLOOKUP($B494,Hitters!$A1:$R401,8,FALSE)</f>
        <v>0.4</v>
      </c>
      <c r="R494" s="32">
        <f>VLOOKUP($B494,Hitters!$A1:$R401,9,FALSE)</f>
        <v>0.23432835820895501</v>
      </c>
      <c r="S494" s="32">
        <f>VLOOKUP($B494,Hitters!$A1:$R401,10,FALSE)</f>
        <v>0.30536391770596599</v>
      </c>
      <c r="T494" s="30">
        <f>VLOOKUP($B494,Hitters!$A1:$R401,11,FALSE)</f>
        <v>68.033333333333303</v>
      </c>
      <c r="U494" s="30">
        <f>VLOOKUP($B494,Hitters!$A1:$R401,12,FALSE)</f>
        <v>12.766666666666699</v>
      </c>
      <c r="V494" s="30">
        <f>VLOOKUP($B494,Hitters!$A1:$R401,13,FALSE)</f>
        <v>0.86666666666666703</v>
      </c>
      <c r="W494" s="30">
        <f>VLOOKUP($B494,Hitters!$A1:$R401,14,FALSE)</f>
        <v>30.966666666666701</v>
      </c>
      <c r="X494" s="30">
        <f>VLOOKUP($B494,Hitters!$A1:$R401,15,FALSE)</f>
        <v>67.466666666666697</v>
      </c>
      <c r="Y494" s="32">
        <f>VLOOKUP($B494,Hitters!$A1:$R401,16,FALSE)</f>
        <v>0.35246842709529302</v>
      </c>
      <c r="Z494" s="32">
        <f>VLOOKUP($B494,Hitters!$A1:$R401,17,FALSE)</f>
        <v>0.65783234480125896</v>
      </c>
      <c r="AA494" s="30">
        <f>VLOOKUP($B494,Hitters!$A1:$R401,18,FALSE)</f>
        <v>0</v>
      </c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</row>
    <row r="495" spans="1:44" ht="18.600000000000001" customHeight="1">
      <c r="A495" s="24">
        <f ca="1">RANK(I495,I$2:I$651)</f>
        <v>606</v>
      </c>
      <c r="B495" s="25" t="s">
        <v>702</v>
      </c>
      <c r="C495" s="26" t="s">
        <v>74</v>
      </c>
      <c r="D495" s="26" t="s">
        <v>75</v>
      </c>
      <c r="E495" s="47" t="s">
        <v>11</v>
      </c>
      <c r="F495" s="48">
        <f ca="1">VLOOKUP(B495,'2B'!A1:I50,IF(Settings!$J$13="points",4,7),FALSE)</f>
        <v>42</v>
      </c>
      <c r="G495" s="29">
        <f>(M495*Settings!$B$2)+(N495*Settings!$B$3)+(O495*Settings!$B$4)+(P495*Settings!$B$5)+(Q495*Settings!$B$6)+(T495*Settings!$B$9)+(U495*Settings!$B$10)+(V495*Settings!$B$11)+(W495*Settings!$B$12)+(X495*Settings!$B$13)+(AA495*Settings!$B$16)</f>
        <v>182.36666666666665</v>
      </c>
      <c r="H495" s="30">
        <f>VLOOKUP(B495,'Standard Deviations'!$A1:$D651,4,FALSE)</f>
        <v>-3.2371019488007335</v>
      </c>
      <c r="I495" s="31">
        <f ca="1">IF(Settings!$J$16="no",VLOOKUP(B495,'2B'!A1:I50,IF(Settings!$J$13="points",6,9),FALSE),VLOOKUP(B495,'2B+SS'!$A1:$I94,IF(Settings!$J$13="points",6,9),FALSE))</f>
        <v>-5.544832712675154</v>
      </c>
      <c r="J495" s="30"/>
      <c r="K495" s="30">
        <f ca="1">J495-A495</f>
        <v>-606</v>
      </c>
      <c r="L495" s="30"/>
      <c r="M495" s="30">
        <f>VLOOKUP($B495,Hitters!$A1:$R401,4,FALSE)</f>
        <v>246.333333333333</v>
      </c>
      <c r="N495" s="30">
        <f>VLOOKUP($B495,Hitters!$A1:$R401,5,FALSE)</f>
        <v>32.233333333333299</v>
      </c>
      <c r="O495" s="30">
        <f>VLOOKUP($B495,Hitters!$A1:$R401,6,FALSE)</f>
        <v>8.43333333333333</v>
      </c>
      <c r="P495" s="30">
        <f>VLOOKUP($B495,Hitters!$A1:$R401,7,FALSE)</f>
        <v>32.533333333333303</v>
      </c>
      <c r="Q495" s="30">
        <f>VLOOKUP($B495,Hitters!$A1:$R401,8,FALSE)</f>
        <v>1.7</v>
      </c>
      <c r="R495" s="32">
        <f>VLOOKUP($B495,Hitters!$A1:$R401,9,FALSE)</f>
        <v>0.24803788903924201</v>
      </c>
      <c r="S495" s="32">
        <f>VLOOKUP($B495,Hitters!$A1:$R401,10,FALSE)</f>
        <v>0.30687231502111101</v>
      </c>
      <c r="T495" s="30">
        <f>VLOOKUP($B495,Hitters!$A1:$R401,11,FALSE)</f>
        <v>61.1</v>
      </c>
      <c r="U495" s="30">
        <f>VLOOKUP($B495,Hitters!$A1:$R401,12,FALSE)</f>
        <v>11.266666666666699</v>
      </c>
      <c r="V495" s="30">
        <f>VLOOKUP($B495,Hitters!$A1:$R401,13,FALSE)</f>
        <v>0.5</v>
      </c>
      <c r="W495" s="30">
        <f>VLOOKUP($B495,Hitters!$A1:$R401,14,FALSE)</f>
        <v>22</v>
      </c>
      <c r="X495" s="30">
        <f>VLOOKUP($B495,Hitters!$A1:$R401,15,FALSE)</f>
        <v>53.3333333333333</v>
      </c>
      <c r="Y495" s="32">
        <f>VLOOKUP($B495,Hitters!$A1:$R401,16,FALSE)</f>
        <v>0.400541271989175</v>
      </c>
      <c r="Z495" s="32">
        <f>VLOOKUP($B495,Hitters!$A1:$R401,17,FALSE)</f>
        <v>0.70741358701028501</v>
      </c>
      <c r="AA495" s="30">
        <f>VLOOKUP($B495,Hitters!$A1:$R401,18,FALSE)</f>
        <v>0</v>
      </c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</row>
    <row r="496" spans="1:44" ht="18.600000000000001" customHeight="1">
      <c r="A496" s="24">
        <f ca="1">RANK(I496,I$2:I$651)</f>
        <v>427</v>
      </c>
      <c r="B496" s="25" t="s">
        <v>523</v>
      </c>
      <c r="C496" s="26" t="s">
        <v>103</v>
      </c>
      <c r="D496" s="26" t="s">
        <v>70</v>
      </c>
      <c r="E496" s="45" t="s">
        <v>19</v>
      </c>
      <c r="F496" s="46">
        <f ca="1">VLOOKUP(B496,'C'!A1:I54,IF(Settings!$J$13="points",4,7),FALSE)</f>
        <v>25</v>
      </c>
      <c r="G496" s="29">
        <f>(M496*Settings!$B$2)+(N496*Settings!$B$3)+(O496*Settings!$B$4)+(P496*Settings!$B$5)+(Q496*Settings!$B$6)+(T496*Settings!$B$9)+(U496*Settings!$B$10)+(V496*Settings!$B$11)+(W496*Settings!$B$12)+(X496*Settings!$B$13)+(AA496*Settings!$B$16)</f>
        <v>181.18333333333322</v>
      </c>
      <c r="H496" s="30">
        <f>VLOOKUP(B496,'Standard Deviations'!$A1:$D651,4,FALSE)</f>
        <v>-3.0755873790589527</v>
      </c>
      <c r="I496" s="31">
        <f ca="1">VLOOKUP(B496,'C'!A1:I54,IF(Settings!$J$13="points",6,9),FALSE)</f>
        <v>-2.758490423908134</v>
      </c>
      <c r="J496" s="30"/>
      <c r="K496" s="30">
        <f ca="1">J496-A496</f>
        <v>-427</v>
      </c>
      <c r="L496" s="30"/>
      <c r="M496" s="30">
        <f>VLOOKUP($B496,Hitters!$A1:$R401,4,FALSE)</f>
        <v>265</v>
      </c>
      <c r="N496" s="30">
        <f>VLOOKUP($B496,Hitters!$A1:$R401,5,FALSE)</f>
        <v>31.5</v>
      </c>
      <c r="O496" s="30">
        <f>VLOOKUP($B496,Hitters!$A1:$R401,6,FALSE)</f>
        <v>9.4</v>
      </c>
      <c r="P496" s="30">
        <f>VLOOKUP($B496,Hitters!$A1:$R401,7,FALSE)</f>
        <v>32.3333333333333</v>
      </c>
      <c r="Q496" s="30">
        <f>VLOOKUP($B496,Hitters!$A1:$R401,8,FALSE)</f>
        <v>3.2666666666666702</v>
      </c>
      <c r="R496" s="32">
        <f>VLOOKUP($B496,Hitters!$A1:$R401,9,FALSE)</f>
        <v>0.244905660377358</v>
      </c>
      <c r="S496" s="32">
        <f>VLOOKUP($B496,Hitters!$A1:$R401,10,FALSE)</f>
        <v>0.28013491922598999</v>
      </c>
      <c r="T496" s="30">
        <f>VLOOKUP($B496,Hitters!$A1:$R401,11,FALSE)</f>
        <v>64.900000000000006</v>
      </c>
      <c r="U496" s="30">
        <f>VLOOKUP($B496,Hitters!$A1:$R401,12,FALSE)</f>
        <v>13.4333333333333</v>
      </c>
      <c r="V496" s="30">
        <f>VLOOKUP($B496,Hitters!$A1:$R401,13,FALSE)</f>
        <v>0.5</v>
      </c>
      <c r="W496" s="30">
        <f>VLOOKUP($B496,Hitters!$A1:$R401,14,FALSE)</f>
        <v>14</v>
      </c>
      <c r="X496" s="30">
        <f>VLOOKUP($B496,Hitters!$A1:$R401,15,FALSE)</f>
        <v>68.099999999999994</v>
      </c>
      <c r="Y496" s="32">
        <f>VLOOKUP($B496,Hitters!$A1:$R401,16,FALSE)</f>
        <v>0.40578616352201302</v>
      </c>
      <c r="Z496" s="32">
        <f>VLOOKUP($B496,Hitters!$A1:$R401,17,FALSE)</f>
        <v>0.68592108274800201</v>
      </c>
      <c r="AA496" s="30">
        <f>VLOOKUP($B496,Hitters!$A1:$R401,18,FALSE)</f>
        <v>0</v>
      </c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</row>
    <row r="497" spans="1:44" ht="18.600000000000001" customHeight="1">
      <c r="A497" s="24">
        <f ca="1">RANK(I497,I$2:I$651)</f>
        <v>515</v>
      </c>
      <c r="B497" s="25" t="s">
        <v>614</v>
      </c>
      <c r="C497" s="26" t="s">
        <v>260</v>
      </c>
      <c r="D497" s="26" t="s">
        <v>70</v>
      </c>
      <c r="E497" s="35" t="s">
        <v>31</v>
      </c>
      <c r="F497" s="36">
        <f ca="1">VLOOKUP(B497,SP!A1:I161,IF(Settings!$J$13="points",4,7),FALSE)</f>
        <v>145</v>
      </c>
      <c r="G497" s="29">
        <f>(AC497*Settings!$F$2)+(AF497*Settings!$F$5)+(AG497*Settings!$F$6)+(AH497*Settings!$F$7)+(AI497*Settings!$F$8)+(AJ497*Settings!$F$9)+(AK497*Settings!$F$10)+(AL497*Settings!$F$11)+(AM497*Settings!$F$12)+(AN497*Settings!$F$13)+(AO497*Settings!$F$14)+(AP497*Settings!$F$15)+(AQ497*Settings!$F$16)+(AR497*Settings!$F$17)</f>
        <v>181.12999999999994</v>
      </c>
      <c r="H497" s="30">
        <f>VLOOKUP(B497,'Standard Deviations'!$A1:$D651,4,FALSE)</f>
        <v>-3.6255050611570909</v>
      </c>
      <c r="I497" s="31">
        <f ca="1">IF(Settings!$J$16="no",VLOOKUP(B497,SP!A1:I161,IF(Settings!$J$13="points",6,9),FALSE),VLOOKUP(B497,'SP+RP'!$A1:$I251,IF(Settings!$J$13="points",6,9),FALSE))</f>
        <v>-3.7614851323871887</v>
      </c>
      <c r="J497" s="30"/>
      <c r="K497" s="30">
        <f ca="1">J497-A497</f>
        <v>-515</v>
      </c>
      <c r="L497" s="30"/>
      <c r="M497" s="30"/>
      <c r="N497" s="30"/>
      <c r="O497" s="30"/>
      <c r="P497" s="30"/>
      <c r="Q497" s="30"/>
      <c r="R497" s="32"/>
      <c r="S497" s="32"/>
      <c r="T497" s="30"/>
      <c r="U497" s="30"/>
      <c r="V497" s="30"/>
      <c r="W497" s="30"/>
      <c r="X497" s="30"/>
      <c r="Y497" s="32"/>
      <c r="Z497" s="32"/>
      <c r="AA497" s="30"/>
      <c r="AB497" s="30"/>
      <c r="AC497" s="30">
        <f>VLOOKUP($B497,Pitchers!$A1:$S251,4,FALSE)</f>
        <v>95.6</v>
      </c>
      <c r="AD497" s="32">
        <f>VLOOKUP($B497,Pitchers!$A1:$S251,5,FALSE)</f>
        <v>4.0876569037656907</v>
      </c>
      <c r="AE497" s="32">
        <f>VLOOKUP($B497,Pitchers!$A1:$S251,6,FALSE)</f>
        <v>1.3436192468619246</v>
      </c>
      <c r="AF497" s="30">
        <f>VLOOKUP($B497,Pitchers!$A1:$S251,7,FALSE)</f>
        <v>81.5</v>
      </c>
      <c r="AG497" s="30">
        <f>VLOOKUP($B497,Pitchers!$A1:$S251,8,FALSE)</f>
        <v>5.0999999999999996</v>
      </c>
      <c r="AH497" s="30">
        <f>VLOOKUP($B497,Pitchers!$A1:$S251,9,FALSE)</f>
        <v>0</v>
      </c>
      <c r="AI497" s="30">
        <f>VLOOKUP($B497,Pitchers!$A1:$S251,10,FALSE)</f>
        <v>43.42</v>
      </c>
      <c r="AJ497" s="30">
        <f>VLOOKUP($B497,Pitchers!$A1:$S251,11,FALSE)</f>
        <v>94.5</v>
      </c>
      <c r="AK497" s="30">
        <f>VLOOKUP($B497,Pitchers!$A1:$S251,12,FALSE)</f>
        <v>33.950000000000003</v>
      </c>
      <c r="AL497" s="30">
        <f>VLOOKUP($B497,Pitchers!$A1:$S251,13,FALSE)</f>
        <v>13</v>
      </c>
      <c r="AM497" s="30">
        <f>VLOOKUP($B497,Pitchers!$A1:$S251,14,FALSE)</f>
        <v>27.85</v>
      </c>
      <c r="AN497" s="30">
        <f>VLOOKUP($B497,Pitchers!$A1:$S251,15,FALSE)</f>
        <v>21.85</v>
      </c>
      <c r="AO497" s="30">
        <f>VLOOKUP($B497,Pitchers!$A1:$S251,16,FALSE)</f>
        <v>7.45</v>
      </c>
      <c r="AP497" s="30">
        <f>VLOOKUP($B497,Pitchers!$A1:$S251,17,FALSE)</f>
        <v>9</v>
      </c>
      <c r="AQ497" s="30">
        <f>VLOOKUP($B497,Pitchers!$A1:$S251,18,FALSE)</f>
        <v>0</v>
      </c>
      <c r="AR497" s="30">
        <f>VLOOKUP($B497,Pitchers!$A1:$S251,19,FALSE)</f>
        <v>0</v>
      </c>
    </row>
    <row r="498" spans="1:44" ht="18.600000000000001" customHeight="1">
      <c r="A498" s="24">
        <f ca="1">RANK(I498,I$2:I$651)</f>
        <v>410</v>
      </c>
      <c r="B498" s="25" t="s">
        <v>507</v>
      </c>
      <c r="C498" s="26" t="s">
        <v>136</v>
      </c>
      <c r="D498" s="26" t="s">
        <v>75</v>
      </c>
      <c r="E498" s="45" t="s">
        <v>19</v>
      </c>
      <c r="F498" s="46">
        <f ca="1">VLOOKUP(B498,'C'!A1:I54,IF(Settings!$J$13="points",4,7),FALSE)</f>
        <v>23</v>
      </c>
      <c r="G498" s="29">
        <f>(M498*Settings!$B$2)+(N498*Settings!$B$3)+(O498*Settings!$B$4)+(P498*Settings!$B$5)+(Q498*Settings!$B$6)+(T498*Settings!$B$9)+(U498*Settings!$B$10)+(V498*Settings!$B$11)+(W498*Settings!$B$12)+(X498*Settings!$B$13)+(AA498*Settings!$B$16)</f>
        <v>180.66666666666671</v>
      </c>
      <c r="H498" s="30">
        <f>VLOOKUP(B498,'Standard Deviations'!$A1:$D651,4,FALSE)</f>
        <v>-2.9268127931829606</v>
      </c>
      <c r="I498" s="31">
        <f ca="1">VLOOKUP(B498,'C'!A1:I54,IF(Settings!$J$13="points",6,9),FALSE)</f>
        <v>-2.6097235370962037</v>
      </c>
      <c r="J498" s="30"/>
      <c r="K498" s="30">
        <f ca="1">J498-A498</f>
        <v>-410</v>
      </c>
      <c r="L498" s="30"/>
      <c r="M498" s="30">
        <f>VLOOKUP($B498,Hitters!$A1:$R401,4,FALSE)</f>
        <v>228</v>
      </c>
      <c r="N498" s="30">
        <f>VLOOKUP($B498,Hitters!$A1:$R401,5,FALSE)</f>
        <v>34.200000000000003</v>
      </c>
      <c r="O498" s="30">
        <f>VLOOKUP($B498,Hitters!$A1:$R401,6,FALSE)</f>
        <v>9.6999999999999993</v>
      </c>
      <c r="P498" s="30">
        <f>VLOOKUP($B498,Hitters!$A1:$R401,7,FALSE)</f>
        <v>28.766666666666701</v>
      </c>
      <c r="Q498" s="30">
        <f>VLOOKUP($B498,Hitters!$A1:$R401,8,FALSE)</f>
        <v>4.43333333333333</v>
      </c>
      <c r="R498" s="32">
        <f>VLOOKUP($B498,Hitters!$A1:$R401,9,FALSE)</f>
        <v>0.24444444444444399</v>
      </c>
      <c r="S498" s="32">
        <f>VLOOKUP($B498,Hitters!$A1:$R401,10,FALSE)</f>
        <v>0.30054498824535197</v>
      </c>
      <c r="T498" s="30">
        <f>VLOOKUP($B498,Hitters!$A1:$R401,11,FALSE)</f>
        <v>55.733333333333299</v>
      </c>
      <c r="U498" s="30">
        <f>VLOOKUP($B498,Hitters!$A1:$R401,12,FALSE)</f>
        <v>8.0333333333333297</v>
      </c>
      <c r="V498" s="30">
        <f>VLOOKUP($B498,Hitters!$A1:$R401,13,FALSE)</f>
        <v>0.93333333333333302</v>
      </c>
      <c r="W498" s="30">
        <f>VLOOKUP($B498,Hitters!$A1:$R401,14,FALSE)</f>
        <v>19.266666666666701</v>
      </c>
      <c r="X498" s="30">
        <f>VLOOKUP($B498,Hitters!$A1:$R401,15,FALSE)</f>
        <v>47.6666666666667</v>
      </c>
      <c r="Y498" s="32">
        <f>VLOOKUP($B498,Hitters!$A1:$R401,16,FALSE)</f>
        <v>0.41549707602339198</v>
      </c>
      <c r="Z498" s="32">
        <f>VLOOKUP($B498,Hitters!$A1:$R401,17,FALSE)</f>
        <v>0.71604206426874295</v>
      </c>
      <c r="AA498" s="30">
        <f>VLOOKUP($B498,Hitters!$A1:$R401,18,FALSE)</f>
        <v>0</v>
      </c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</row>
    <row r="499" spans="1:44" ht="18.600000000000001" customHeight="1">
      <c r="A499" s="24">
        <f ca="1">RANK(I499,I$2:I$651)</f>
        <v>264</v>
      </c>
      <c r="B499" s="25" t="s">
        <v>361</v>
      </c>
      <c r="C499" s="26" t="s">
        <v>82</v>
      </c>
      <c r="D499" s="26" t="s">
        <v>75</v>
      </c>
      <c r="E499" s="41" t="s">
        <v>34</v>
      </c>
      <c r="F499" s="42">
        <f ca="1">VLOOKUP(B499,RP!A1:I91,IF(Settings!$J$13="points",4,7),FALSE)</f>
        <v>23</v>
      </c>
      <c r="G499" s="29">
        <f>(AC499*Settings!$F$2)+(AF499*Settings!$F$5)+(AG499*Settings!$F$6)+(AH499*Settings!$F$7)+(AI499*Settings!$F$8)+(AJ499*Settings!$F$9)+(AK499*Settings!$F$10)+(AL499*Settings!$F$11)+(AM499*Settings!$F$12)+(AN499*Settings!$F$13)+(AO499*Settings!$F$14)+(AP499*Settings!$F$15)+(AQ499*Settings!$F$16)+(AR499*Settings!$F$17)</f>
        <v>180.33333333333331</v>
      </c>
      <c r="H499" s="30">
        <f>VLOOKUP(B499,'Standard Deviations'!$A1:$D651,4,FALSE)</f>
        <v>1.2396922439216325</v>
      </c>
      <c r="I499" s="31">
        <f ca="1">IF(Settings!$J$16="no",VLOOKUP(B499,RP!A1:I91,IF(Settings!$J$13="points",6,9),FALSE),VLOOKUP(B499,'SP+RP'!$A1:$I251,IF(Settings!$J$13="points",6,9),FALSE))</f>
        <v>-0.33137313938080237</v>
      </c>
      <c r="J499" s="30"/>
      <c r="K499" s="30">
        <f ca="1">J499-A499</f>
        <v>-264</v>
      </c>
      <c r="L499" s="30"/>
      <c r="M499" s="30"/>
      <c r="N499" s="30"/>
      <c r="O499" s="30"/>
      <c r="P499" s="30"/>
      <c r="Q499" s="30"/>
      <c r="R499" s="32"/>
      <c r="S499" s="32"/>
      <c r="T499" s="30"/>
      <c r="U499" s="30"/>
      <c r="V499" s="30"/>
      <c r="W499" s="30"/>
      <c r="X499" s="30"/>
      <c r="Y499" s="32"/>
      <c r="Z499" s="32"/>
      <c r="AA499" s="30"/>
      <c r="AB499" s="30"/>
      <c r="AC499" s="30">
        <f>VLOOKUP($B499,Pitchers!$A1:$S251,4,FALSE)</f>
        <v>56.466666666666661</v>
      </c>
      <c r="AD499" s="32">
        <f>VLOOKUP($B499,Pitchers!$A1:$S251,5,FALSE)</f>
        <v>2.9167650531286902</v>
      </c>
      <c r="AE499" s="32">
        <f>VLOOKUP($B499,Pitchers!$A1:$S251,6,FALSE)</f>
        <v>1.0956316410861866</v>
      </c>
      <c r="AF499" s="30">
        <f>VLOOKUP($B499,Pitchers!$A1:$S251,7,FALSE)</f>
        <v>67.2</v>
      </c>
      <c r="AG499" s="30">
        <f>VLOOKUP($B499,Pitchers!$A1:$S251,8,FALSE)</f>
        <v>3.8333333333333335</v>
      </c>
      <c r="AH499" s="30">
        <f>VLOOKUP($B499,Pitchers!$A1:$S251,9,FALSE)</f>
        <v>6</v>
      </c>
      <c r="AI499" s="30">
        <f>VLOOKUP($B499,Pitchers!$A1:$S251,10,FALSE)</f>
        <v>18.3</v>
      </c>
      <c r="AJ499" s="30">
        <f>VLOOKUP($B499,Pitchers!$A1:$S251,11,FALSE)</f>
        <v>42.266666666666666</v>
      </c>
      <c r="AK499" s="30">
        <f>VLOOKUP($B499,Pitchers!$A1:$S251,12,FALSE)</f>
        <v>19.599999999999998</v>
      </c>
      <c r="AL499" s="30">
        <f>VLOOKUP($B499,Pitchers!$A1:$S251,13,FALSE)</f>
        <v>8</v>
      </c>
      <c r="AM499" s="30">
        <f>VLOOKUP($B499,Pitchers!$A1:$S251,14,FALSE)</f>
        <v>55.266666666666673</v>
      </c>
      <c r="AN499" s="30">
        <f>VLOOKUP($B499,Pitchers!$A1:$S251,15,FALSE)</f>
        <v>0</v>
      </c>
      <c r="AO499" s="30">
        <f>VLOOKUP($B499,Pitchers!$A1:$S251,16,FALSE)</f>
        <v>2.2666666666666666</v>
      </c>
      <c r="AP499" s="30">
        <f>VLOOKUP($B499,Pitchers!$A1:$S251,17,FALSE)</f>
        <v>0</v>
      </c>
      <c r="AQ499" s="30">
        <f>VLOOKUP($B499,Pitchers!$A1:$S251,18,FALSE)</f>
        <v>14.5</v>
      </c>
      <c r="AR499" s="30">
        <f>VLOOKUP($B499,Pitchers!$A1:$S251,19,FALSE)</f>
        <v>6</v>
      </c>
    </row>
    <row r="500" spans="1:44" ht="18.600000000000001" customHeight="1">
      <c r="A500" s="24">
        <f ca="1">RANK(I500,I$2:I$651)</f>
        <v>562</v>
      </c>
      <c r="B500" s="25" t="s">
        <v>658</v>
      </c>
      <c r="C500" s="26" t="s">
        <v>136</v>
      </c>
      <c r="D500" s="26" t="s">
        <v>75</v>
      </c>
      <c r="E500" s="41" t="s">
        <v>34</v>
      </c>
      <c r="F500" s="42">
        <f ca="1">VLOOKUP(B500,RP!A1:I91,IF(Settings!$J$13="points",4,7),FALSE)</f>
        <v>88</v>
      </c>
      <c r="G500" s="29">
        <f>(AC500*Settings!$F$2)+(AF500*Settings!$F$5)+(AG500*Settings!$F$6)+(AH500*Settings!$F$7)+(AI500*Settings!$F$8)+(AJ500*Settings!$F$9)+(AK500*Settings!$F$10)+(AL500*Settings!$F$11)+(AM500*Settings!$F$12)+(AN500*Settings!$F$13)+(AO500*Settings!$F$14)+(AP500*Settings!$F$15)+(AQ500*Settings!$F$16)+(AR500*Settings!$F$17)</f>
        <v>180.03333333333333</v>
      </c>
      <c r="H500" s="30">
        <f>VLOOKUP(B500,'Standard Deviations'!$A1:$D651,4,FALSE)</f>
        <v>-3.0220852137246212</v>
      </c>
      <c r="I500" s="31">
        <f ca="1">IF(Settings!$J$16="no",VLOOKUP(B500,RP!A1:I91,IF(Settings!$J$13="points",6,9),FALSE),VLOOKUP(B500,'SP+RP'!$A1:$I251,IF(Settings!$J$13="points",6,9),FALSE))</f>
        <v>-4.5931532086685296</v>
      </c>
      <c r="J500" s="30"/>
      <c r="K500" s="30">
        <f ca="1">J500-A500</f>
        <v>-562</v>
      </c>
      <c r="L500" s="30"/>
      <c r="M500" s="30"/>
      <c r="N500" s="30"/>
      <c r="O500" s="30"/>
      <c r="P500" s="30"/>
      <c r="Q500" s="30"/>
      <c r="R500" s="32"/>
      <c r="S500" s="32"/>
      <c r="T500" s="30"/>
      <c r="U500" s="30"/>
      <c r="V500" s="30"/>
      <c r="W500" s="30"/>
      <c r="X500" s="30"/>
      <c r="Y500" s="32"/>
      <c r="Z500" s="32"/>
      <c r="AA500" s="30"/>
      <c r="AB500" s="30"/>
      <c r="AC500" s="30">
        <f>VLOOKUP($B500,Pitchers!$A1:$S251,4,FALSE)</f>
        <v>60.566666666666663</v>
      </c>
      <c r="AD500" s="32">
        <f>VLOOKUP($B500,Pitchers!$A1:$S251,5,FALSE)</f>
        <v>3.6653824986241057</v>
      </c>
      <c r="AE500" s="32">
        <f>VLOOKUP($B500,Pitchers!$A1:$S251,6,FALSE)</f>
        <v>1.4232250963126032</v>
      </c>
      <c r="AF500" s="30">
        <f>VLOOKUP($B500,Pitchers!$A1:$S251,7,FALSE)</f>
        <v>77.600000000000009</v>
      </c>
      <c r="AG500" s="30">
        <f>VLOOKUP($B500,Pitchers!$A1:$S251,8,FALSE)</f>
        <v>3.3666666666666667</v>
      </c>
      <c r="AH500" s="30">
        <f>VLOOKUP($B500,Pitchers!$A1:$S251,9,FALSE)</f>
        <v>9</v>
      </c>
      <c r="AI500" s="30">
        <f>VLOOKUP($B500,Pitchers!$A1:$S251,10,FALSE)</f>
        <v>24.666666666666668</v>
      </c>
      <c r="AJ500" s="30">
        <f>VLOOKUP($B500,Pitchers!$A1:$S251,11,FALSE)</f>
        <v>50.199999999999996</v>
      </c>
      <c r="AK500" s="30">
        <f>VLOOKUP($B500,Pitchers!$A1:$S251,12,FALSE)</f>
        <v>36</v>
      </c>
      <c r="AL500" s="30">
        <f>VLOOKUP($B500,Pitchers!$A1:$S251,13,FALSE)</f>
        <v>5</v>
      </c>
      <c r="AM500" s="30">
        <f>VLOOKUP($B500,Pitchers!$A1:$S251,14,FALSE)</f>
        <v>64.600000000000009</v>
      </c>
      <c r="AN500" s="30">
        <f>VLOOKUP($B500,Pitchers!$A1:$S251,15,FALSE)</f>
        <v>0</v>
      </c>
      <c r="AO500" s="30">
        <f>VLOOKUP($B500,Pitchers!$A1:$S251,16,FALSE)</f>
        <v>3.2333333333333329</v>
      </c>
      <c r="AP500" s="30">
        <f>VLOOKUP($B500,Pitchers!$A1:$S251,17,FALSE)</f>
        <v>0</v>
      </c>
      <c r="AQ500" s="30">
        <f>VLOOKUP($B500,Pitchers!$A1:$S251,18,FALSE)</f>
        <v>13</v>
      </c>
      <c r="AR500" s="30">
        <f>VLOOKUP($B500,Pitchers!$A1:$S251,19,FALSE)</f>
        <v>2</v>
      </c>
    </row>
    <row r="501" spans="1:44" ht="18.600000000000001" customHeight="1">
      <c r="A501" s="24">
        <f ca="1">RANK(I501,I$2:I$651)</f>
        <v>620</v>
      </c>
      <c r="B501" s="25" t="s">
        <v>716</v>
      </c>
      <c r="C501" s="26" t="s">
        <v>99</v>
      </c>
      <c r="D501" s="26" t="s">
        <v>75</v>
      </c>
      <c r="E501" s="39" t="s">
        <v>7</v>
      </c>
      <c r="F501" s="40">
        <f ca="1">VLOOKUP(B501,'1B'!A1:I63,IF(Settings!$J$13="points",4,7),FALSE)</f>
        <v>54</v>
      </c>
      <c r="G501" s="29">
        <f>(M501*Settings!$B$2)+(N501*Settings!$B$3)+(O501*Settings!$B$4)+(P501*Settings!$B$5)+(Q501*Settings!$B$6)+(T501*Settings!$B$9)+(U501*Settings!$B$10)+(V501*Settings!$B$11)+(W501*Settings!$B$12)+(X501*Settings!$B$13)+(AA501*Settings!$B$16)</f>
        <v>179.78333333333319</v>
      </c>
      <c r="H501" s="30">
        <f>VLOOKUP(B501,'Standard Deviations'!$A1:$D651,4,FALSE)</f>
        <v>-3.5157942472844557</v>
      </c>
      <c r="I501" s="31">
        <f ca="1">IF(Settings!$J$15="no",VLOOKUP(B501,'1B'!A1:I63,IF(Settings!$J$13="points",6,9),FALSE),VLOOKUP(B501,'1B+3B'!$A1:$I104,IF(Settings!$J$13="points",6,9),FALSE))</f>
        <v>-6.0953244221358736</v>
      </c>
      <c r="J501" s="30"/>
      <c r="K501" s="30">
        <f ca="1">J501-A501</f>
        <v>-620</v>
      </c>
      <c r="L501" s="30"/>
      <c r="M501" s="30">
        <f>VLOOKUP($B501,Hitters!$A1:$R401,4,FALSE)</f>
        <v>256.33333333333297</v>
      </c>
      <c r="N501" s="30">
        <f>VLOOKUP($B501,Hitters!$A1:$R401,5,FALSE)</f>
        <v>34.200000000000003</v>
      </c>
      <c r="O501" s="30">
        <f>VLOOKUP($B501,Hitters!$A1:$R401,6,FALSE)</f>
        <v>12.7</v>
      </c>
      <c r="P501" s="30">
        <f>VLOOKUP($B501,Hitters!$A1:$R401,7,FALSE)</f>
        <v>36.200000000000003</v>
      </c>
      <c r="Q501" s="30">
        <f>VLOOKUP($B501,Hitters!$A1:$R401,8,FALSE)</f>
        <v>4.3333333333333304</v>
      </c>
      <c r="R501" s="32">
        <f>VLOOKUP($B501,Hitters!$A1:$R401,9,FALSE)</f>
        <v>0.217945383615085</v>
      </c>
      <c r="S501" s="32">
        <f>VLOOKUP($B501,Hitters!$A1:$R401,10,FALSE)</f>
        <v>0.281216441071998</v>
      </c>
      <c r="T501" s="30">
        <f>VLOOKUP($B501,Hitters!$A1:$R401,11,FALSE)</f>
        <v>55.866666666666703</v>
      </c>
      <c r="U501" s="30">
        <f>VLOOKUP($B501,Hitters!$A1:$R401,12,FALSE)</f>
        <v>10.233333333333301</v>
      </c>
      <c r="V501" s="30">
        <f>VLOOKUP($B501,Hitters!$A1:$R401,13,FALSE)</f>
        <v>0.96666666666666701</v>
      </c>
      <c r="W501" s="30">
        <f>VLOOKUP($B501,Hitters!$A1:$R401,14,FALSE)</f>
        <v>23.566666666666698</v>
      </c>
      <c r="X501" s="30">
        <f>VLOOKUP($B501,Hitters!$A1:$R401,15,FALSE)</f>
        <v>105.76666666666701</v>
      </c>
      <c r="Y501" s="32">
        <f>VLOOKUP($B501,Hitters!$A1:$R401,16,FALSE)</f>
        <v>0.414044213263979</v>
      </c>
      <c r="Z501" s="32">
        <f>VLOOKUP($B501,Hitters!$A1:$R401,17,FALSE)</f>
        <v>0.69526065433597695</v>
      </c>
      <c r="AA501" s="30">
        <f>VLOOKUP($B501,Hitters!$A1:$R401,18,FALSE)</f>
        <v>0</v>
      </c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</row>
    <row r="502" spans="1:44" ht="18.600000000000001" customHeight="1">
      <c r="A502" s="24">
        <f ca="1">RANK(I502,I$2:I$651)</f>
        <v>587</v>
      </c>
      <c r="B502" s="25" t="s">
        <v>683</v>
      </c>
      <c r="C502" s="26"/>
      <c r="D502" s="26" t="s">
        <v>70</v>
      </c>
      <c r="E502" s="39" t="s">
        <v>7</v>
      </c>
      <c r="F502" s="40">
        <f ca="1">VLOOKUP(B502,'1B'!A1:I63,IF(Settings!$J$13="points",4,7),FALSE)</f>
        <v>45</v>
      </c>
      <c r="G502" s="29">
        <f>(M502*Settings!$B$2)+(N502*Settings!$B$3)+(O502*Settings!$B$4)+(P502*Settings!$B$5)+(Q502*Settings!$B$6)+(T502*Settings!$B$9)+(U502*Settings!$B$10)+(V502*Settings!$B$11)+(W502*Settings!$B$12)+(X502*Settings!$B$13)+(AA502*Settings!$B$16)</f>
        <v>179.28333333333333</v>
      </c>
      <c r="H502" s="30">
        <f>VLOOKUP(B502,'Standard Deviations'!$A1:$D651,4,FALSE)</f>
        <v>-2.3532240797733222</v>
      </c>
      <c r="I502" s="31">
        <f ca="1">IF(Settings!$J$15="no",VLOOKUP(B502,'1B'!A1:I63,IF(Settings!$J$13="points",6,9),FALSE),VLOOKUP(B502,'1B+3B'!$A1:$I104,IF(Settings!$J$13="points",6,9),FALSE))</f>
        <v>-4.9327536692436347</v>
      </c>
      <c r="J502" s="30"/>
      <c r="K502" s="30">
        <f ca="1">J502-A502</f>
        <v>-587</v>
      </c>
      <c r="L502" s="30"/>
      <c r="M502" s="30">
        <f>VLOOKUP($B502,Hitters!$A1:$R401,4,FALSE)</f>
        <v>271.33333333333297</v>
      </c>
      <c r="N502" s="30">
        <f>VLOOKUP($B502,Hitters!$A1:$R401,5,FALSE)</f>
        <v>29.8333333333333</v>
      </c>
      <c r="O502" s="30">
        <f>VLOOKUP($B502,Hitters!$A1:$R401,6,FALSE)</f>
        <v>4.9000000000000004</v>
      </c>
      <c r="P502" s="30">
        <f>VLOOKUP($B502,Hitters!$A1:$R401,7,FALSE)</f>
        <v>30.4</v>
      </c>
      <c r="Q502" s="30">
        <f>VLOOKUP($B502,Hitters!$A1:$R401,8,FALSE)</f>
        <v>0.9</v>
      </c>
      <c r="R502" s="32">
        <f>VLOOKUP($B502,Hitters!$A1:$R401,9,FALSE)</f>
        <v>0.28194103194103198</v>
      </c>
      <c r="S502" s="32">
        <f>VLOOKUP($B502,Hitters!$A1:$R401,10,FALSE)</f>
        <v>0.32350120999041099</v>
      </c>
      <c r="T502" s="30">
        <f>VLOOKUP($B502,Hitters!$A1:$R401,11,FALSE)</f>
        <v>76.5</v>
      </c>
      <c r="U502" s="30">
        <f>VLOOKUP($B502,Hitters!$A1:$R401,12,FALSE)</f>
        <v>15.6</v>
      </c>
      <c r="V502" s="30">
        <f>VLOOKUP($B502,Hitters!$A1:$R401,13,FALSE)</f>
        <v>0.133333333333333</v>
      </c>
      <c r="W502" s="30">
        <f>VLOOKUP($B502,Hitters!$A1:$R401,14,FALSE)</f>
        <v>17.966666666666701</v>
      </c>
      <c r="X502" s="30">
        <f>VLOOKUP($B502,Hitters!$A1:$R401,15,FALSE)</f>
        <v>56.8333333333333</v>
      </c>
      <c r="Y502" s="32">
        <f>VLOOKUP($B502,Hitters!$A1:$R401,16,FALSE)</f>
        <v>0.39459459459459501</v>
      </c>
      <c r="Z502" s="32">
        <f>VLOOKUP($B502,Hitters!$A1:$R401,17,FALSE)</f>
        <v>0.71809580458500599</v>
      </c>
      <c r="AA502" s="30">
        <f>VLOOKUP($B502,Hitters!$A1:$R401,18,FALSE)</f>
        <v>0</v>
      </c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</row>
    <row r="503" spans="1:44" ht="18.600000000000001" customHeight="1">
      <c r="A503" s="24">
        <f ca="1">RANK(I503,I$2:I$651)</f>
        <v>512</v>
      </c>
      <c r="B503" s="25" t="s">
        <v>609</v>
      </c>
      <c r="C503" s="26" t="s">
        <v>309</v>
      </c>
      <c r="D503" s="26" t="s">
        <v>75</v>
      </c>
      <c r="E503" s="27" t="s">
        <v>23</v>
      </c>
      <c r="F503" s="28">
        <f ca="1">VLOOKUP(B503,OF!A1:I139,IF(Settings!$J$13="points",4,7),FALSE)</f>
        <v>117</v>
      </c>
      <c r="G503" s="29">
        <f>(M503*Settings!$B$2)+(N503*Settings!$B$3)+(O503*Settings!$B$4)+(P503*Settings!$B$5)+(Q503*Settings!$B$6)+(T503*Settings!$B$9)+(U503*Settings!$B$10)+(V503*Settings!$B$11)+(W503*Settings!$B$12)+(X503*Settings!$B$13)+(AA503*Settings!$B$16)</f>
        <v>178.85</v>
      </c>
      <c r="H503" s="30">
        <f>VLOOKUP(B503,'Standard Deviations'!$A1:$D651,4,FALSE)</f>
        <v>-3.6240312949458491</v>
      </c>
      <c r="I503" s="31">
        <f ca="1">VLOOKUP(B503,OF!A1:I139,IF(Settings!$J$13="points",6,9),FALSE)</f>
        <v>-3.7427421512594838</v>
      </c>
      <c r="J503" s="30"/>
      <c r="K503" s="30">
        <f ca="1">J503-A503</f>
        <v>-512</v>
      </c>
      <c r="L503" s="30"/>
      <c r="M503" s="30">
        <f>VLOOKUP($B503,Hitters!$A1:$R401,4,FALSE)</f>
        <v>226.666666666667</v>
      </c>
      <c r="N503" s="30">
        <f>VLOOKUP($B503,Hitters!$A1:$R401,5,FALSE)</f>
        <v>32.200000000000003</v>
      </c>
      <c r="O503" s="30">
        <f>VLOOKUP($B503,Hitters!$A1:$R401,6,FALSE)</f>
        <v>8.0333333333333297</v>
      </c>
      <c r="P503" s="30">
        <f>VLOOKUP($B503,Hitters!$A1:$R401,7,FALSE)</f>
        <v>27.1666666666667</v>
      </c>
      <c r="Q503" s="30">
        <f>VLOOKUP($B503,Hitters!$A1:$R401,8,FALSE)</f>
        <v>4.9666666666666703</v>
      </c>
      <c r="R503" s="32">
        <f>VLOOKUP($B503,Hitters!$A1:$R401,9,FALSE)</f>
        <v>0.23617647058823499</v>
      </c>
      <c r="S503" s="32">
        <f>VLOOKUP($B503,Hitters!$A1:$R401,10,FALSE)</f>
        <v>0.31493295143861499</v>
      </c>
      <c r="T503" s="30">
        <f>VLOOKUP($B503,Hitters!$A1:$R401,11,FALSE)</f>
        <v>53.533333333333303</v>
      </c>
      <c r="U503" s="30">
        <f>VLOOKUP($B503,Hitters!$A1:$R401,12,FALSE)</f>
        <v>10.5</v>
      </c>
      <c r="V503" s="30">
        <f>VLOOKUP($B503,Hitters!$A1:$R401,13,FALSE)</f>
        <v>1</v>
      </c>
      <c r="W503" s="30">
        <f>VLOOKUP($B503,Hitters!$A1:$R401,14,FALSE)</f>
        <v>27.1</v>
      </c>
      <c r="X503" s="30">
        <f>VLOOKUP($B503,Hitters!$A1:$R401,15,FALSE)</f>
        <v>54.433333333333302</v>
      </c>
      <c r="Y503" s="32">
        <f>VLOOKUP($B503,Hitters!$A1:$R401,16,FALSE)</f>
        <v>0.39764705882352902</v>
      </c>
      <c r="Z503" s="32">
        <f>VLOOKUP($B503,Hitters!$A1:$R401,17,FALSE)</f>
        <v>0.71258001026214401</v>
      </c>
      <c r="AA503" s="30">
        <f>VLOOKUP($B503,Hitters!$A1:$R401,18,FALSE)</f>
        <v>0</v>
      </c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</row>
    <row r="504" spans="1:44" ht="18.600000000000001" customHeight="1">
      <c r="A504" s="24">
        <f ca="1">RANK(I504,I$2:I$651)</f>
        <v>258</v>
      </c>
      <c r="B504" s="25" t="s">
        <v>355</v>
      </c>
      <c r="C504" s="26" t="s">
        <v>103</v>
      </c>
      <c r="D504" s="26" t="s">
        <v>70</v>
      </c>
      <c r="E504" s="41" t="s">
        <v>34</v>
      </c>
      <c r="F504" s="42">
        <f ca="1">VLOOKUP(B504,RP!A1:I91,IF(Settings!$J$13="points",4,7),FALSE)</f>
        <v>22</v>
      </c>
      <c r="G504" s="29">
        <f>(AC504*Settings!$F$2)+(AF504*Settings!$F$5)+(AG504*Settings!$F$6)+(AH504*Settings!$F$7)+(AI504*Settings!$F$8)+(AJ504*Settings!$F$9)+(AK504*Settings!$F$10)+(AL504*Settings!$F$11)+(AM504*Settings!$F$12)+(AN504*Settings!$F$13)+(AO504*Settings!$F$14)+(AP504*Settings!$F$15)+(AQ504*Settings!$F$16)+(AR504*Settings!$F$17)</f>
        <v>178.44999999999993</v>
      </c>
      <c r="H504" s="30">
        <f>VLOOKUP(B504,'Standard Deviations'!$A1:$D651,4,FALSE)</f>
        <v>1.3527348521273681</v>
      </c>
      <c r="I504" s="31">
        <f ca="1">IF(Settings!$J$16="no",VLOOKUP(B504,RP!A1:I91,IF(Settings!$J$13="points",6,9),FALSE),VLOOKUP(B504,'SP+RP'!$A1:$I251,IF(Settings!$J$13="points",6,9),FALSE))</f>
        <v>-0.21832667418637075</v>
      </c>
      <c r="J504" s="30"/>
      <c r="K504" s="30">
        <f ca="1">J504-A504</f>
        <v>-258</v>
      </c>
      <c r="L504" s="30"/>
      <c r="M504" s="30"/>
      <c r="N504" s="30"/>
      <c r="O504" s="30"/>
      <c r="P504" s="30"/>
      <c r="Q504" s="30"/>
      <c r="R504" s="32"/>
      <c r="S504" s="32"/>
      <c r="T504" s="30"/>
      <c r="U504" s="30"/>
      <c r="V504" s="30"/>
      <c r="W504" s="30"/>
      <c r="X504" s="30"/>
      <c r="Y504" s="32"/>
      <c r="Z504" s="32"/>
      <c r="AA504" s="30"/>
      <c r="AB504" s="30"/>
      <c r="AC504" s="30">
        <f>VLOOKUP($B504,Pitchers!$A1:$S251,4,FALSE)</f>
        <v>55.566666666666663</v>
      </c>
      <c r="AD504" s="32">
        <f>VLOOKUP($B504,Pitchers!$A1:$S251,5,FALSE)</f>
        <v>2.996400719856029</v>
      </c>
      <c r="AE504" s="32">
        <f>VLOOKUP($B504,Pitchers!$A1:$S251,6,FALSE)</f>
        <v>1.0509898020395922</v>
      </c>
      <c r="AF504" s="30">
        <f>VLOOKUP($B504,Pitchers!$A1:$S251,7,FALSE)</f>
        <v>66.766666666666666</v>
      </c>
      <c r="AG504" s="30">
        <f>VLOOKUP($B504,Pitchers!$A1:$S251,8,FALSE)</f>
        <v>2.8000000000000003</v>
      </c>
      <c r="AH504" s="30">
        <f>VLOOKUP($B504,Pitchers!$A1:$S251,9,FALSE)</f>
        <v>7</v>
      </c>
      <c r="AI504" s="30">
        <f>VLOOKUP($B504,Pitchers!$A1:$S251,10,FALSE)</f>
        <v>18.5</v>
      </c>
      <c r="AJ504" s="30">
        <f>VLOOKUP($B504,Pitchers!$A1:$S251,11,FALSE)</f>
        <v>39.233333333333334</v>
      </c>
      <c r="AK504" s="30">
        <f>VLOOKUP($B504,Pitchers!$A1:$S251,12,FALSE)</f>
        <v>19.166666666666668</v>
      </c>
      <c r="AL504" s="30">
        <f>VLOOKUP($B504,Pitchers!$A1:$S251,13,FALSE)</f>
        <v>8</v>
      </c>
      <c r="AM504" s="30">
        <f>VLOOKUP($B504,Pitchers!$A1:$S251,14,FALSE)</f>
        <v>57.6</v>
      </c>
      <c r="AN504" s="30">
        <f>VLOOKUP($B504,Pitchers!$A1:$S251,15,FALSE)</f>
        <v>0</v>
      </c>
      <c r="AO504" s="30">
        <f>VLOOKUP($B504,Pitchers!$A1:$S251,16,FALSE)</f>
        <v>2.6666666666666665</v>
      </c>
      <c r="AP504" s="30">
        <f>VLOOKUP($B504,Pitchers!$A1:$S251,17,FALSE)</f>
        <v>0</v>
      </c>
      <c r="AQ504" s="30">
        <f>VLOOKUP($B504,Pitchers!$A1:$S251,18,FALSE)</f>
        <v>15.5</v>
      </c>
      <c r="AR504" s="30">
        <f>VLOOKUP($B504,Pitchers!$A1:$S251,19,FALSE)</f>
        <v>5</v>
      </c>
    </row>
    <row r="505" spans="1:44" ht="20.100000000000001" customHeight="1">
      <c r="A505" s="24">
        <f ca="1">RANK(I505,I$2:I$651)</f>
        <v>498</v>
      </c>
      <c r="B505" s="25" t="s">
        <v>598</v>
      </c>
      <c r="C505" s="26" t="s">
        <v>92</v>
      </c>
      <c r="D505" s="26" t="s">
        <v>75</v>
      </c>
      <c r="E505" s="35" t="s">
        <v>31</v>
      </c>
      <c r="F505" s="36">
        <f ca="1">VLOOKUP(B505,SP!A1:I161,IF(Settings!$J$13="points",4,7),FALSE)</f>
        <v>143</v>
      </c>
      <c r="G505" s="29">
        <f>(AC505*Settings!$F$2)+(AF505*Settings!$F$5)+(AG505*Settings!$F$6)+(AH505*Settings!$F$7)+(AI505*Settings!$F$8)+(AJ505*Settings!$F$9)+(AK505*Settings!$F$10)+(AL505*Settings!$F$11)+(AM505*Settings!$F$12)+(AN505*Settings!$F$13)+(AO505*Settings!$F$14)+(AP505*Settings!$F$15)+(AQ505*Settings!$F$16)+(AR505*Settings!$F$17)</f>
        <v>177.32299999999995</v>
      </c>
      <c r="H505" s="30">
        <f>VLOOKUP(B505,'Standard Deviations'!$A1:$D651,4,FALSE)</f>
        <v>-3.4044250436551491</v>
      </c>
      <c r="I505" s="31">
        <f ca="1">IF(Settings!$J$16="no",VLOOKUP(B505,SP!A1:I161,IF(Settings!$J$13="points",6,9),FALSE),VLOOKUP(B505,'SP+RP'!$A1:$I251,IF(Settings!$J$13="points",6,9),FALSE))</f>
        <v>-3.5404065109338965</v>
      </c>
      <c r="J505" s="30"/>
      <c r="K505" s="30">
        <f ca="1">J505-A505</f>
        <v>-498</v>
      </c>
      <c r="L505" s="30"/>
      <c r="M505" s="30"/>
      <c r="N505" s="30"/>
      <c r="O505" s="30"/>
      <c r="P505" s="30"/>
      <c r="Q505" s="30"/>
      <c r="R505" s="32"/>
      <c r="S505" s="32"/>
      <c r="T505" s="30"/>
      <c r="U505" s="30"/>
      <c r="V505" s="30"/>
      <c r="W505" s="30"/>
      <c r="X505" s="30"/>
      <c r="Y505" s="32"/>
      <c r="Z505" s="32"/>
      <c r="AA505" s="30"/>
      <c r="AB505" s="30"/>
      <c r="AC505" s="30">
        <f>VLOOKUP($B505,Pitchers!$A1:$S251,4,FALSE)</f>
        <v>85.5</v>
      </c>
      <c r="AD505" s="32">
        <f>VLOOKUP($B505,Pitchers!$A1:$S251,5,FALSE)</f>
        <v>4.2923157894736841</v>
      </c>
      <c r="AE505" s="32">
        <f>VLOOKUP($B505,Pitchers!$A1:$S251,6,FALSE)</f>
        <v>1.2771929824561403</v>
      </c>
      <c r="AF505" s="30">
        <f>VLOOKUP($B505,Pitchers!$A1:$S251,7,FALSE)</f>
        <v>80.8</v>
      </c>
      <c r="AG505" s="30">
        <f>VLOOKUP($B505,Pitchers!$A1:$S251,8,FALSE)</f>
        <v>4.95</v>
      </c>
      <c r="AH505" s="30">
        <f>VLOOKUP($B505,Pitchers!$A1:$S251,9,FALSE)</f>
        <v>0</v>
      </c>
      <c r="AI505" s="30">
        <f>VLOOKUP($B505,Pitchers!$A1:$S251,10,FALSE)</f>
        <v>40.777000000000001</v>
      </c>
      <c r="AJ505" s="30">
        <f>VLOOKUP($B505,Pitchers!$A1:$S251,11,FALSE)</f>
        <v>82.15</v>
      </c>
      <c r="AK505" s="30">
        <f>VLOOKUP($B505,Pitchers!$A1:$S251,12,FALSE)</f>
        <v>27.05</v>
      </c>
      <c r="AL505" s="30">
        <f>VLOOKUP($B505,Pitchers!$A1:$S251,13,FALSE)</f>
        <v>15</v>
      </c>
      <c r="AM505" s="30">
        <f>VLOOKUP($B505,Pitchers!$A1:$S251,14,FALSE)</f>
        <v>16.100000000000001</v>
      </c>
      <c r="AN505" s="30">
        <f>VLOOKUP($B505,Pitchers!$A1:$S251,15,FALSE)</f>
        <v>15.6</v>
      </c>
      <c r="AO505" s="30">
        <f>VLOOKUP($B505,Pitchers!$A1:$S251,16,FALSE)</f>
        <v>5.05</v>
      </c>
      <c r="AP505" s="30">
        <f>VLOOKUP($B505,Pitchers!$A1:$S251,17,FALSE)</f>
        <v>7</v>
      </c>
      <c r="AQ505" s="30">
        <f>VLOOKUP($B505,Pitchers!$A1:$S251,18,FALSE)</f>
        <v>0</v>
      </c>
      <c r="AR505" s="30">
        <f>VLOOKUP($B505,Pitchers!$A1:$S251,19,FALSE)</f>
        <v>0</v>
      </c>
    </row>
    <row r="506" spans="1:44" ht="20.100000000000001" customHeight="1">
      <c r="A506" s="24">
        <f ca="1">RANK(I506,I$2:I$651)</f>
        <v>411</v>
      </c>
      <c r="B506" s="25" t="s">
        <v>508</v>
      </c>
      <c r="C506" s="26" t="s">
        <v>178</v>
      </c>
      <c r="D506" s="26" t="s">
        <v>75</v>
      </c>
      <c r="E506" s="27" t="s">
        <v>23</v>
      </c>
      <c r="F506" s="28">
        <f ca="1">VLOOKUP(B506,OF!A1:I139,IF(Settings!$J$13="points",4,7),FALSE)</f>
        <v>111</v>
      </c>
      <c r="G506" s="29">
        <f>(M506*Settings!$B$2)+(N506*Settings!$B$3)+(O506*Settings!$B$4)+(P506*Settings!$B$5)+(Q506*Settings!$B$6)+(T506*Settings!$B$9)+(U506*Settings!$B$10)+(V506*Settings!$B$11)+(W506*Settings!$B$12)+(X506*Settings!$B$13)+(AA506*Settings!$B$16)</f>
        <v>176.65000000000012</v>
      </c>
      <c r="H506" s="30">
        <f>VLOOKUP(B506,'Standard Deviations'!$A1:$D651,4,FALSE)</f>
        <v>-2.5018492173512517</v>
      </c>
      <c r="I506" s="31">
        <f ca="1">VLOOKUP(B506,OF!A1:I139,IF(Settings!$J$13="points",6,9),FALSE)</f>
        <v>-2.6205629258762424</v>
      </c>
      <c r="J506" s="30"/>
      <c r="K506" s="30">
        <f ca="1">J506-A506</f>
        <v>-411</v>
      </c>
      <c r="L506" s="30"/>
      <c r="M506" s="30">
        <f>VLOOKUP($B506,Hitters!$A1:$R401,4,FALSE)</f>
        <v>193</v>
      </c>
      <c r="N506" s="30">
        <f>VLOOKUP($B506,Hitters!$A1:$R401,5,FALSE)</f>
        <v>27.3</v>
      </c>
      <c r="O506" s="30">
        <f>VLOOKUP($B506,Hitters!$A1:$R401,6,FALSE)</f>
        <v>8.3333333333333304</v>
      </c>
      <c r="P506" s="30">
        <f>VLOOKUP($B506,Hitters!$A1:$R401,7,FALSE)</f>
        <v>27.566666666666698</v>
      </c>
      <c r="Q506" s="30">
        <f>VLOOKUP($B506,Hitters!$A1:$R401,8,FALSE)</f>
        <v>2.2999999999999998</v>
      </c>
      <c r="R506" s="32">
        <f>VLOOKUP($B506,Hitters!$A1:$R401,9,FALSE)</f>
        <v>0.270811744386874</v>
      </c>
      <c r="S506" s="32">
        <f>VLOOKUP($B506,Hitters!$A1:$R401,10,FALSE)</f>
        <v>0.37682552162961003</v>
      </c>
      <c r="T506" s="30">
        <f>VLOOKUP($B506,Hitters!$A1:$R401,11,FALSE)</f>
        <v>52.266666666666701</v>
      </c>
      <c r="U506" s="30">
        <f>VLOOKUP($B506,Hitters!$A1:$R401,12,FALSE)</f>
        <v>12.5666666666667</v>
      </c>
      <c r="V506" s="30">
        <f>VLOOKUP($B506,Hitters!$A1:$R401,13,FALSE)</f>
        <v>0.83333333333333304</v>
      </c>
      <c r="W506" s="30">
        <f>VLOOKUP($B506,Hitters!$A1:$R401,14,FALSE)</f>
        <v>34</v>
      </c>
      <c r="X506" s="30">
        <f>VLOOKUP($B506,Hitters!$A1:$R401,15,FALSE)</f>
        <v>60.1</v>
      </c>
      <c r="Y506" s="32">
        <f>VLOOKUP($B506,Hitters!$A1:$R401,16,FALSE)</f>
        <v>0.47409326424870502</v>
      </c>
      <c r="Z506" s="32">
        <f>VLOOKUP($B506,Hitters!$A1:$R401,17,FALSE)</f>
        <v>0.85091878587831504</v>
      </c>
      <c r="AA506" s="30">
        <f>VLOOKUP($B506,Hitters!$A1:$R401,18,FALSE)</f>
        <v>0</v>
      </c>
      <c r="AB506" s="30"/>
      <c r="AC506" s="30"/>
      <c r="AD506" s="32"/>
      <c r="AE506" s="32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</row>
    <row r="507" spans="1:44" ht="20.100000000000001" customHeight="1">
      <c r="A507" s="24">
        <f ca="1">RANK(I507,I$2:I$651)</f>
        <v>628</v>
      </c>
      <c r="B507" s="25" t="s">
        <v>724</v>
      </c>
      <c r="C507" s="26" t="s">
        <v>139</v>
      </c>
      <c r="D507" s="26" t="s">
        <v>75</v>
      </c>
      <c r="E507" s="39" t="s">
        <v>7</v>
      </c>
      <c r="F507" s="40">
        <f ca="1">VLOOKUP(B507,'1B'!A1:I63,IF(Settings!$J$13="points",4,7),FALSE)</f>
        <v>55</v>
      </c>
      <c r="G507" s="29">
        <f>(M507*Settings!$B$2)+(N507*Settings!$B$3)+(O507*Settings!$B$4)+(P507*Settings!$B$5)+(Q507*Settings!$B$6)+(T507*Settings!$B$9)+(U507*Settings!$B$10)+(V507*Settings!$B$11)+(W507*Settings!$B$12)+(X507*Settings!$B$13)+(AA507*Settings!$B$16)</f>
        <v>175.66666666666666</v>
      </c>
      <c r="H507" s="30">
        <f>VLOOKUP(B507,'Standard Deviations'!$A1:$D651,4,FALSE)</f>
        <v>-4.0334967193702775</v>
      </c>
      <c r="I507" s="31">
        <f ca="1">IF(Settings!$J$15="no",VLOOKUP(B507,'1B'!A1:I63,IF(Settings!$J$13="points",6,9),FALSE),VLOOKUP(B507,'1B+3B'!$A1:$I104,IF(Settings!$J$13="points",6,9),FALSE))</f>
        <v>-6.6130252531942837</v>
      </c>
      <c r="J507" s="30"/>
      <c r="K507" s="30">
        <f ca="1">J507-A507</f>
        <v>-628</v>
      </c>
      <c r="L507" s="30"/>
      <c r="M507" s="30">
        <f>VLOOKUP($B507,Hitters!$A1:$R401,4,FALSE)</f>
        <v>239.333333333333</v>
      </c>
      <c r="N507" s="30">
        <f>VLOOKUP($B507,Hitters!$A1:$R401,5,FALSE)</f>
        <v>32.299999999999997</v>
      </c>
      <c r="O507" s="30">
        <f>VLOOKUP($B507,Hitters!$A1:$R401,6,FALSE)</f>
        <v>6.0333333333333297</v>
      </c>
      <c r="P507" s="30">
        <f>VLOOKUP($B507,Hitters!$A1:$R401,7,FALSE)</f>
        <v>25.033333333333299</v>
      </c>
      <c r="Q507" s="30">
        <f>VLOOKUP($B507,Hitters!$A1:$R401,8,FALSE)</f>
        <v>2.9</v>
      </c>
      <c r="R507" s="32">
        <f>VLOOKUP($B507,Hitters!$A1:$R401,9,FALSE)</f>
        <v>0.241225626740947</v>
      </c>
      <c r="S507" s="32">
        <f>VLOOKUP($B507,Hitters!$A1:$R401,10,FALSE)</f>
        <v>0.33034891056437099</v>
      </c>
      <c r="T507" s="30">
        <f>VLOOKUP($B507,Hitters!$A1:$R401,11,FALSE)</f>
        <v>57.733333333333299</v>
      </c>
      <c r="U507" s="30">
        <f>VLOOKUP($B507,Hitters!$A1:$R401,12,FALSE)</f>
        <v>11.5666666666667</v>
      </c>
      <c r="V507" s="30">
        <f>VLOOKUP($B507,Hitters!$A1:$R401,13,FALSE)</f>
        <v>1.36666666666667</v>
      </c>
      <c r="W507" s="30">
        <f>VLOOKUP($B507,Hitters!$A1:$R401,14,FALSE)</f>
        <v>33.033333333333303</v>
      </c>
      <c r="X507" s="30">
        <f>VLOOKUP($B507,Hitters!$A1:$R401,15,FALSE)</f>
        <v>59.2</v>
      </c>
      <c r="Y507" s="32">
        <f>VLOOKUP($B507,Hitters!$A1:$R401,16,FALSE)</f>
        <v>0.37660167130919198</v>
      </c>
      <c r="Z507" s="32">
        <f>VLOOKUP($B507,Hitters!$A1:$R401,17,FALSE)</f>
        <v>0.70695058187356297</v>
      </c>
      <c r="AA507" s="30">
        <f>VLOOKUP($B507,Hitters!$A1:$R401,18,FALSE)</f>
        <v>0</v>
      </c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</row>
    <row r="508" spans="1:44" ht="20.100000000000001" customHeight="1">
      <c r="A508" s="24">
        <f ca="1">RANK(I508,I$2:I$651)</f>
        <v>394</v>
      </c>
      <c r="B508" s="25" t="s">
        <v>491</v>
      </c>
      <c r="C508" s="26" t="s">
        <v>122</v>
      </c>
      <c r="D508" s="26" t="s">
        <v>75</v>
      </c>
      <c r="E508" s="45" t="s">
        <v>19</v>
      </c>
      <c r="F508" s="46">
        <f ca="1">VLOOKUP(B508,'C'!A1:I54,IF(Settings!$J$13="points",4,7),FALSE)</f>
        <v>21</v>
      </c>
      <c r="G508" s="29">
        <f>(M508*Settings!$B$2)+(N508*Settings!$B$3)+(O508*Settings!$B$4)+(P508*Settings!$B$5)+(Q508*Settings!$B$6)+(T508*Settings!$B$9)+(U508*Settings!$B$10)+(V508*Settings!$B$11)+(W508*Settings!$B$12)+(X508*Settings!$B$13)+(AA508*Settings!$B$16)</f>
        <v>175.48333333333341</v>
      </c>
      <c r="H508" s="30">
        <f>VLOOKUP(B508,'Standard Deviations'!$A1:$D651,4,FALSE)</f>
        <v>-2.6729473880164019</v>
      </c>
      <c r="I508" s="31">
        <f ca="1">VLOOKUP(B508,'C'!A1:I54,IF(Settings!$J$13="points",6,9),FALSE)</f>
        <v>-2.3558561393521185</v>
      </c>
      <c r="J508" s="30"/>
      <c r="K508" s="30">
        <f ca="1">J508-A508</f>
        <v>-394</v>
      </c>
      <c r="L508" s="30"/>
      <c r="M508" s="30">
        <f>VLOOKUP($B508,Hitters!$A1:$R401,4,FALSE)</f>
        <v>249</v>
      </c>
      <c r="N508" s="30">
        <f>VLOOKUP($B508,Hitters!$A1:$R401,5,FALSE)</f>
        <v>30.633333333333301</v>
      </c>
      <c r="O508" s="30">
        <f>VLOOKUP($B508,Hitters!$A1:$R401,6,FALSE)</f>
        <v>5.6</v>
      </c>
      <c r="P508" s="30">
        <f>VLOOKUP($B508,Hitters!$A1:$R401,7,FALSE)</f>
        <v>28.866666666666699</v>
      </c>
      <c r="Q508" s="30">
        <f>VLOOKUP($B508,Hitters!$A1:$R401,8,FALSE)</f>
        <v>2.3333333333333299</v>
      </c>
      <c r="R508" s="32">
        <f>VLOOKUP($B508,Hitters!$A1:$R401,9,FALSE)</f>
        <v>0.26987951807228899</v>
      </c>
      <c r="S508" s="32">
        <f>VLOOKUP($B508,Hitters!$A1:$R401,10,FALSE)</f>
        <v>0.31943572510063101</v>
      </c>
      <c r="T508" s="30">
        <f>VLOOKUP($B508,Hitters!$A1:$R401,11,FALSE)</f>
        <v>67.2</v>
      </c>
      <c r="U508" s="30">
        <f>VLOOKUP($B508,Hitters!$A1:$R401,12,FALSE)</f>
        <v>11.466666666666701</v>
      </c>
      <c r="V508" s="30">
        <f>VLOOKUP($B508,Hitters!$A1:$R401,13,FALSE)</f>
        <v>0.6</v>
      </c>
      <c r="W508" s="30">
        <f>VLOOKUP($B508,Hitters!$A1:$R401,14,FALSE)</f>
        <v>19.3</v>
      </c>
      <c r="X508" s="30">
        <f>VLOOKUP($B508,Hitters!$A1:$R401,15,FALSE)</f>
        <v>44.633333333333297</v>
      </c>
      <c r="Y508" s="32">
        <f>VLOOKUP($B508,Hitters!$A1:$R401,16,FALSE)</f>
        <v>0.38821954484605098</v>
      </c>
      <c r="Z508" s="32">
        <f>VLOOKUP($B508,Hitters!$A1:$R401,17,FALSE)</f>
        <v>0.70765526994668204</v>
      </c>
      <c r="AA508" s="30">
        <f>VLOOKUP($B508,Hitters!$A1:$R401,18,FALSE)</f>
        <v>0</v>
      </c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</row>
    <row r="509" spans="1:44" ht="20.100000000000001" customHeight="1">
      <c r="A509" s="24">
        <f ca="1">RANK(I509,I$2:I$651)</f>
        <v>438</v>
      </c>
      <c r="B509" s="25" t="s">
        <v>538</v>
      </c>
      <c r="C509" s="26" t="s">
        <v>142</v>
      </c>
      <c r="D509" s="26" t="s">
        <v>70</v>
      </c>
      <c r="E509" s="35" t="s">
        <v>31</v>
      </c>
      <c r="F509" s="36">
        <f ca="1">VLOOKUP(B509,SP!A1:I161,IF(Settings!$J$13="points",4,7),FALSE)</f>
        <v>126</v>
      </c>
      <c r="G509" s="29">
        <f>(AC509*Settings!$F$2)+(AF509*Settings!$F$5)+(AG509*Settings!$F$6)+(AH509*Settings!$F$7)+(AI509*Settings!$F$8)+(AJ509*Settings!$F$9)+(AK509*Settings!$F$10)+(AL509*Settings!$F$11)+(AM509*Settings!$F$12)+(AN509*Settings!$F$13)+(AO509*Settings!$F$14)+(AP509*Settings!$F$15)+(AQ509*Settings!$F$16)+(AR509*Settings!$F$17)</f>
        <v>175.35799999999998</v>
      </c>
      <c r="H509" s="30">
        <f>VLOOKUP(B509,'Standard Deviations'!$A1:$D651,4,FALSE)</f>
        <v>-2.7309430726657986</v>
      </c>
      <c r="I509" s="31">
        <f ca="1">IF(Settings!$J$16="no",VLOOKUP(B509,SP!A1:I161,IF(Settings!$J$13="points",6,9),FALSE),VLOOKUP(B509,'SP+RP'!$A1:$I251,IF(Settings!$J$13="points",6,9),FALSE))</f>
        <v>-2.8669276566957054</v>
      </c>
      <c r="J509" s="30"/>
      <c r="K509" s="30">
        <f ca="1">J509-A509</f>
        <v>-438</v>
      </c>
      <c r="L509" s="30"/>
      <c r="M509" s="30"/>
      <c r="N509" s="30"/>
      <c r="O509" s="30"/>
      <c r="P509" s="30"/>
      <c r="Q509" s="30"/>
      <c r="R509" s="32"/>
      <c r="S509" s="32"/>
      <c r="T509" s="30"/>
      <c r="U509" s="30"/>
      <c r="V509" s="30"/>
      <c r="W509" s="30"/>
      <c r="X509" s="30"/>
      <c r="Y509" s="32"/>
      <c r="Z509" s="32"/>
      <c r="AA509" s="30"/>
      <c r="AB509" s="30"/>
      <c r="AC509" s="30">
        <f>VLOOKUP($B509,Pitchers!$A1:$S251,4,FALSE)</f>
        <v>87.666666666666671</v>
      </c>
      <c r="AD509" s="32">
        <f>VLOOKUP($B509,Pitchers!$A1:$S251,5,FALSE)</f>
        <v>3.9208517110266157</v>
      </c>
      <c r="AE509" s="32">
        <f>VLOOKUP($B509,Pitchers!$A1:$S251,6,FALSE)</f>
        <v>1.2836501901140684</v>
      </c>
      <c r="AF509" s="30">
        <f>VLOOKUP($B509,Pitchers!$A1:$S251,7,FALSE)</f>
        <v>72.63333333333334</v>
      </c>
      <c r="AG509" s="30">
        <f>VLOOKUP($B509,Pitchers!$A1:$S251,8,FALSE)</f>
        <v>5.6333333333333329</v>
      </c>
      <c r="AH509" s="30">
        <f>VLOOKUP($B509,Pitchers!$A1:$S251,9,FALSE)</f>
        <v>0</v>
      </c>
      <c r="AI509" s="30">
        <f>VLOOKUP($B509,Pitchers!$A1:$S251,10,FALSE)</f>
        <v>38.192</v>
      </c>
      <c r="AJ509" s="30">
        <f>VLOOKUP($B509,Pitchers!$A1:$S251,11,FALSE)</f>
        <v>84.233333333333334</v>
      </c>
      <c r="AK509" s="30">
        <f>VLOOKUP($B509,Pitchers!$A1:$S251,12,FALSE)</f>
        <v>28.3</v>
      </c>
      <c r="AL509" s="30">
        <f>VLOOKUP($B509,Pitchers!$A1:$S251,13,FALSE)</f>
        <v>11</v>
      </c>
      <c r="AM509" s="30">
        <f>VLOOKUP($B509,Pitchers!$A1:$S251,14,FALSE)</f>
        <v>28.933333333333334</v>
      </c>
      <c r="AN509" s="30">
        <f>VLOOKUP($B509,Pitchers!$A1:$S251,15,FALSE)</f>
        <v>13.200000000000001</v>
      </c>
      <c r="AO509" s="30">
        <f>VLOOKUP($B509,Pitchers!$A1:$S251,16,FALSE)</f>
        <v>4.9333333333333336</v>
      </c>
      <c r="AP509" s="30">
        <f>VLOOKUP($B509,Pitchers!$A1:$S251,17,FALSE)</f>
        <v>4</v>
      </c>
      <c r="AQ509" s="30">
        <f>VLOOKUP($B509,Pitchers!$A1:$S251,18,FALSE)</f>
        <v>1</v>
      </c>
      <c r="AR509" s="30">
        <f>VLOOKUP($B509,Pitchers!$A1:$S251,19,FALSE)</f>
        <v>0</v>
      </c>
    </row>
    <row r="510" spans="1:44" ht="18.600000000000001" customHeight="1">
      <c r="A510" s="24">
        <f ca="1">RANK(I510,I$2:I$651)</f>
        <v>495</v>
      </c>
      <c r="B510" s="25" t="s">
        <v>592</v>
      </c>
      <c r="C510" s="26" t="s">
        <v>219</v>
      </c>
      <c r="D510" s="26" t="s">
        <v>75</v>
      </c>
      <c r="E510" s="45" t="s">
        <v>19</v>
      </c>
      <c r="F510" s="46">
        <f ca="1">VLOOKUP(B510,'C'!A1:I54,IF(Settings!$J$13="points",4,7),FALSE)</f>
        <v>30</v>
      </c>
      <c r="G510" s="29">
        <f>(M510*Settings!$B$2)+(N510*Settings!$B$3)+(O510*Settings!$B$4)+(P510*Settings!$B$5)+(Q510*Settings!$B$6)+(T510*Settings!$B$9)+(U510*Settings!$B$10)+(V510*Settings!$B$11)+(W510*Settings!$B$12)+(X510*Settings!$B$13)+(AA510*Settings!$B$16)</f>
        <v>175.28333333333325</v>
      </c>
      <c r="H510" s="30">
        <f>VLOOKUP(B510,'Standard Deviations'!$A1:$D651,4,FALSE)</f>
        <v>-3.846861816009894</v>
      </c>
      <c r="I510" s="31">
        <f ca="1">VLOOKUP(B510,'C'!A1:I54,IF(Settings!$J$13="points",6,9),FALSE)</f>
        <v>-3.5297646409009755</v>
      </c>
      <c r="J510" s="30"/>
      <c r="K510" s="30">
        <f ca="1">J510-A510</f>
        <v>-495</v>
      </c>
      <c r="L510" s="30"/>
      <c r="M510" s="30">
        <f>VLOOKUP($B510,Hitters!$A1:$R401,4,FALSE)</f>
        <v>304.66666666666703</v>
      </c>
      <c r="N510" s="30">
        <f>VLOOKUP($B510,Hitters!$A1:$R401,5,FALSE)</f>
        <v>38</v>
      </c>
      <c r="O510" s="30">
        <f>VLOOKUP($B510,Hitters!$A1:$R401,6,FALSE)</f>
        <v>10.533333333333299</v>
      </c>
      <c r="P510" s="30">
        <f>VLOOKUP($B510,Hitters!$A1:$R401,7,FALSE)</f>
        <v>32.033333333333303</v>
      </c>
      <c r="Q510" s="30">
        <f>VLOOKUP($B510,Hitters!$A1:$R401,8,FALSE)</f>
        <v>2.3666666666666698</v>
      </c>
      <c r="R510" s="32">
        <f>VLOOKUP($B510,Hitters!$A1:$R401,9,FALSE)</f>
        <v>0.22319474835886199</v>
      </c>
      <c r="S510" s="32">
        <f>VLOOKUP($B510,Hitters!$A1:$R401,10,FALSE)</f>
        <v>0.279303295117454</v>
      </c>
      <c r="T510" s="30">
        <f>VLOOKUP($B510,Hitters!$A1:$R401,11,FALSE)</f>
        <v>68</v>
      </c>
      <c r="U510" s="30">
        <f>VLOOKUP($B510,Hitters!$A1:$R401,12,FALSE)</f>
        <v>10.266666666666699</v>
      </c>
      <c r="V510" s="30">
        <f>VLOOKUP($B510,Hitters!$A1:$R401,13,FALSE)</f>
        <v>0.96666666666666701</v>
      </c>
      <c r="W510" s="30">
        <f>VLOOKUP($B510,Hitters!$A1:$R401,14,FALSE)</f>
        <v>24.9</v>
      </c>
      <c r="X510" s="30">
        <f>VLOOKUP($B510,Hitters!$A1:$R401,15,FALSE)</f>
        <v>115.9</v>
      </c>
      <c r="Y510" s="32">
        <f>VLOOKUP($B510,Hitters!$A1:$R401,16,FALSE)</f>
        <v>0.36695842450765898</v>
      </c>
      <c r="Z510" s="32">
        <f>VLOOKUP($B510,Hitters!$A1:$R401,17,FALSE)</f>
        <v>0.64626171962511203</v>
      </c>
      <c r="AA510" s="30">
        <f>VLOOKUP($B510,Hitters!$A1:$R401,18,FALSE)</f>
        <v>0</v>
      </c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</row>
    <row r="511" spans="1:44" ht="20.100000000000001" customHeight="1">
      <c r="A511" s="24">
        <f ca="1">RANK(I511,I$2:I$651)</f>
        <v>618</v>
      </c>
      <c r="B511" s="25" t="s">
        <v>714</v>
      </c>
      <c r="C511" s="26" t="s">
        <v>260</v>
      </c>
      <c r="D511" s="26" t="s">
        <v>70</v>
      </c>
      <c r="E511" s="43" t="s">
        <v>114</v>
      </c>
      <c r="F511" s="44">
        <f ca="1">VLOOKUP(B511,'1B'!A1:I63,IF(Settings!$J$13="points",4,7),FALSE)</f>
        <v>52</v>
      </c>
      <c r="G511" s="29">
        <f>(M511*Settings!$B$2)+(N511*Settings!$B$3)+(O511*Settings!$B$4)+(P511*Settings!$B$5)+(Q511*Settings!$B$6)+(T511*Settings!$B$9)+(U511*Settings!$B$10)+(V511*Settings!$B$11)+(W511*Settings!$B$12)+(X511*Settings!$B$13)+(AA511*Settings!$B$16)</f>
        <v>175.01666666666654</v>
      </c>
      <c r="H511" s="30">
        <f>VLOOKUP(B511,'Standard Deviations'!$A1:$D651,4,FALSE)</f>
        <v>-3.4875196407153184</v>
      </c>
      <c r="I511" s="31">
        <f ca="1">VLOOKUP(B511,'1B'!A1:I63,IF(Settings!$J$13="points",6,9),FALSE)</f>
        <v>-6.0670512194353945</v>
      </c>
      <c r="J511" s="30"/>
      <c r="K511" s="30">
        <f ca="1">J511-A511</f>
        <v>-618</v>
      </c>
      <c r="L511" s="30"/>
      <c r="M511" s="30">
        <f>VLOOKUP($B511,Hitters!$A1:$R401,4,FALSE)</f>
        <v>297.33333333333297</v>
      </c>
      <c r="N511" s="30">
        <f>VLOOKUP($B511,Hitters!$A1:$R401,5,FALSE)</f>
        <v>29.2</v>
      </c>
      <c r="O511" s="30">
        <f>VLOOKUP($B511,Hitters!$A1:$R401,6,FALSE)</f>
        <v>6.9666666666666703</v>
      </c>
      <c r="P511" s="30">
        <f>VLOOKUP($B511,Hitters!$A1:$R401,7,FALSE)</f>
        <v>36.033333333333303</v>
      </c>
      <c r="Q511" s="30">
        <f>VLOOKUP($B511,Hitters!$A1:$R401,8,FALSE)</f>
        <v>0.9</v>
      </c>
      <c r="R511" s="32">
        <f>VLOOKUP($B511,Hitters!$A1:$R401,9,FALSE)</f>
        <v>0.24865470852017901</v>
      </c>
      <c r="S511" s="32">
        <f>VLOOKUP($B511,Hitters!$A1:$R401,10,FALSE)</f>
        <v>0.30032350456409301</v>
      </c>
      <c r="T511" s="30">
        <f>VLOOKUP($B511,Hitters!$A1:$R401,11,FALSE)</f>
        <v>73.933333333333294</v>
      </c>
      <c r="U511" s="30">
        <f>VLOOKUP($B511,Hitters!$A1:$R401,12,FALSE)</f>
        <v>9.6333333333333293</v>
      </c>
      <c r="V511" s="30">
        <f>VLOOKUP($B511,Hitters!$A1:$R401,13,FALSE)</f>
        <v>0.5</v>
      </c>
      <c r="W511" s="30">
        <f>VLOOKUP($B511,Hitters!$A1:$R401,14,FALSE)</f>
        <v>23.233333333333299</v>
      </c>
      <c r="X511" s="30">
        <f>VLOOKUP($B511,Hitters!$A1:$R401,15,FALSE)</f>
        <v>75.633333333333297</v>
      </c>
      <c r="Y511" s="32">
        <f>VLOOKUP($B511,Hitters!$A1:$R401,16,FALSE)</f>
        <v>0.35470852017937199</v>
      </c>
      <c r="Z511" s="32">
        <f>VLOOKUP($B511,Hitters!$A1:$R401,17,FALSE)</f>
        <v>0.655032024743465</v>
      </c>
      <c r="AA511" s="30">
        <f>VLOOKUP($B511,Hitters!$A1:$R401,18,FALSE)</f>
        <v>0</v>
      </c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</row>
    <row r="512" spans="1:44" ht="20.100000000000001" customHeight="1">
      <c r="A512" s="24">
        <f ca="1">RANK(I512,I$2:I$651)</f>
        <v>386</v>
      </c>
      <c r="B512" s="25" t="s">
        <v>484</v>
      </c>
      <c r="C512" s="26" t="s">
        <v>72</v>
      </c>
      <c r="D512" s="26" t="s">
        <v>70</v>
      </c>
      <c r="E512" s="41" t="s">
        <v>34</v>
      </c>
      <c r="F512" s="42">
        <f ca="1">VLOOKUP(B512,RP!A1:I91,IF(Settings!$J$13="points",4,7),FALSE)</f>
        <v>38</v>
      </c>
      <c r="G512" s="29">
        <f>(AC512*Settings!$F$2)+(AF512*Settings!$F$5)+(AG512*Settings!$F$6)+(AH512*Settings!$F$7)+(AI512*Settings!$F$8)+(AJ512*Settings!$F$9)+(AK512*Settings!$F$10)+(AL512*Settings!$F$11)+(AM512*Settings!$F$12)+(AN512*Settings!$F$13)+(AO512*Settings!$F$14)+(AP512*Settings!$F$15)+(AQ512*Settings!$F$16)+(AR512*Settings!$F$17)</f>
        <v>174.4</v>
      </c>
      <c r="H512" s="30">
        <f>VLOOKUP(B512,'Standard Deviations'!$A1:$D651,4,FALSE)</f>
        <v>-0.70737366468295149</v>
      </c>
      <c r="I512" s="31">
        <f ca="1">IF(Settings!$J$16="no",VLOOKUP(B512,RP!A1:I91,IF(Settings!$J$13="points",6,9),FALSE),VLOOKUP(B512,'SP+RP'!$A1:$I251,IF(Settings!$J$13="points",6,9),FALSE))</f>
        <v>-2.2784392574490147</v>
      </c>
      <c r="J512" s="30"/>
      <c r="K512" s="30">
        <f ca="1">J512-A512</f>
        <v>-386</v>
      </c>
      <c r="L512" s="30"/>
      <c r="M512" s="30"/>
      <c r="N512" s="30"/>
      <c r="O512" s="30"/>
      <c r="P512" s="30"/>
      <c r="Q512" s="30"/>
      <c r="R512" s="32"/>
      <c r="S512" s="32"/>
      <c r="T512" s="30"/>
      <c r="U512" s="30"/>
      <c r="V512" s="30"/>
      <c r="W512" s="30"/>
      <c r="X512" s="30"/>
      <c r="Y512" s="32"/>
      <c r="Z512" s="32"/>
      <c r="AA512" s="30"/>
      <c r="AB512" s="30"/>
      <c r="AC512" s="30">
        <f>VLOOKUP($B512,Pitchers!$A1:$S251,4,FALSE)</f>
        <v>57.1</v>
      </c>
      <c r="AD512" s="32">
        <f>VLOOKUP($B512,Pitchers!$A1:$S251,5,FALSE)</f>
        <v>3.5043782837127848</v>
      </c>
      <c r="AE512" s="32">
        <f>VLOOKUP($B512,Pitchers!$A1:$S251,6,FALSE)</f>
        <v>1.1868067717454758</v>
      </c>
      <c r="AF512" s="30">
        <f>VLOOKUP($B512,Pitchers!$A1:$S251,7,FALSE)</f>
        <v>58.666666666666664</v>
      </c>
      <c r="AG512" s="30">
        <f>VLOOKUP($B512,Pitchers!$A1:$S251,8,FALSE)</f>
        <v>4.6333333333333337</v>
      </c>
      <c r="AH512" s="30">
        <f>VLOOKUP($B512,Pitchers!$A1:$S251,9,FALSE)</f>
        <v>6.333333333333333</v>
      </c>
      <c r="AI512" s="30">
        <f>VLOOKUP($B512,Pitchers!$A1:$S251,10,FALSE)</f>
        <v>22.233333333333334</v>
      </c>
      <c r="AJ512" s="30">
        <f>VLOOKUP($B512,Pitchers!$A1:$S251,11,FALSE)</f>
        <v>45.866666666666667</v>
      </c>
      <c r="AK512" s="30">
        <f>VLOOKUP($B512,Pitchers!$A1:$S251,12,FALSE)</f>
        <v>21.900000000000002</v>
      </c>
      <c r="AL512" s="30">
        <f>VLOOKUP($B512,Pitchers!$A1:$S251,13,FALSE)</f>
        <v>7</v>
      </c>
      <c r="AM512" s="30">
        <f>VLOOKUP($B512,Pitchers!$A1:$S251,14,FALSE)</f>
        <v>61.266666666666673</v>
      </c>
      <c r="AN512" s="30">
        <f>VLOOKUP($B512,Pitchers!$A1:$S251,15,FALSE)</f>
        <v>0</v>
      </c>
      <c r="AO512" s="30">
        <f>VLOOKUP($B512,Pitchers!$A1:$S251,16,FALSE)</f>
        <v>2.6</v>
      </c>
      <c r="AP512" s="30">
        <f>VLOOKUP($B512,Pitchers!$A1:$S251,17,FALSE)</f>
        <v>0</v>
      </c>
      <c r="AQ512" s="30">
        <f>VLOOKUP($B512,Pitchers!$A1:$S251,18,FALSE)</f>
        <v>14.5</v>
      </c>
      <c r="AR512" s="30">
        <f>VLOOKUP($B512,Pitchers!$A1:$S251,19,FALSE)</f>
        <v>3</v>
      </c>
    </row>
    <row r="513" spans="1:44" ht="20.100000000000001" customHeight="1">
      <c r="A513" s="24">
        <f ca="1">RANK(I513,I$2:I$651)</f>
        <v>374</v>
      </c>
      <c r="B513" s="25" t="s">
        <v>474</v>
      </c>
      <c r="C513" s="26" t="s">
        <v>64</v>
      </c>
      <c r="D513" s="26" t="s">
        <v>75</v>
      </c>
      <c r="E513" s="35" t="s">
        <v>31</v>
      </c>
      <c r="F513" s="36">
        <f ca="1">VLOOKUP(B513,SP!A1:I161,IF(Settings!$J$13="points",4,7),FALSE)</f>
        <v>112</v>
      </c>
      <c r="G513" s="29">
        <f>(AC513*Settings!$F$2)+(AF513*Settings!$F$5)+(AG513*Settings!$F$6)+(AH513*Settings!$F$7)+(AI513*Settings!$F$8)+(AJ513*Settings!$F$9)+(AK513*Settings!$F$10)+(AL513*Settings!$F$11)+(AM513*Settings!$F$12)+(AN513*Settings!$F$13)+(AO513*Settings!$F$14)+(AP513*Settings!$F$15)+(AQ513*Settings!$F$16)+(AR513*Settings!$F$17)</f>
        <v>173.57700000000003</v>
      </c>
      <c r="H513" s="30">
        <f>VLOOKUP(B513,'Standard Deviations'!$A1:$D651,4,FALSE)</f>
        <v>-1.9981431900525883</v>
      </c>
      <c r="I513" s="31">
        <f ca="1">IF(Settings!$J$16="no",VLOOKUP(B513,SP!A1:I161,IF(Settings!$J$13="points",6,9),FALSE),VLOOKUP(B513,'SP+RP'!$A1:$I251,IF(Settings!$J$13="points",6,9),FALSE))</f>
        <v>-2.1341227916157597</v>
      </c>
      <c r="J513" s="30"/>
      <c r="K513" s="30">
        <f ca="1">J513-A513</f>
        <v>-374</v>
      </c>
      <c r="L513" s="30"/>
      <c r="M513" s="30"/>
      <c r="N513" s="30"/>
      <c r="O513" s="30"/>
      <c r="P513" s="30"/>
      <c r="Q513" s="30"/>
      <c r="R513" s="32"/>
      <c r="S513" s="32"/>
      <c r="T513" s="30"/>
      <c r="U513" s="30"/>
      <c r="V513" s="30"/>
      <c r="W513" s="30"/>
      <c r="X513" s="30"/>
      <c r="Y513" s="32"/>
      <c r="Z513" s="32"/>
      <c r="AA513" s="30"/>
      <c r="AB513" s="30"/>
      <c r="AC513" s="30">
        <f>VLOOKUP($B513,Pitchers!$A1:$S251,4,FALSE)</f>
        <v>82.65</v>
      </c>
      <c r="AD513" s="32">
        <f>VLOOKUP($B513,Pitchers!$A1:$S251,5,FALSE)</f>
        <v>3.8927041742286743</v>
      </c>
      <c r="AE513" s="32">
        <f>VLOOKUP($B513,Pitchers!$A1:$S251,6,FALSE)</f>
        <v>1.2329098608590441</v>
      </c>
      <c r="AF513" s="30">
        <f>VLOOKUP($B513,Pitchers!$A1:$S251,7,FALSE)</f>
        <v>82.05</v>
      </c>
      <c r="AG513" s="30">
        <f>VLOOKUP($B513,Pitchers!$A1:$S251,8,FALSE)</f>
        <v>5.5</v>
      </c>
      <c r="AH513" s="30">
        <f>VLOOKUP($B513,Pitchers!$A1:$S251,9,FALSE)</f>
        <v>0</v>
      </c>
      <c r="AI513" s="30">
        <f>VLOOKUP($B513,Pitchers!$A1:$S251,10,FALSE)</f>
        <v>35.747999999999998</v>
      </c>
      <c r="AJ513" s="30">
        <f>VLOOKUP($B513,Pitchers!$A1:$S251,11,FALSE)</f>
        <v>74.5</v>
      </c>
      <c r="AK513" s="30">
        <f>VLOOKUP($B513,Pitchers!$A1:$S251,12,FALSE)</f>
        <v>27.4</v>
      </c>
      <c r="AL513" s="30">
        <f>VLOOKUP($B513,Pitchers!$A1:$S251,13,FALSE)</f>
        <v>10</v>
      </c>
      <c r="AM513" s="30">
        <f>VLOOKUP($B513,Pitchers!$A1:$S251,14,FALSE)</f>
        <v>44.05</v>
      </c>
      <c r="AN513" s="30">
        <f>VLOOKUP($B513,Pitchers!$A1:$S251,15,FALSE)</f>
        <v>9.35</v>
      </c>
      <c r="AO513" s="30">
        <f>VLOOKUP($B513,Pitchers!$A1:$S251,16,FALSE)</f>
        <v>4.45</v>
      </c>
      <c r="AP513" s="30">
        <f>VLOOKUP($B513,Pitchers!$A1:$S251,17,FALSE)</f>
        <v>2</v>
      </c>
      <c r="AQ513" s="30">
        <f>VLOOKUP($B513,Pitchers!$A1:$S251,18,FALSE)</f>
        <v>6</v>
      </c>
      <c r="AR513" s="30">
        <f>VLOOKUP($B513,Pitchers!$A1:$S251,19,FALSE)</f>
        <v>0</v>
      </c>
    </row>
    <row r="514" spans="1:44" ht="18.600000000000001" customHeight="1">
      <c r="A514" s="24">
        <f ca="1">RANK(I514,I$2:I$651)</f>
        <v>589</v>
      </c>
      <c r="B514" s="25" t="s">
        <v>685</v>
      </c>
      <c r="C514" s="26" t="s">
        <v>85</v>
      </c>
      <c r="D514" s="26" t="s">
        <v>70</v>
      </c>
      <c r="E514" s="41" t="s">
        <v>34</v>
      </c>
      <c r="F514" s="42">
        <f ca="1">VLOOKUP(B514,RP!A1:I91,IF(Settings!$J$13="points",4,7),FALSE)</f>
        <v>90</v>
      </c>
      <c r="G514" s="29">
        <f>(AC514*Settings!$F$2)+(AF514*Settings!$F$5)+(AG514*Settings!$F$6)+(AH514*Settings!$F$7)+(AI514*Settings!$F$8)+(AJ514*Settings!$F$9)+(AK514*Settings!$F$10)+(AL514*Settings!$F$11)+(AM514*Settings!$F$12)+(AN514*Settings!$F$13)+(AO514*Settings!$F$14)+(AP514*Settings!$F$15)+(AQ514*Settings!$F$16)+(AR514*Settings!$F$17)</f>
        <v>173.01666666666665</v>
      </c>
      <c r="H514" s="30">
        <f>VLOOKUP(B514,'Standard Deviations'!$A1:$D651,4,FALSE)</f>
        <v>-3.4678683814480449</v>
      </c>
      <c r="I514" s="31">
        <f ca="1">IF(Settings!$J$16="no",VLOOKUP(B514,RP!A1:I91,IF(Settings!$J$13="points",6,9),FALSE),VLOOKUP(B514,'SP+RP'!$A1:$I251,IF(Settings!$J$13="points",6,9),FALSE))</f>
        <v>-5.0389329456438974</v>
      </c>
      <c r="J514" s="30"/>
      <c r="K514" s="30">
        <f ca="1">J514-A514</f>
        <v>-589</v>
      </c>
      <c r="L514" s="30"/>
      <c r="M514" s="30"/>
      <c r="N514" s="30"/>
      <c r="O514" s="30"/>
      <c r="P514" s="30"/>
      <c r="Q514" s="30"/>
      <c r="R514" s="32"/>
      <c r="S514" s="32"/>
      <c r="T514" s="30"/>
      <c r="U514" s="30"/>
      <c r="V514" s="30"/>
      <c r="W514" s="30"/>
      <c r="X514" s="30"/>
      <c r="Y514" s="32"/>
      <c r="Z514" s="32"/>
      <c r="AA514" s="30"/>
      <c r="AB514" s="30"/>
      <c r="AC514" s="30">
        <f>VLOOKUP($B514,Pitchers!$A1:$S251,4,FALSE)</f>
        <v>59.866666666666667</v>
      </c>
      <c r="AD514" s="32">
        <f>VLOOKUP($B514,Pitchers!$A1:$S251,5,FALSE)</f>
        <v>4.2444320712694878</v>
      </c>
      <c r="AE514" s="32">
        <f>VLOOKUP($B514,Pitchers!$A1:$S251,6,FALSE)</f>
        <v>1.3173719376391984</v>
      </c>
      <c r="AF514" s="30">
        <f>VLOOKUP($B514,Pitchers!$A1:$S251,7,FALSE)</f>
        <v>60.166666666666664</v>
      </c>
      <c r="AG514" s="30">
        <f>VLOOKUP($B514,Pitchers!$A1:$S251,8,FALSE)</f>
        <v>2.9666666666666668</v>
      </c>
      <c r="AH514" s="30">
        <f>VLOOKUP($B514,Pitchers!$A1:$S251,9,FALSE)</f>
        <v>9.6666666666666661</v>
      </c>
      <c r="AI514" s="30">
        <f>VLOOKUP($B514,Pitchers!$A1:$S251,10,FALSE)</f>
        <v>28.233333333333334</v>
      </c>
      <c r="AJ514" s="30">
        <f>VLOOKUP($B514,Pitchers!$A1:$S251,11,FALSE)</f>
        <v>56.933333333333337</v>
      </c>
      <c r="AK514" s="30">
        <f>VLOOKUP($B514,Pitchers!$A1:$S251,12,FALSE)</f>
        <v>21.933333333333334</v>
      </c>
      <c r="AL514" s="30">
        <f>VLOOKUP($B514,Pitchers!$A1:$S251,13,FALSE)</f>
        <v>9</v>
      </c>
      <c r="AM514" s="30">
        <f>VLOOKUP($B514,Pitchers!$A1:$S251,14,FALSE)</f>
        <v>64.266666666666666</v>
      </c>
      <c r="AN514" s="30">
        <f>VLOOKUP($B514,Pitchers!$A1:$S251,15,FALSE)</f>
        <v>0</v>
      </c>
      <c r="AO514" s="30">
        <f>VLOOKUP($B514,Pitchers!$A1:$S251,16,FALSE)</f>
        <v>3.6</v>
      </c>
      <c r="AP514" s="30">
        <f>VLOOKUP($B514,Pitchers!$A1:$S251,17,FALSE)</f>
        <v>0</v>
      </c>
      <c r="AQ514" s="30">
        <f>VLOOKUP($B514,Pitchers!$A1:$S251,18,FALSE)</f>
        <v>16.5</v>
      </c>
      <c r="AR514" s="30">
        <f>VLOOKUP($B514,Pitchers!$A1:$S251,19,FALSE)</f>
        <v>9</v>
      </c>
    </row>
    <row r="515" spans="1:44" ht="18.600000000000001" customHeight="1">
      <c r="A515" s="24">
        <f ca="1">RANK(I515,I$2:I$651)</f>
        <v>340</v>
      </c>
      <c r="B515" s="25" t="s">
        <v>436</v>
      </c>
      <c r="C515" s="26" t="s">
        <v>74</v>
      </c>
      <c r="D515" s="26" t="s">
        <v>75</v>
      </c>
      <c r="E515" s="41" t="s">
        <v>34</v>
      </c>
      <c r="F515" s="42">
        <f ca="1">VLOOKUP(B515,RP!A1:I91,IF(Settings!$J$13="points",4,7),FALSE)</f>
        <v>29</v>
      </c>
      <c r="G515" s="29">
        <f>(AC515*Settings!$F$2)+(AF515*Settings!$F$5)+(AG515*Settings!$F$6)+(AH515*Settings!$F$7)+(AI515*Settings!$F$8)+(AJ515*Settings!$F$9)+(AK515*Settings!$F$10)+(AL515*Settings!$F$11)+(AM515*Settings!$F$12)+(AN515*Settings!$F$13)+(AO515*Settings!$F$14)+(AP515*Settings!$F$15)+(AQ515*Settings!$F$16)+(AR515*Settings!$F$17)</f>
        <v>172.70000000000007</v>
      </c>
      <c r="H515" s="30">
        <f>VLOOKUP(B515,'Standard Deviations'!$A1:$D651,4,FALSE)</f>
        <v>-0.16235855851539804</v>
      </c>
      <c r="I515" s="31">
        <f ca="1">IF(Settings!$J$16="no",VLOOKUP(B515,RP!A1:I91,IF(Settings!$J$13="points",6,9),FALSE),VLOOKUP(B515,'SP+RP'!$A1:$I251,IF(Settings!$J$13="points",6,9),FALSE))</f>
        <v>-1.7334263472597782</v>
      </c>
      <c r="J515" s="30"/>
      <c r="K515" s="30">
        <f ca="1">J515-A515</f>
        <v>-340</v>
      </c>
      <c r="L515" s="30"/>
      <c r="M515" s="30"/>
      <c r="N515" s="30"/>
      <c r="O515" s="30"/>
      <c r="P515" s="30"/>
      <c r="Q515" s="30"/>
      <c r="R515" s="32"/>
      <c r="S515" s="32"/>
      <c r="T515" s="30"/>
      <c r="U515" s="30"/>
      <c r="V515" s="30"/>
      <c r="W515" s="30"/>
      <c r="X515" s="30"/>
      <c r="Y515" s="32"/>
      <c r="Z515" s="32"/>
      <c r="AA515" s="30"/>
      <c r="AB515" s="30"/>
      <c r="AC515" s="30">
        <f>VLOOKUP($B515,Pitchers!$A1:$S251,4,FALSE)</f>
        <v>74.866666666666674</v>
      </c>
      <c r="AD515" s="32">
        <f>VLOOKUP($B515,Pitchers!$A1:$S251,5,FALSE)</f>
        <v>3.357969723953695</v>
      </c>
      <c r="AE515" s="32">
        <f>VLOOKUP($B515,Pitchers!$A1:$S251,6,FALSE)</f>
        <v>1.1237756010685662</v>
      </c>
      <c r="AF515" s="30">
        <f>VLOOKUP($B515,Pitchers!$A1:$S251,7,FALSE)</f>
        <v>81.13333333333334</v>
      </c>
      <c r="AG515" s="30">
        <f>VLOOKUP($B515,Pitchers!$A1:$S251,8,FALSE)</f>
        <v>4.3</v>
      </c>
      <c r="AH515" s="30">
        <f>VLOOKUP($B515,Pitchers!$A1:$S251,9,FALSE)</f>
        <v>0.66666666666666663</v>
      </c>
      <c r="AI515" s="30">
        <f>VLOOKUP($B515,Pitchers!$A1:$S251,10,FALSE)</f>
        <v>27.933333333333334</v>
      </c>
      <c r="AJ515" s="30">
        <f>VLOOKUP($B515,Pitchers!$A1:$S251,11,FALSE)</f>
        <v>63.6</v>
      </c>
      <c r="AK515" s="30">
        <f>VLOOKUP($B515,Pitchers!$A1:$S251,12,FALSE)</f>
        <v>20.533333333333335</v>
      </c>
      <c r="AL515" s="30">
        <f>VLOOKUP($B515,Pitchers!$A1:$S251,13,FALSE)</f>
        <v>8</v>
      </c>
      <c r="AM515" s="30">
        <f>VLOOKUP($B515,Pitchers!$A1:$S251,14,FALSE)</f>
        <v>59.6</v>
      </c>
      <c r="AN515" s="30">
        <f>VLOOKUP($B515,Pitchers!$A1:$S251,15,FALSE)</f>
        <v>2</v>
      </c>
      <c r="AO515" s="30">
        <f>VLOOKUP($B515,Pitchers!$A1:$S251,16,FALSE)</f>
        <v>3.0333333333333332</v>
      </c>
      <c r="AP515" s="30">
        <f>VLOOKUP($B515,Pitchers!$A1:$S251,17,FALSE)</f>
        <v>0</v>
      </c>
      <c r="AQ515" s="30">
        <f>VLOOKUP($B515,Pitchers!$A1:$S251,18,FALSE)</f>
        <v>16</v>
      </c>
      <c r="AR515" s="30">
        <f>VLOOKUP($B515,Pitchers!$A1:$S251,19,FALSE)</f>
        <v>3</v>
      </c>
    </row>
    <row r="516" spans="1:44" ht="18.600000000000001" customHeight="1">
      <c r="A516" s="24">
        <f ca="1">RANK(I516,I$2:I$651)</f>
        <v>345</v>
      </c>
      <c r="B516" s="25" t="s">
        <v>442</v>
      </c>
      <c r="C516" s="26" t="s">
        <v>87</v>
      </c>
      <c r="D516" s="26" t="s">
        <v>70</v>
      </c>
      <c r="E516" s="27" t="s">
        <v>23</v>
      </c>
      <c r="F516" s="28">
        <f ca="1">VLOOKUP(B516,OF!A1:I139,IF(Settings!$J$13="points",4,7),FALSE)</f>
        <v>97</v>
      </c>
      <c r="G516" s="29">
        <f>(M516*Settings!$B$2)+(N516*Settings!$B$3)+(O516*Settings!$B$4)+(P516*Settings!$B$5)+(Q516*Settings!$B$6)+(T516*Settings!$B$9)+(U516*Settings!$B$10)+(V516*Settings!$B$11)+(W516*Settings!$B$12)+(X516*Settings!$B$13)+(AA516*Settings!$B$16)</f>
        <v>172.21666666666664</v>
      </c>
      <c r="H516" s="30">
        <f>VLOOKUP(B516,'Standard Deviations'!$A1:$D651,4,FALSE)</f>
        <v>-1.6707299661965374</v>
      </c>
      <c r="I516" s="31">
        <f ca="1">VLOOKUP(B516,OF!A1:I139,IF(Settings!$J$13="points",6,9),FALSE)</f>
        <v>-1.7894477564945319</v>
      </c>
      <c r="J516" s="30"/>
      <c r="K516" s="30">
        <f ca="1">J516-A516</f>
        <v>-345</v>
      </c>
      <c r="L516" s="30"/>
      <c r="M516" s="30">
        <f>VLOOKUP($B516,Hitters!$A1:$R401,4,FALSE)</f>
        <v>262.66666666666703</v>
      </c>
      <c r="N516" s="30">
        <f>VLOOKUP($B516,Hitters!$A1:$R401,5,FALSE)</f>
        <v>29.533333333333299</v>
      </c>
      <c r="O516" s="30">
        <f>VLOOKUP($B516,Hitters!$A1:$R401,6,FALSE)</f>
        <v>4.5</v>
      </c>
      <c r="P516" s="30">
        <f>VLOOKUP($B516,Hitters!$A1:$R401,7,FALSE)</f>
        <v>22.7</v>
      </c>
      <c r="Q516" s="30">
        <f>VLOOKUP($B516,Hitters!$A1:$R401,8,FALSE)</f>
        <v>20.466666666666701</v>
      </c>
      <c r="R516" s="32">
        <f>VLOOKUP($B516,Hitters!$A1:$R401,9,FALSE)</f>
        <v>0.24416243654822301</v>
      </c>
      <c r="S516" s="32">
        <f>VLOOKUP($B516,Hitters!$A1:$R401,10,FALSE)</f>
        <v>0.27742522569984901</v>
      </c>
      <c r="T516" s="30">
        <f>VLOOKUP($B516,Hitters!$A1:$R401,11,FALSE)</f>
        <v>64.133333333333297</v>
      </c>
      <c r="U516" s="30">
        <f>VLOOKUP($B516,Hitters!$A1:$R401,12,FALSE)</f>
        <v>10.1</v>
      </c>
      <c r="V516" s="30">
        <f>VLOOKUP($B516,Hitters!$A1:$R401,13,FALSE)</f>
        <v>1.3</v>
      </c>
      <c r="W516" s="30">
        <f>VLOOKUP($B516,Hitters!$A1:$R401,14,FALSE)</f>
        <v>13.1</v>
      </c>
      <c r="X516" s="30">
        <f>VLOOKUP($B516,Hitters!$A1:$R401,15,FALSE)</f>
        <v>80.566666666666706</v>
      </c>
      <c r="Y516" s="32">
        <f>VLOOKUP($B516,Hitters!$A1:$R401,16,FALSE)</f>
        <v>0.34390862944162398</v>
      </c>
      <c r="Z516" s="32">
        <f>VLOOKUP($B516,Hitters!$A1:$R401,17,FALSE)</f>
        <v>0.62133385514147399</v>
      </c>
      <c r="AA516" s="30">
        <f>VLOOKUP($B516,Hitters!$A1:$R401,18,FALSE)</f>
        <v>0</v>
      </c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</row>
    <row r="517" spans="1:44" ht="20.100000000000001" customHeight="1">
      <c r="A517" s="24">
        <f ca="1">RANK(I517,I$2:I$651)</f>
        <v>563</v>
      </c>
      <c r="B517" s="25" t="s">
        <v>662</v>
      </c>
      <c r="C517" s="26" t="s">
        <v>87</v>
      </c>
      <c r="D517" s="26" t="s">
        <v>70</v>
      </c>
      <c r="E517" s="35" t="s">
        <v>31</v>
      </c>
      <c r="F517" s="36">
        <f ca="1">VLOOKUP(B517,SP!A1:I161,IF(Settings!$J$13="points",4,7),FALSE)</f>
        <v>156</v>
      </c>
      <c r="G517" s="29">
        <f>(AC517*Settings!$F$2)+(AF517*Settings!$F$5)+(AG517*Settings!$F$6)+(AH517*Settings!$F$7)+(AI517*Settings!$F$8)+(AJ517*Settings!$F$9)+(AK517*Settings!$F$10)+(AL517*Settings!$F$11)+(AM517*Settings!$F$12)+(AN517*Settings!$F$13)+(AO517*Settings!$F$14)+(AP517*Settings!$F$15)+(AQ517*Settings!$F$16)+(AR517*Settings!$F$17)</f>
        <v>172.20933333333335</v>
      </c>
      <c r="H517" s="30">
        <f>VLOOKUP(B517,'Standard Deviations'!$A1:$D651,4,FALSE)</f>
        <v>-4.470627885800929</v>
      </c>
      <c r="I517" s="31">
        <f ca="1">IF(Settings!$J$16="no",VLOOKUP(B517,SP!A1:I161,IF(Settings!$J$13="points",6,9),FALSE),VLOOKUP(B517,'SP+RP'!$A1:$I251,IF(Settings!$J$13="points",6,9),FALSE))</f>
        <v>-4.6066152565623044</v>
      </c>
      <c r="J517" s="30"/>
      <c r="K517" s="30">
        <f ca="1">J517-A517</f>
        <v>-563</v>
      </c>
      <c r="L517" s="30"/>
      <c r="M517" s="30"/>
      <c r="N517" s="30"/>
      <c r="O517" s="30"/>
      <c r="P517" s="30"/>
      <c r="Q517" s="30"/>
      <c r="R517" s="32"/>
      <c r="S517" s="32"/>
      <c r="T517" s="30"/>
      <c r="U517" s="30"/>
      <c r="V517" s="30"/>
      <c r="W517" s="30"/>
      <c r="X517" s="30"/>
      <c r="Y517" s="32"/>
      <c r="Z517" s="32"/>
      <c r="AA517" s="30"/>
      <c r="AB517" s="30"/>
      <c r="AC517" s="30">
        <f>VLOOKUP($B517,Pitchers!$A1:$S251,4,FALSE)</f>
        <v>100.06666666666666</v>
      </c>
      <c r="AD517" s="32">
        <f>VLOOKUP($B517,Pitchers!$A1:$S251,5,FALSE)</f>
        <v>4.28180546302465</v>
      </c>
      <c r="AE517" s="32">
        <f>VLOOKUP($B517,Pitchers!$A1:$S251,6,FALSE)</f>
        <v>1.3830779480346438</v>
      </c>
      <c r="AF517" s="30">
        <f>VLOOKUP($B517,Pitchers!$A1:$S251,7,FALSE)</f>
        <v>91.966666666666654</v>
      </c>
      <c r="AG517" s="30">
        <f>VLOOKUP($B517,Pitchers!$A1:$S251,8,FALSE)</f>
        <v>4.1000000000000005</v>
      </c>
      <c r="AH517" s="30">
        <f>VLOOKUP($B517,Pitchers!$A1:$S251,9,FALSE)</f>
        <v>0</v>
      </c>
      <c r="AI517" s="30">
        <f>VLOOKUP($B517,Pitchers!$A1:$S251,10,FALSE)</f>
        <v>47.607333333333337</v>
      </c>
      <c r="AJ517" s="30">
        <f>VLOOKUP($B517,Pitchers!$A1:$S251,11,FALSE)</f>
        <v>101.43333333333334</v>
      </c>
      <c r="AK517" s="30">
        <f>VLOOKUP($B517,Pitchers!$A1:$S251,12,FALSE)</f>
        <v>36.966666666666669</v>
      </c>
      <c r="AL517" s="30">
        <f>VLOOKUP($B517,Pitchers!$A1:$S251,13,FALSE)</f>
        <v>8</v>
      </c>
      <c r="AM517" s="30">
        <f>VLOOKUP($B517,Pitchers!$A1:$S251,14,FALSE)</f>
        <v>38.166666666666664</v>
      </c>
      <c r="AN517" s="30">
        <f>VLOOKUP($B517,Pitchers!$A1:$S251,15,FALSE)</f>
        <v>13.366666666666667</v>
      </c>
      <c r="AO517" s="30">
        <f>VLOOKUP($B517,Pitchers!$A1:$S251,16,FALSE)</f>
        <v>5.1333333333333337</v>
      </c>
      <c r="AP517" s="30">
        <f>VLOOKUP($B517,Pitchers!$A1:$S251,17,FALSE)</f>
        <v>3</v>
      </c>
      <c r="AQ517" s="30">
        <f>VLOOKUP($B517,Pitchers!$A1:$S251,18,FALSE)</f>
        <v>2.5</v>
      </c>
      <c r="AR517" s="30">
        <f>VLOOKUP($B517,Pitchers!$A1:$S251,19,FALSE)</f>
        <v>0</v>
      </c>
    </row>
    <row r="518" spans="1:44" ht="18.600000000000001" customHeight="1">
      <c r="A518" s="24">
        <f ca="1">RANK(I518,I$2:I$651)</f>
        <v>445</v>
      </c>
      <c r="B518" s="25" t="s">
        <v>540</v>
      </c>
      <c r="C518" s="26" t="s">
        <v>142</v>
      </c>
      <c r="D518" s="26" t="s">
        <v>70</v>
      </c>
      <c r="E518" s="41" t="s">
        <v>34</v>
      </c>
      <c r="F518" s="42">
        <f ca="1">VLOOKUP(B518,RP!A1:I91,IF(Settings!$J$13="points",4,7),FALSE)</f>
        <v>58</v>
      </c>
      <c r="G518" s="29">
        <f>(AC518*Settings!$F$2)+(AF518*Settings!$F$5)+(AG518*Settings!$F$6)+(AH518*Settings!$F$7)+(AI518*Settings!$F$8)+(AJ518*Settings!$F$9)+(AK518*Settings!$F$10)+(AL518*Settings!$F$11)+(AM518*Settings!$F$12)+(AN518*Settings!$F$13)+(AO518*Settings!$F$14)+(AP518*Settings!$F$15)+(AQ518*Settings!$F$16)+(AR518*Settings!$F$17)</f>
        <v>171.79999999999998</v>
      </c>
      <c r="H518" s="30">
        <f>VLOOKUP(B518,'Standard Deviations'!$A1:$D651,4,FALSE)</f>
        <v>-1.3609996715901613</v>
      </c>
      <c r="I518" s="31">
        <f ca="1">IF(Settings!$J$16="no",VLOOKUP(B518,RP!A1:I91,IF(Settings!$J$13="points",6,9),FALSE),VLOOKUP(B518,'SP+RP'!$A1:$I251,IF(Settings!$J$13="points",6,9),FALSE))</f>
        <v>-2.9320628459750449</v>
      </c>
      <c r="J518" s="30"/>
      <c r="K518" s="30">
        <f ca="1">J518-A518</f>
        <v>-445</v>
      </c>
      <c r="L518" s="30"/>
      <c r="M518" s="30"/>
      <c r="N518" s="30"/>
      <c r="O518" s="30"/>
      <c r="P518" s="30"/>
      <c r="Q518" s="30"/>
      <c r="R518" s="32"/>
      <c r="S518" s="32"/>
      <c r="T518" s="30"/>
      <c r="U518" s="30"/>
      <c r="V518" s="30"/>
      <c r="W518" s="30"/>
      <c r="X518" s="30"/>
      <c r="Y518" s="32"/>
      <c r="Z518" s="32"/>
      <c r="AA518" s="30"/>
      <c r="AB518" s="30"/>
      <c r="AC518" s="30">
        <f>VLOOKUP($B518,Pitchers!$A1:$S251,4,FALSE)</f>
        <v>57.199999999999996</v>
      </c>
      <c r="AD518" s="32">
        <f>VLOOKUP($B518,Pitchers!$A1:$S251,5,FALSE)</f>
        <v>3.6818181818181825</v>
      </c>
      <c r="AE518" s="32">
        <f>VLOOKUP($B518,Pitchers!$A1:$S251,6,FALSE)</f>
        <v>1.1923076923076925</v>
      </c>
      <c r="AF518" s="30">
        <f>VLOOKUP($B518,Pitchers!$A1:$S251,7,FALSE)</f>
        <v>63.266666666666673</v>
      </c>
      <c r="AG518" s="30">
        <f>VLOOKUP($B518,Pitchers!$A1:$S251,8,FALSE)</f>
        <v>3</v>
      </c>
      <c r="AH518" s="30">
        <f>VLOOKUP($B518,Pitchers!$A1:$S251,9,FALSE)</f>
        <v>7.333333333333333</v>
      </c>
      <c r="AI518" s="30">
        <f>VLOOKUP($B518,Pitchers!$A1:$S251,10,FALSE)</f>
        <v>23.400000000000002</v>
      </c>
      <c r="AJ518" s="30">
        <f>VLOOKUP($B518,Pitchers!$A1:$S251,11,FALSE)</f>
        <v>48.833333333333336</v>
      </c>
      <c r="AK518" s="30">
        <f>VLOOKUP($B518,Pitchers!$A1:$S251,12,FALSE)</f>
        <v>19.366666666666667</v>
      </c>
      <c r="AL518" s="30">
        <f>VLOOKUP($B518,Pitchers!$A1:$S251,13,FALSE)</f>
        <v>8</v>
      </c>
      <c r="AM518" s="30">
        <f>VLOOKUP($B518,Pitchers!$A1:$S251,14,FALSE)</f>
        <v>58.266666666666673</v>
      </c>
      <c r="AN518" s="30">
        <f>VLOOKUP($B518,Pitchers!$A1:$S251,15,FALSE)</f>
        <v>0</v>
      </c>
      <c r="AO518" s="30">
        <f>VLOOKUP($B518,Pitchers!$A1:$S251,16,FALSE)</f>
        <v>2.4333333333333331</v>
      </c>
      <c r="AP518" s="30">
        <f>VLOOKUP($B518,Pitchers!$A1:$S251,17,FALSE)</f>
        <v>0</v>
      </c>
      <c r="AQ518" s="30">
        <f>VLOOKUP($B518,Pitchers!$A1:$S251,18,FALSE)</f>
        <v>15.5</v>
      </c>
      <c r="AR518" s="30">
        <f>VLOOKUP($B518,Pitchers!$A1:$S251,19,FALSE)</f>
        <v>7</v>
      </c>
    </row>
    <row r="519" spans="1:44" ht="18.600000000000001" customHeight="1">
      <c r="A519" s="24">
        <f ca="1">RANK(I519,I$2:I$651)</f>
        <v>518</v>
      </c>
      <c r="B519" s="25" t="s">
        <v>616</v>
      </c>
      <c r="C519" s="26" t="s">
        <v>142</v>
      </c>
      <c r="D519" s="26" t="s">
        <v>70</v>
      </c>
      <c r="E519" s="35" t="s">
        <v>31</v>
      </c>
      <c r="F519" s="36">
        <f ca="1">VLOOKUP(B519,SP!A1:I161,IF(Settings!$J$13="points",4,7),FALSE)</f>
        <v>146</v>
      </c>
      <c r="G519" s="29">
        <f>(AC519*Settings!$F$2)+(AF519*Settings!$F$5)+(AG519*Settings!$F$6)+(AH519*Settings!$F$7)+(AI519*Settings!$F$8)+(AJ519*Settings!$F$9)+(AK519*Settings!$F$10)+(AL519*Settings!$F$11)+(AM519*Settings!$F$12)+(AN519*Settings!$F$13)+(AO519*Settings!$F$14)+(AP519*Settings!$F$15)+(AQ519*Settings!$F$16)+(AR519*Settings!$F$17)</f>
        <v>171.50899999999999</v>
      </c>
      <c r="H519" s="30">
        <f>VLOOKUP(B519,'Standard Deviations'!$A1:$D651,4,FALSE)</f>
        <v>-3.646635960717771</v>
      </c>
      <c r="I519" s="31">
        <f ca="1">IF(Settings!$J$16="no",VLOOKUP(B519,SP!A1:I161,IF(Settings!$J$13="points",6,9),FALSE),VLOOKUP(B519,'SP+RP'!$A1:$I251,IF(Settings!$J$13="points",6,9),FALSE))</f>
        <v>-3.7826139601375206</v>
      </c>
      <c r="J519" s="30"/>
      <c r="K519" s="30">
        <f ca="1">J519-A519</f>
        <v>-518</v>
      </c>
      <c r="L519" s="30"/>
      <c r="M519" s="30"/>
      <c r="N519" s="30"/>
      <c r="O519" s="30"/>
      <c r="P519" s="30"/>
      <c r="Q519" s="30"/>
      <c r="R519" s="32"/>
      <c r="S519" s="32"/>
      <c r="T519" s="30"/>
      <c r="U519" s="30"/>
      <c r="V519" s="30"/>
      <c r="W519" s="30"/>
      <c r="X519" s="30"/>
      <c r="Y519" s="32"/>
      <c r="Z519" s="32"/>
      <c r="AA519" s="30"/>
      <c r="AB519" s="30"/>
      <c r="AC519" s="30">
        <f>VLOOKUP($B519,Pitchers!$A1:$S251,4,FALSE)</f>
        <v>92.95</v>
      </c>
      <c r="AD519" s="32">
        <f>VLOOKUP($B519,Pitchers!$A1:$S251,5,FALSE)</f>
        <v>4.0876169983862294</v>
      </c>
      <c r="AE519" s="32">
        <f>VLOOKUP($B519,Pitchers!$A1:$S251,6,FALSE)</f>
        <v>1.319526627218935</v>
      </c>
      <c r="AF519" s="30">
        <f>VLOOKUP($B519,Pitchers!$A1:$S251,7,FALSE)</f>
        <v>86.65</v>
      </c>
      <c r="AG519" s="30">
        <f>VLOOKUP($B519,Pitchers!$A1:$S251,8,FALSE)</f>
        <v>3.85</v>
      </c>
      <c r="AH519" s="30">
        <f>VLOOKUP($B519,Pitchers!$A1:$S251,9,FALSE)</f>
        <v>0</v>
      </c>
      <c r="AI519" s="30">
        <f>VLOOKUP($B519,Pitchers!$A1:$S251,10,FALSE)</f>
        <v>42.216000000000001</v>
      </c>
      <c r="AJ519" s="30">
        <f>VLOOKUP($B519,Pitchers!$A1:$S251,11,FALSE)</f>
        <v>85.9</v>
      </c>
      <c r="AK519" s="30">
        <f>VLOOKUP($B519,Pitchers!$A1:$S251,12,FALSE)</f>
        <v>36.75</v>
      </c>
      <c r="AL519" s="30">
        <f>VLOOKUP($B519,Pitchers!$A1:$S251,13,FALSE)</f>
        <v>13</v>
      </c>
      <c r="AM519" s="30">
        <f>VLOOKUP($B519,Pitchers!$A1:$S251,14,FALSE)</f>
        <v>23.55</v>
      </c>
      <c r="AN519" s="30">
        <f>VLOOKUP($B519,Pitchers!$A1:$S251,15,FALSE)</f>
        <v>19.55</v>
      </c>
      <c r="AO519" s="30">
        <f>VLOOKUP($B519,Pitchers!$A1:$S251,16,FALSE)</f>
        <v>7.35</v>
      </c>
      <c r="AP519" s="30">
        <f>VLOOKUP($B519,Pitchers!$A1:$S251,17,FALSE)</f>
        <v>8</v>
      </c>
      <c r="AQ519" s="30">
        <f>VLOOKUP($B519,Pitchers!$A1:$S251,18,FALSE)</f>
        <v>0</v>
      </c>
      <c r="AR519" s="30">
        <f>VLOOKUP($B519,Pitchers!$A1:$S251,19,FALSE)</f>
        <v>0</v>
      </c>
    </row>
    <row r="520" spans="1:44" ht="18.600000000000001" customHeight="1">
      <c r="A520" s="24">
        <f ca="1">RANK(I520,I$2:I$651)</f>
        <v>523</v>
      </c>
      <c r="B520" s="25" t="s">
        <v>620</v>
      </c>
      <c r="C520" s="26" t="s">
        <v>103</v>
      </c>
      <c r="D520" s="26" t="s">
        <v>70</v>
      </c>
      <c r="E520" s="45" t="s">
        <v>19</v>
      </c>
      <c r="F520" s="46">
        <f ca="1">VLOOKUP(B520,'C'!A1:I54,IF(Settings!$J$13="points",4,7),FALSE)</f>
        <v>34</v>
      </c>
      <c r="G520" s="29">
        <f>(M520*Settings!$B$2)+(N520*Settings!$B$3)+(O520*Settings!$B$4)+(P520*Settings!$B$5)+(Q520*Settings!$B$6)+(T520*Settings!$B$9)+(U520*Settings!$B$10)+(V520*Settings!$B$11)+(W520*Settings!$B$12)+(X520*Settings!$B$13)+(AA520*Settings!$B$16)</f>
        <v>170.68333333333325</v>
      </c>
      <c r="H520" s="30">
        <f>VLOOKUP(B520,'Standard Deviations'!$A1:$D651,4,FALSE)</f>
        <v>-4.1472729834169062</v>
      </c>
      <c r="I520" s="31">
        <f ca="1">VLOOKUP(B520,'C'!A1:I54,IF(Settings!$J$13="points",6,9),FALSE)</f>
        <v>-3.8301747656227758</v>
      </c>
      <c r="J520" s="30"/>
      <c r="K520" s="30">
        <f ca="1">J520-A520</f>
        <v>-523</v>
      </c>
      <c r="L520" s="30"/>
      <c r="M520" s="30">
        <f>VLOOKUP($B520,Hitters!$A1:$R401,4,FALSE)</f>
        <v>264.33333333333297</v>
      </c>
      <c r="N520" s="30">
        <f>VLOOKUP($B520,Hitters!$A1:$R401,5,FALSE)</f>
        <v>30.133333333333301</v>
      </c>
      <c r="O520" s="30">
        <f>VLOOKUP($B520,Hitters!$A1:$R401,6,FALSE)</f>
        <v>6.7333333333333298</v>
      </c>
      <c r="P520" s="30">
        <f>VLOOKUP($B520,Hitters!$A1:$R401,7,FALSE)</f>
        <v>30.6</v>
      </c>
      <c r="Q520" s="30">
        <f>VLOOKUP($B520,Hitters!$A1:$R401,8,FALSE)</f>
        <v>0.3</v>
      </c>
      <c r="R520" s="32">
        <f>VLOOKUP($B520,Hitters!$A1:$R401,9,FALSE)</f>
        <v>0.24186633039092101</v>
      </c>
      <c r="S520" s="32">
        <f>VLOOKUP($B520,Hitters!$A1:$R401,10,FALSE)</f>
        <v>0.27340068946596202</v>
      </c>
      <c r="T520" s="30">
        <f>VLOOKUP($B520,Hitters!$A1:$R401,11,FALSE)</f>
        <v>63.933333333333302</v>
      </c>
      <c r="U520" s="30">
        <f>VLOOKUP($B520,Hitters!$A1:$R401,12,FALSE)</f>
        <v>16.033333333333299</v>
      </c>
      <c r="V520" s="30">
        <f>VLOOKUP($B520,Hitters!$A1:$R401,13,FALSE)</f>
        <v>0.93333333333333302</v>
      </c>
      <c r="W520" s="30">
        <f>VLOOKUP($B520,Hitters!$A1:$R401,14,FALSE)</f>
        <v>12.466666666666701</v>
      </c>
      <c r="X520" s="30">
        <f>VLOOKUP($B520,Hitters!$A1:$R401,15,FALSE)</f>
        <v>57.7</v>
      </c>
      <c r="Y520" s="32">
        <f>VLOOKUP($B520,Hitters!$A1:$R401,16,FALSE)</f>
        <v>0.38600252206809599</v>
      </c>
      <c r="Z520" s="32">
        <f>VLOOKUP($B520,Hitters!$A1:$R401,17,FALSE)</f>
        <v>0.65940321153405801</v>
      </c>
      <c r="AA520" s="30">
        <f>VLOOKUP($B520,Hitters!$A1:$R401,18,FALSE)</f>
        <v>0</v>
      </c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</row>
    <row r="521" spans="1:44" ht="18.600000000000001" customHeight="1">
      <c r="A521" s="24">
        <f ca="1">RANK(I521,I$2:I$651)</f>
        <v>504</v>
      </c>
      <c r="B521" s="25" t="s">
        <v>601</v>
      </c>
      <c r="C521" s="26" t="s">
        <v>119</v>
      </c>
      <c r="D521" s="26" t="s">
        <v>70</v>
      </c>
      <c r="E521" s="41" t="s">
        <v>34</v>
      </c>
      <c r="F521" s="42">
        <f ca="1">VLOOKUP(B521,RP!A1:I91,IF(Settings!$J$13="points",4,7),FALSE)</f>
        <v>76</v>
      </c>
      <c r="G521" s="29">
        <f>(AC521*Settings!$F$2)+(AF521*Settings!$F$5)+(AG521*Settings!$F$6)+(AH521*Settings!$F$7)+(AI521*Settings!$F$8)+(AJ521*Settings!$F$9)+(AK521*Settings!$F$10)+(AL521*Settings!$F$11)+(AM521*Settings!$F$12)+(AN521*Settings!$F$13)+(AO521*Settings!$F$14)+(AP521*Settings!$F$15)+(AQ521*Settings!$F$16)+(AR521*Settings!$F$17)</f>
        <v>170.43333333333328</v>
      </c>
      <c r="H521" s="30">
        <f>VLOOKUP(B521,'Standard Deviations'!$A1:$D651,4,FALSE)</f>
        <v>-2.0188028746895377</v>
      </c>
      <c r="I521" s="31">
        <f ca="1">IF(Settings!$J$16="no",VLOOKUP(B521,RP!A1:I91,IF(Settings!$J$13="points",6,9),FALSE),VLOOKUP(B521,'SP+RP'!$A1:$I251,IF(Settings!$J$13="points",6,9),FALSE))</f>
        <v>-3.5898685724847814</v>
      </c>
      <c r="J521" s="30"/>
      <c r="K521" s="30">
        <f ca="1">J521-A521</f>
        <v>-504</v>
      </c>
      <c r="L521" s="30"/>
      <c r="M521" s="30"/>
      <c r="N521" s="30"/>
      <c r="O521" s="30"/>
      <c r="P521" s="30"/>
      <c r="Q521" s="30"/>
      <c r="R521" s="32"/>
      <c r="S521" s="32"/>
      <c r="T521" s="30"/>
      <c r="U521" s="30"/>
      <c r="V521" s="30"/>
      <c r="W521" s="30"/>
      <c r="X521" s="30"/>
      <c r="Y521" s="32"/>
      <c r="Z521" s="32"/>
      <c r="AA521" s="30"/>
      <c r="AB521" s="30"/>
      <c r="AC521" s="30">
        <f>VLOOKUP($B521,Pitchers!$A1:$S251,4,FALSE)</f>
        <v>45.733333333333327</v>
      </c>
      <c r="AD521" s="32">
        <f>VLOOKUP($B521,Pitchers!$A1:$S251,5,FALSE)</f>
        <v>3.6209912536443158</v>
      </c>
      <c r="AE521" s="32">
        <f>VLOOKUP($B521,Pitchers!$A1:$S251,6,FALSE)</f>
        <v>1.3104956268221575</v>
      </c>
      <c r="AF521" s="30">
        <f>VLOOKUP($B521,Pitchers!$A1:$S251,7,FALSE)</f>
        <v>60.266666666666673</v>
      </c>
      <c r="AG521" s="30">
        <f>VLOOKUP($B521,Pitchers!$A1:$S251,8,FALSE)</f>
        <v>3.1333333333333333</v>
      </c>
      <c r="AH521" s="30">
        <f>VLOOKUP($B521,Pitchers!$A1:$S251,9,FALSE)</f>
        <v>10.666666666666666</v>
      </c>
      <c r="AI521" s="30">
        <f>VLOOKUP($B521,Pitchers!$A1:$S251,10,FALSE)</f>
        <v>18.400000000000002</v>
      </c>
      <c r="AJ521" s="30">
        <f>VLOOKUP($B521,Pitchers!$A1:$S251,11,FALSE)</f>
        <v>32.93333333333333</v>
      </c>
      <c r="AK521" s="30">
        <f>VLOOKUP($B521,Pitchers!$A1:$S251,12,FALSE)</f>
        <v>27</v>
      </c>
      <c r="AL521" s="30">
        <f>VLOOKUP($B521,Pitchers!$A1:$S251,13,FALSE)</f>
        <v>6</v>
      </c>
      <c r="AM521" s="30">
        <f>VLOOKUP($B521,Pitchers!$A1:$S251,14,FALSE)</f>
        <v>53.233333333333327</v>
      </c>
      <c r="AN521" s="30">
        <f>VLOOKUP($B521,Pitchers!$A1:$S251,15,FALSE)</f>
        <v>0</v>
      </c>
      <c r="AO521" s="30">
        <f>VLOOKUP($B521,Pitchers!$A1:$S251,16,FALSE)</f>
        <v>3.0333333333333332</v>
      </c>
      <c r="AP521" s="30">
        <f>VLOOKUP($B521,Pitchers!$A1:$S251,17,FALSE)</f>
        <v>0</v>
      </c>
      <c r="AQ521" s="30">
        <f>VLOOKUP($B521,Pitchers!$A1:$S251,18,FALSE)</f>
        <v>7.5</v>
      </c>
      <c r="AR521" s="30">
        <f>VLOOKUP($B521,Pitchers!$A1:$S251,19,FALSE)</f>
        <v>0</v>
      </c>
    </row>
    <row r="522" spans="1:44" ht="18.600000000000001" customHeight="1">
      <c r="A522" s="24">
        <f ca="1">RANK(I522,I$2:I$651)</f>
        <v>147</v>
      </c>
      <c r="B522" s="25" t="s">
        <v>243</v>
      </c>
      <c r="C522" s="26" t="s">
        <v>116</v>
      </c>
      <c r="D522" s="26" t="s">
        <v>70</v>
      </c>
      <c r="E522" s="41" t="s">
        <v>34</v>
      </c>
      <c r="F522" s="42">
        <f ca="1">VLOOKUP(B522,RP!A1:I91,IF(Settings!$J$13="points",4,7),FALSE)</f>
        <v>12</v>
      </c>
      <c r="G522" s="29">
        <f>(AC522*Settings!$F$2)+(AF522*Settings!$F$5)+(AG522*Settings!$F$6)+(AH522*Settings!$F$7)+(AI522*Settings!$F$8)+(AJ522*Settings!$F$9)+(AK522*Settings!$F$10)+(AL522*Settings!$F$11)+(AM522*Settings!$F$12)+(AN522*Settings!$F$13)+(AO522*Settings!$F$14)+(AP522*Settings!$F$15)+(AQ522*Settings!$F$16)+(AR522*Settings!$F$17)</f>
        <v>170.31666666666663</v>
      </c>
      <c r="H522" s="30">
        <f>VLOOKUP(B522,'Standard Deviations'!$A1:$D651,4,FALSE)</f>
        <v>3.1802586532333992</v>
      </c>
      <c r="I522" s="31">
        <f ca="1">IF(Settings!$J$16="no",VLOOKUP(B522,RP!A1:I91,IF(Settings!$J$13="points",6,9),FALSE),VLOOKUP(B522,'SP+RP'!$A1:$I251,IF(Settings!$J$13="points",6,9),FALSE))</f>
        <v>1.6091965193959414</v>
      </c>
      <c r="J522" s="30"/>
      <c r="K522" s="30">
        <f ca="1">J522-A522</f>
        <v>-147</v>
      </c>
      <c r="L522" s="30"/>
      <c r="M522" s="30"/>
      <c r="N522" s="30"/>
      <c r="O522" s="30"/>
      <c r="P522" s="30"/>
      <c r="Q522" s="30"/>
      <c r="R522" s="32"/>
      <c r="S522" s="32"/>
      <c r="T522" s="30"/>
      <c r="U522" s="30"/>
      <c r="V522" s="30"/>
      <c r="W522" s="30"/>
      <c r="X522" s="30"/>
      <c r="Y522" s="32"/>
      <c r="Z522" s="32"/>
      <c r="AA522" s="30"/>
      <c r="AB522" s="30"/>
      <c r="AC522" s="30">
        <f>VLOOKUP($B522,Pitchers!$A1:$S251,4,FALSE)</f>
        <v>29.566666666666663</v>
      </c>
      <c r="AD522" s="32">
        <f>VLOOKUP($B522,Pitchers!$A1:$S251,5,FALSE)</f>
        <v>2.6482525366403613</v>
      </c>
      <c r="AE522" s="32">
        <f>VLOOKUP($B522,Pitchers!$A1:$S251,6,FALSE)</f>
        <v>0.93686583990980843</v>
      </c>
      <c r="AF522" s="30">
        <f>VLOOKUP($B522,Pitchers!$A1:$S251,7,FALSE)</f>
        <v>42.43333333333333</v>
      </c>
      <c r="AG522" s="30">
        <f>VLOOKUP($B522,Pitchers!$A1:$S251,8,FALSE)</f>
        <v>1.9000000000000001</v>
      </c>
      <c r="AH522" s="30">
        <f>VLOOKUP($B522,Pitchers!$A1:$S251,9,FALSE)</f>
        <v>13</v>
      </c>
      <c r="AI522" s="30">
        <f>VLOOKUP($B522,Pitchers!$A1:$S251,10,FALSE)</f>
        <v>8.7000000000000011</v>
      </c>
      <c r="AJ522" s="30">
        <f>VLOOKUP($B522,Pitchers!$A1:$S251,11,FALSE)</f>
        <v>21.3</v>
      </c>
      <c r="AK522" s="30">
        <f>VLOOKUP($B522,Pitchers!$A1:$S251,12,FALSE)</f>
        <v>6.3999999999999995</v>
      </c>
      <c r="AL522" s="30">
        <f>VLOOKUP($B522,Pitchers!$A1:$S251,13,FALSE)</f>
        <v>4</v>
      </c>
      <c r="AM522" s="30">
        <f>VLOOKUP($B522,Pitchers!$A1:$S251,14,FALSE)</f>
        <v>28.533333333333331</v>
      </c>
      <c r="AN522" s="30">
        <f>VLOOKUP($B522,Pitchers!$A1:$S251,15,FALSE)</f>
        <v>0</v>
      </c>
      <c r="AO522" s="30">
        <f>VLOOKUP($B522,Pitchers!$A1:$S251,16,FALSE)</f>
        <v>1.5</v>
      </c>
      <c r="AP522" s="30">
        <f>VLOOKUP($B522,Pitchers!$A1:$S251,17,FALSE)</f>
        <v>0</v>
      </c>
      <c r="AQ522" s="30">
        <f>VLOOKUP($B522,Pitchers!$A1:$S251,18,FALSE)</f>
        <v>0</v>
      </c>
      <c r="AR522" s="30">
        <f>VLOOKUP($B522,Pitchers!$A1:$S251,19,FALSE)</f>
        <v>3</v>
      </c>
    </row>
    <row r="523" spans="1:44" ht="20.100000000000001" customHeight="1">
      <c r="A523" s="24">
        <f ca="1">RANK(I523,I$2:I$651)</f>
        <v>420</v>
      </c>
      <c r="B523" s="25" t="s">
        <v>517</v>
      </c>
      <c r="C523" s="26" t="s">
        <v>79</v>
      </c>
      <c r="D523" s="26" t="s">
        <v>70</v>
      </c>
      <c r="E523" s="41" t="s">
        <v>34</v>
      </c>
      <c r="F523" s="42">
        <f ca="1">VLOOKUP(B523,RP!A1:I91,IF(Settings!$J$13="points",4,7),FALSE)</f>
        <v>48</v>
      </c>
      <c r="G523" s="29">
        <f>(AC523*Settings!$F$2)+(AF523*Settings!$F$5)+(AG523*Settings!$F$6)+(AH523*Settings!$F$7)+(AI523*Settings!$F$8)+(AJ523*Settings!$F$9)+(AK523*Settings!$F$10)+(AL523*Settings!$F$11)+(AM523*Settings!$F$12)+(AN523*Settings!$F$13)+(AO523*Settings!$F$14)+(AP523*Settings!$F$15)+(AQ523*Settings!$F$16)+(AR523*Settings!$F$17)</f>
        <v>169.81666666666669</v>
      </c>
      <c r="H523" s="30">
        <f>VLOOKUP(B523,'Standard Deviations'!$A1:$D651,4,FALSE)</f>
        <v>-1.1452937324070136</v>
      </c>
      <c r="I523" s="31">
        <f ca="1">IF(Settings!$J$16="no",VLOOKUP(B523,RP!A1:I91,IF(Settings!$J$13="points",6,9),FALSE),VLOOKUP(B523,'SP+RP'!$A1:$I251,IF(Settings!$J$13="points",6,9),FALSE))</f>
        <v>-2.7163587665216058</v>
      </c>
      <c r="J523" s="30"/>
      <c r="K523" s="30">
        <f ca="1">J523-A523</f>
        <v>-420</v>
      </c>
      <c r="L523" s="30"/>
      <c r="M523" s="30"/>
      <c r="N523" s="30"/>
      <c r="O523" s="30"/>
      <c r="P523" s="30"/>
      <c r="Q523" s="30"/>
      <c r="R523" s="32"/>
      <c r="S523" s="32"/>
      <c r="T523" s="30"/>
      <c r="U523" s="30"/>
      <c r="V523" s="30"/>
      <c r="W523" s="30"/>
      <c r="X523" s="30"/>
      <c r="Y523" s="32"/>
      <c r="Z523" s="32"/>
      <c r="AA523" s="30"/>
      <c r="AB523" s="30"/>
      <c r="AC523" s="30">
        <f>VLOOKUP($B523,Pitchers!$A1:$S251,4,FALSE)</f>
        <v>63.29999999999999</v>
      </c>
      <c r="AD523" s="32">
        <f>VLOOKUP($B523,Pitchers!$A1:$S251,5,FALSE)</f>
        <v>3.75829383886256</v>
      </c>
      <c r="AE523" s="32">
        <f>VLOOKUP($B523,Pitchers!$A1:$S251,6,FALSE)</f>
        <v>1.1779884149552398</v>
      </c>
      <c r="AF523" s="30">
        <f>VLOOKUP($B523,Pitchers!$A1:$S251,7,FALSE)</f>
        <v>75.36666666666666</v>
      </c>
      <c r="AG523" s="30">
        <f>VLOOKUP($B523,Pitchers!$A1:$S251,8,FALSE)</f>
        <v>4.0333333333333332</v>
      </c>
      <c r="AH523" s="30">
        <f>VLOOKUP($B523,Pitchers!$A1:$S251,9,FALSE)</f>
        <v>4.666666666666667</v>
      </c>
      <c r="AI523" s="30">
        <f>VLOOKUP($B523,Pitchers!$A1:$S251,10,FALSE)</f>
        <v>26.433333333333334</v>
      </c>
      <c r="AJ523" s="30">
        <f>VLOOKUP($B523,Pitchers!$A1:$S251,11,FALSE)</f>
        <v>52.233333333333327</v>
      </c>
      <c r="AK523" s="30">
        <f>VLOOKUP($B523,Pitchers!$A1:$S251,12,FALSE)</f>
        <v>22.333333333333332</v>
      </c>
      <c r="AL523" s="30">
        <f>VLOOKUP($B523,Pitchers!$A1:$S251,13,FALSE)</f>
        <v>8</v>
      </c>
      <c r="AM523" s="30">
        <f>VLOOKUP($B523,Pitchers!$A1:$S251,14,FALSE)</f>
        <v>67.266666666666666</v>
      </c>
      <c r="AN523" s="30">
        <f>VLOOKUP($B523,Pitchers!$A1:$S251,15,FALSE)</f>
        <v>0</v>
      </c>
      <c r="AO523" s="30">
        <f>VLOOKUP($B523,Pitchers!$A1:$S251,16,FALSE)</f>
        <v>3.5333333333333332</v>
      </c>
      <c r="AP523" s="30">
        <f>VLOOKUP($B523,Pitchers!$A1:$S251,17,FALSE)</f>
        <v>0</v>
      </c>
      <c r="AQ523" s="30">
        <f>VLOOKUP($B523,Pitchers!$A1:$S251,18,FALSE)</f>
        <v>18.5</v>
      </c>
      <c r="AR523" s="30">
        <f>VLOOKUP($B523,Pitchers!$A1:$S251,19,FALSE)</f>
        <v>1</v>
      </c>
    </row>
    <row r="524" spans="1:44" ht="18.600000000000001" customHeight="1">
      <c r="A524" s="24">
        <f ca="1">RANK(I524,I$2:I$651)</f>
        <v>371</v>
      </c>
      <c r="B524" s="25" t="s">
        <v>469</v>
      </c>
      <c r="C524" s="26" t="s">
        <v>72</v>
      </c>
      <c r="D524" s="26" t="s">
        <v>70</v>
      </c>
      <c r="E524" s="41" t="s">
        <v>34</v>
      </c>
      <c r="F524" s="42">
        <f ca="1">VLOOKUP(B524,RP!A1:I91,IF(Settings!$J$13="points",4,7),FALSE)</f>
        <v>35</v>
      </c>
      <c r="G524" s="29">
        <f>(AC524*Settings!$F$2)+(AF524*Settings!$F$5)+(AG524*Settings!$F$6)+(AH524*Settings!$F$7)+(AI524*Settings!$F$8)+(AJ524*Settings!$F$9)+(AK524*Settings!$F$10)+(AL524*Settings!$F$11)+(AM524*Settings!$F$12)+(AN524*Settings!$F$13)+(AO524*Settings!$F$14)+(AP524*Settings!$F$15)+(AQ524*Settings!$F$16)+(AR524*Settings!$F$17)</f>
        <v>169.46666666666658</v>
      </c>
      <c r="H524" s="30">
        <f>VLOOKUP(B524,'Standard Deviations'!$A1:$D651,4,FALSE)</f>
        <v>-0.51219102099321345</v>
      </c>
      <c r="I524" s="31">
        <f ca="1">IF(Settings!$J$16="no",VLOOKUP(B524,RP!A1:I91,IF(Settings!$J$13="points",6,9),FALSE),VLOOKUP(B524,'SP+RP'!$A1:$I251,IF(Settings!$J$13="points",6,9),FALSE))</f>
        <v>-2.0832610343691655</v>
      </c>
      <c r="J524" s="30"/>
      <c r="K524" s="30">
        <f ca="1">J524-A524</f>
        <v>-371</v>
      </c>
      <c r="L524" s="30"/>
      <c r="M524" s="30"/>
      <c r="N524" s="30"/>
      <c r="O524" s="30"/>
      <c r="P524" s="30"/>
      <c r="Q524" s="30"/>
      <c r="R524" s="32"/>
      <c r="S524" s="32"/>
      <c r="T524" s="30"/>
      <c r="U524" s="30"/>
      <c r="V524" s="30"/>
      <c r="W524" s="30"/>
      <c r="X524" s="30"/>
      <c r="Y524" s="32"/>
      <c r="Z524" s="32"/>
      <c r="AA524" s="30"/>
      <c r="AB524" s="30"/>
      <c r="AC524" s="30">
        <f>VLOOKUP($B524,Pitchers!$A1:$S251,4,FALSE)</f>
        <v>73.633333333333326</v>
      </c>
      <c r="AD524" s="32">
        <f>VLOOKUP($B524,Pitchers!$A1:$S251,5,FALSE)</f>
        <v>3.4956994114984155</v>
      </c>
      <c r="AE524" s="32">
        <f>VLOOKUP($B524,Pitchers!$A1:$S251,6,FALSE)</f>
        <v>1.1063829787234043</v>
      </c>
      <c r="AF524" s="30">
        <f>VLOOKUP($B524,Pitchers!$A1:$S251,7,FALSE)</f>
        <v>78.066666666666663</v>
      </c>
      <c r="AG524" s="30">
        <f>VLOOKUP($B524,Pitchers!$A1:$S251,8,FALSE)</f>
        <v>3.8000000000000003</v>
      </c>
      <c r="AH524" s="30">
        <f>VLOOKUP($B524,Pitchers!$A1:$S251,9,FALSE)</f>
        <v>0.33333333333333331</v>
      </c>
      <c r="AI524" s="30">
        <f>VLOOKUP($B524,Pitchers!$A1:$S251,10,FALSE)</f>
        <v>28.599999999999998</v>
      </c>
      <c r="AJ524" s="30">
        <f>VLOOKUP($B524,Pitchers!$A1:$S251,11,FALSE)</f>
        <v>59.433333333333337</v>
      </c>
      <c r="AK524" s="30">
        <f>VLOOKUP($B524,Pitchers!$A1:$S251,12,FALSE)</f>
        <v>22.033333333333331</v>
      </c>
      <c r="AL524" s="30">
        <f>VLOOKUP($B524,Pitchers!$A1:$S251,13,FALSE)</f>
        <v>8</v>
      </c>
      <c r="AM524" s="30">
        <f>VLOOKUP($B524,Pitchers!$A1:$S251,14,FALSE)</f>
        <v>67.933333333333337</v>
      </c>
      <c r="AN524" s="30">
        <f>VLOOKUP($B524,Pitchers!$A1:$S251,15,FALSE)</f>
        <v>0.33333333333333331</v>
      </c>
      <c r="AO524" s="30">
        <f>VLOOKUP($B524,Pitchers!$A1:$S251,16,FALSE)</f>
        <v>1.8666666666666665</v>
      </c>
      <c r="AP524" s="30">
        <f>VLOOKUP($B524,Pitchers!$A1:$S251,17,FALSE)</f>
        <v>0</v>
      </c>
      <c r="AQ524" s="30">
        <f>VLOOKUP($B524,Pitchers!$A1:$S251,18,FALSE)</f>
        <v>8</v>
      </c>
      <c r="AR524" s="30">
        <f>VLOOKUP($B524,Pitchers!$A1:$S251,19,FALSE)</f>
        <v>0</v>
      </c>
    </row>
    <row r="525" spans="1:44" ht="18.600000000000001" customHeight="1">
      <c r="A525" s="24">
        <f ca="1">RANK(I525,I$2:I$651)</f>
        <v>313</v>
      </c>
      <c r="B525" s="25" t="s">
        <v>410</v>
      </c>
      <c r="C525" s="26" t="s">
        <v>64</v>
      </c>
      <c r="D525" s="26" t="s">
        <v>75</v>
      </c>
      <c r="E525" s="41" t="s">
        <v>34</v>
      </c>
      <c r="F525" s="42">
        <f ca="1">VLOOKUP(B525,RP!A1:I91,IF(Settings!$J$13="points",4,7),FALSE)</f>
        <v>26</v>
      </c>
      <c r="G525" s="29">
        <f>(AC525*Settings!$F$2)+(AF525*Settings!$F$5)+(AG525*Settings!$F$6)+(AH525*Settings!$F$7)+(AI525*Settings!$F$8)+(AJ525*Settings!$F$9)+(AK525*Settings!$F$10)+(AL525*Settings!$F$11)+(AM525*Settings!$F$12)+(AN525*Settings!$F$13)+(AO525*Settings!$F$14)+(AP525*Settings!$F$15)+(AQ525*Settings!$F$16)+(AR525*Settings!$F$17)</f>
        <v>169.34999999999997</v>
      </c>
      <c r="H525" s="30">
        <f>VLOOKUP(B525,'Standard Deviations'!$A1:$D651,4,FALSE)</f>
        <v>0.49529147668197748</v>
      </c>
      <c r="I525" s="31">
        <f ca="1">IF(Settings!$J$16="no",VLOOKUP(B525,RP!A1:I91,IF(Settings!$J$13="points",6,9),FALSE),VLOOKUP(B525,'SP+RP'!$A1:$I251,IF(Settings!$J$13="points",6,9),FALSE))</f>
        <v>-1.0757745312147873</v>
      </c>
      <c r="J525" s="30"/>
      <c r="K525" s="30">
        <f ca="1">J525-A525</f>
        <v>-313</v>
      </c>
      <c r="L525" s="30"/>
      <c r="M525" s="30"/>
      <c r="N525" s="30"/>
      <c r="O525" s="30"/>
      <c r="P525" s="30"/>
      <c r="Q525" s="30"/>
      <c r="R525" s="32"/>
      <c r="S525" s="32"/>
      <c r="T525" s="30"/>
      <c r="U525" s="30"/>
      <c r="V525" s="30"/>
      <c r="W525" s="30"/>
      <c r="X525" s="30"/>
      <c r="Y525" s="32"/>
      <c r="Z525" s="32"/>
      <c r="AA525" s="30"/>
      <c r="AB525" s="30"/>
      <c r="AC525" s="30">
        <f>VLOOKUP($B525,Pitchers!$A1:$S251,4,FALSE)</f>
        <v>64.633333333333326</v>
      </c>
      <c r="AD525" s="32">
        <f>VLOOKUP($B525,Pitchers!$A1:$S251,5,FALSE)</f>
        <v>2.9798865394533274</v>
      </c>
      <c r="AE525" s="32">
        <f>VLOOKUP($B525,Pitchers!$A1:$S251,6,FALSE)</f>
        <v>1.144920061887571</v>
      </c>
      <c r="AF525" s="30">
        <f>VLOOKUP($B525,Pitchers!$A1:$S251,7,FALSE)</f>
        <v>77.166666666666671</v>
      </c>
      <c r="AG525" s="30">
        <f>VLOOKUP($B525,Pitchers!$A1:$S251,8,FALSE)</f>
        <v>4.6333333333333337</v>
      </c>
      <c r="AH525" s="30">
        <f>VLOOKUP($B525,Pitchers!$A1:$S251,9,FALSE)</f>
        <v>1.6666666666666667</v>
      </c>
      <c r="AI525" s="30">
        <f>VLOOKUP($B525,Pitchers!$A1:$S251,10,FALSE)</f>
        <v>21.400000000000002</v>
      </c>
      <c r="AJ525" s="30">
        <f>VLOOKUP($B525,Pitchers!$A1:$S251,11,FALSE)</f>
        <v>47.9</v>
      </c>
      <c r="AK525" s="30">
        <f>VLOOKUP($B525,Pitchers!$A1:$S251,12,FALSE)</f>
        <v>26.099999999999998</v>
      </c>
      <c r="AL525" s="30">
        <f>VLOOKUP($B525,Pitchers!$A1:$S251,13,FALSE)</f>
        <v>7</v>
      </c>
      <c r="AM525" s="30">
        <f>VLOOKUP($B525,Pitchers!$A1:$S251,14,FALSE)</f>
        <v>62.266666666666673</v>
      </c>
      <c r="AN525" s="30">
        <f>VLOOKUP($B525,Pitchers!$A1:$S251,15,FALSE)</f>
        <v>0</v>
      </c>
      <c r="AO525" s="30">
        <f>VLOOKUP($B525,Pitchers!$A1:$S251,16,FALSE)</f>
        <v>2.3666666666666667</v>
      </c>
      <c r="AP525" s="30">
        <f>VLOOKUP($B525,Pitchers!$A1:$S251,17,FALSE)</f>
        <v>0</v>
      </c>
      <c r="AQ525" s="30">
        <f>VLOOKUP($B525,Pitchers!$A1:$S251,18,FALSE)</f>
        <v>16.5</v>
      </c>
      <c r="AR525" s="30">
        <f>VLOOKUP($B525,Pitchers!$A1:$S251,19,FALSE)</f>
        <v>0</v>
      </c>
    </row>
    <row r="526" spans="1:44" ht="20.100000000000001" customHeight="1">
      <c r="A526" s="24">
        <f ca="1">RANK(I526,I$2:I$651)</f>
        <v>472</v>
      </c>
      <c r="B526" s="25" t="s">
        <v>569</v>
      </c>
      <c r="C526" s="26" t="s">
        <v>160</v>
      </c>
      <c r="D526" s="26" t="s">
        <v>75</v>
      </c>
      <c r="E526" s="45" t="s">
        <v>19</v>
      </c>
      <c r="F526" s="46">
        <f ca="1">VLOOKUP(B526,'C'!A1:I54,IF(Settings!$J$13="points",4,7),FALSE)</f>
        <v>28</v>
      </c>
      <c r="G526" s="29">
        <f>(M526*Settings!$B$2)+(N526*Settings!$B$3)+(O526*Settings!$B$4)+(P526*Settings!$B$5)+(Q526*Settings!$B$6)+(T526*Settings!$B$9)+(U526*Settings!$B$10)+(V526*Settings!$B$11)+(W526*Settings!$B$12)+(X526*Settings!$B$13)+(AA526*Settings!$B$16)</f>
        <v>169.30000000000013</v>
      </c>
      <c r="H526" s="30">
        <f>VLOOKUP(B526,'Standard Deviations'!$A1:$D651,4,FALSE)</f>
        <v>-3.5875344840690611</v>
      </c>
      <c r="I526" s="31">
        <f ca="1">VLOOKUP(B526,'C'!A1:I54,IF(Settings!$J$13="points",6,9),FALSE)</f>
        <v>-3.2704450123417019</v>
      </c>
      <c r="J526" s="30"/>
      <c r="K526" s="30">
        <f ca="1">J526-A526</f>
        <v>-472</v>
      </c>
      <c r="L526" s="30"/>
      <c r="M526" s="30">
        <f>VLOOKUP($B526,Hitters!$A1:$R401,4,FALSE)</f>
        <v>253</v>
      </c>
      <c r="N526" s="30">
        <f>VLOOKUP($B526,Hitters!$A1:$R401,5,FALSE)</f>
        <v>28.1666666666667</v>
      </c>
      <c r="O526" s="30">
        <f>VLOOKUP($B526,Hitters!$A1:$R401,6,FALSE)</f>
        <v>8.2333333333333307</v>
      </c>
      <c r="P526" s="30">
        <f>VLOOKUP($B526,Hitters!$A1:$R401,7,FALSE)</f>
        <v>30.566666666666698</v>
      </c>
      <c r="Q526" s="30">
        <f>VLOOKUP($B526,Hitters!$A1:$R401,8,FALSE)</f>
        <v>1.1000000000000001</v>
      </c>
      <c r="R526" s="32">
        <f>VLOOKUP($B526,Hitters!$A1:$R401,9,FALSE)</f>
        <v>0.24888010540184499</v>
      </c>
      <c r="S526" s="32">
        <f>VLOOKUP($B526,Hitters!$A1:$R401,10,FALSE)</f>
        <v>0.28120295138672902</v>
      </c>
      <c r="T526" s="30">
        <f>VLOOKUP($B526,Hitters!$A1:$R401,11,FALSE)</f>
        <v>62.966666666666697</v>
      </c>
      <c r="U526" s="30">
        <f>VLOOKUP($B526,Hitters!$A1:$R401,12,FALSE)</f>
        <v>11.5</v>
      </c>
      <c r="V526" s="30">
        <f>VLOOKUP($B526,Hitters!$A1:$R401,13,FALSE)</f>
        <v>0.9</v>
      </c>
      <c r="W526" s="30">
        <f>VLOOKUP($B526,Hitters!$A1:$R401,14,FALSE)</f>
        <v>12.366666666666699</v>
      </c>
      <c r="X526" s="30">
        <f>VLOOKUP($B526,Hitters!$A1:$R401,15,FALSE)</f>
        <v>51.2</v>
      </c>
      <c r="Y526" s="32">
        <f>VLOOKUP($B526,Hitters!$A1:$R401,16,FALSE)</f>
        <v>0.39907773386034301</v>
      </c>
      <c r="Z526" s="32">
        <f>VLOOKUP($B526,Hitters!$A1:$R401,17,FALSE)</f>
        <v>0.68028068524707097</v>
      </c>
      <c r="AA526" s="30">
        <f>VLOOKUP($B526,Hitters!$A1:$R401,18,FALSE)</f>
        <v>0</v>
      </c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</row>
    <row r="527" spans="1:44" ht="18.600000000000001" customHeight="1">
      <c r="A527" s="24">
        <f ca="1">RANK(I527,I$2:I$651)</f>
        <v>502</v>
      </c>
      <c r="B527" s="25" t="s">
        <v>599</v>
      </c>
      <c r="C527" s="26" t="s">
        <v>64</v>
      </c>
      <c r="D527" s="26" t="s">
        <v>75</v>
      </c>
      <c r="E527" s="45" t="s">
        <v>19</v>
      </c>
      <c r="F527" s="46">
        <f ca="1">VLOOKUP(B527,'C'!A1:I54,IF(Settings!$J$13="points",4,7),FALSE)</f>
        <v>32</v>
      </c>
      <c r="G527" s="29">
        <f>(M527*Settings!$B$2)+(N527*Settings!$B$3)+(O527*Settings!$B$4)+(P527*Settings!$B$5)+(Q527*Settings!$B$6)+(T527*Settings!$B$9)+(U527*Settings!$B$10)+(V527*Settings!$B$11)+(W527*Settings!$B$12)+(X527*Settings!$B$13)+(AA527*Settings!$B$16)</f>
        <v>168.8</v>
      </c>
      <c r="H527" s="30">
        <f>VLOOKUP(B527,'Standard Deviations'!$A1:$D651,4,FALSE)</f>
        <v>-3.8877689275781733</v>
      </c>
      <c r="I527" s="31">
        <f ca="1">VLOOKUP(B527,'C'!A1:I54,IF(Settings!$J$13="points",6,9),FALSE)</f>
        <v>-3.5706764542973914</v>
      </c>
      <c r="J527" s="30"/>
      <c r="K527" s="30">
        <f ca="1">J527-A527</f>
        <v>-502</v>
      </c>
      <c r="L527" s="30"/>
      <c r="M527" s="30">
        <f>VLOOKUP($B527,Hitters!$A1:$R401,4,FALSE)</f>
        <v>240</v>
      </c>
      <c r="N527" s="30">
        <f>VLOOKUP($B527,Hitters!$A1:$R401,5,FALSE)</f>
        <v>30.4</v>
      </c>
      <c r="O527" s="30">
        <f>VLOOKUP($B527,Hitters!$A1:$R401,6,FALSE)</f>
        <v>7.8</v>
      </c>
      <c r="P527" s="30">
        <f>VLOOKUP($B527,Hitters!$A1:$R401,7,FALSE)</f>
        <v>30.55</v>
      </c>
      <c r="Q527" s="30">
        <f>VLOOKUP($B527,Hitters!$A1:$R401,8,FALSE)</f>
        <v>1</v>
      </c>
      <c r="R527" s="32">
        <f>VLOOKUP($B527,Hitters!$A1:$R401,9,FALSE)</f>
        <v>0.24208333333333301</v>
      </c>
      <c r="S527" s="32">
        <f>VLOOKUP($B527,Hitters!$A1:$R401,10,FALSE)</f>
        <v>0.29562392509077001</v>
      </c>
      <c r="T527" s="30">
        <f>VLOOKUP($B527,Hitters!$A1:$R401,11,FALSE)</f>
        <v>58.1</v>
      </c>
      <c r="U527" s="30">
        <f>VLOOKUP($B527,Hitters!$A1:$R401,12,FALSE)</f>
        <v>11.05</v>
      </c>
      <c r="V527" s="30">
        <f>VLOOKUP($B527,Hitters!$A1:$R401,13,FALSE)</f>
        <v>0.85</v>
      </c>
      <c r="W527" s="30">
        <f>VLOOKUP($B527,Hitters!$A1:$R401,14,FALSE)</f>
        <v>19.25</v>
      </c>
      <c r="X527" s="30">
        <f>VLOOKUP($B527,Hitters!$A1:$R401,15,FALSE)</f>
        <v>54.7</v>
      </c>
      <c r="Y527" s="32">
        <f>VLOOKUP($B527,Hitters!$A1:$R401,16,FALSE)</f>
        <v>0.39270833333333299</v>
      </c>
      <c r="Z527" s="32">
        <f>VLOOKUP($B527,Hitters!$A1:$R401,17,FALSE)</f>
        <v>0.68833225842410295</v>
      </c>
      <c r="AA527" s="30">
        <f>VLOOKUP($B527,Hitters!$A1:$R401,18,FALSE)</f>
        <v>0</v>
      </c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</row>
    <row r="528" spans="1:44" ht="18.600000000000001" customHeight="1">
      <c r="A528" s="24">
        <f ca="1">RANK(I528,I$2:I$651)</f>
        <v>619</v>
      </c>
      <c r="B528" s="25" t="s">
        <v>715</v>
      </c>
      <c r="C528" s="26" t="s">
        <v>92</v>
      </c>
      <c r="D528" s="26" t="s">
        <v>75</v>
      </c>
      <c r="E528" s="43" t="s">
        <v>114</v>
      </c>
      <c r="F528" s="44">
        <f ca="1">VLOOKUP(B528,'1B'!A1:I63,IF(Settings!$J$13="points",4,7),FALSE)</f>
        <v>53</v>
      </c>
      <c r="G528" s="29">
        <f>(M528*Settings!$B$2)+(N528*Settings!$B$3)+(O528*Settings!$B$4)+(P528*Settings!$B$5)+(Q528*Settings!$B$6)+(T528*Settings!$B$9)+(U528*Settings!$B$10)+(V528*Settings!$B$11)+(W528*Settings!$B$12)+(X528*Settings!$B$13)+(AA528*Settings!$B$16)</f>
        <v>168.46666666666667</v>
      </c>
      <c r="H528" s="30">
        <f>VLOOKUP(B528,'Standard Deviations'!$A1:$D651,4,FALSE)</f>
        <v>-3.4924318087933486</v>
      </c>
      <c r="I528" s="31">
        <f ca="1">VLOOKUP(B528,'1B'!A1:I63,IF(Settings!$J$13="points",6,9),FALSE)</f>
        <v>-6.0719594074428684</v>
      </c>
      <c r="J528" s="30"/>
      <c r="K528" s="30">
        <f ca="1">J528-A528</f>
        <v>-619</v>
      </c>
      <c r="L528" s="30"/>
      <c r="M528" s="30">
        <f>VLOOKUP($B528,Hitters!$A1:$R401,4,FALSE)</f>
        <v>209.666666666667</v>
      </c>
      <c r="N528" s="30">
        <f>VLOOKUP($B528,Hitters!$A1:$R401,5,FALSE)</f>
        <v>28.766666666666701</v>
      </c>
      <c r="O528" s="30">
        <f>VLOOKUP($B528,Hitters!$A1:$R401,6,FALSE)</f>
        <v>12.1</v>
      </c>
      <c r="P528" s="30">
        <f>VLOOKUP($B528,Hitters!$A1:$R401,7,FALSE)</f>
        <v>29.933333333333302</v>
      </c>
      <c r="Q528" s="30">
        <f>VLOOKUP($B528,Hitters!$A1:$R401,8,FALSE)</f>
        <v>0.76666666666666705</v>
      </c>
      <c r="R528" s="32">
        <f>VLOOKUP($B528,Hitters!$A1:$R401,9,FALSE)</f>
        <v>0.24197138314785399</v>
      </c>
      <c r="S528" s="32">
        <f>VLOOKUP($B528,Hitters!$A1:$R401,10,FALSE)</f>
        <v>0.29112679569766198</v>
      </c>
      <c r="T528" s="30">
        <f>VLOOKUP($B528,Hitters!$A1:$R401,11,FALSE)</f>
        <v>50.733333333333299</v>
      </c>
      <c r="U528" s="30">
        <f>VLOOKUP($B528,Hitters!$A1:$R401,12,FALSE)</f>
        <v>11.466666666666701</v>
      </c>
      <c r="V528" s="30">
        <f>VLOOKUP($B528,Hitters!$A1:$R401,13,FALSE)</f>
        <v>0.83333333333333304</v>
      </c>
      <c r="W528" s="30">
        <f>VLOOKUP($B528,Hitters!$A1:$R401,14,FALSE)</f>
        <v>15.4</v>
      </c>
      <c r="X528" s="30">
        <f>VLOOKUP($B528,Hitters!$A1:$R401,15,FALSE)</f>
        <v>63.466666666666697</v>
      </c>
      <c r="Y528" s="32">
        <f>VLOOKUP($B528,Hitters!$A1:$R401,16,FALSE)</f>
        <v>0.47774244833068402</v>
      </c>
      <c r="Z528" s="32">
        <f>VLOOKUP($B528,Hitters!$A1:$R401,17,FALSE)</f>
        <v>0.768869244028346</v>
      </c>
      <c r="AA528" s="30">
        <f>VLOOKUP($B528,Hitters!$A1:$R401,18,FALSE)</f>
        <v>0</v>
      </c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</row>
    <row r="529" spans="1:44" ht="18.600000000000001" customHeight="1">
      <c r="A529" s="24">
        <f ca="1">RANK(I529,I$2:I$651)</f>
        <v>552</v>
      </c>
      <c r="B529" s="25" t="s">
        <v>649</v>
      </c>
      <c r="C529" s="26" t="s">
        <v>87</v>
      </c>
      <c r="D529" s="26" t="s">
        <v>70</v>
      </c>
      <c r="E529" s="33" t="s">
        <v>15</v>
      </c>
      <c r="F529" s="34">
        <f ca="1">VLOOKUP(B529,'3B'!A1:I55,IF(Settings!$J$13="points",4,7),FALSE)</f>
        <v>42</v>
      </c>
      <c r="G529" s="29">
        <f>(M529*Settings!$B$2)+(N529*Settings!$B$3)+(O529*Settings!$B$4)+(P529*Settings!$B$5)+(Q529*Settings!$B$6)+(T529*Settings!$B$9)+(U529*Settings!$B$10)+(V529*Settings!$B$11)+(W529*Settings!$B$12)+(X529*Settings!$B$13)+(AA529*Settings!$B$16)</f>
        <v>167.83333333333343</v>
      </c>
      <c r="H529" s="30">
        <f>VLOOKUP(B529,'Standard Deviations'!$A1:$D651,4,FALSE)</f>
        <v>-3.5999223398320894</v>
      </c>
      <c r="I529" s="31">
        <f ca="1">IF(Settings!$J$15="no",VLOOKUP(B529,'3B'!A1:I55,IF(Settings!$J$13="points",6,9),FALSE),VLOOKUP(B529,'1B+3B'!$A1:$I104,IF(Settings!$J$13="points",6,9),FALSE))</f>
        <v>-4.3275994337326793</v>
      </c>
      <c r="J529" s="30"/>
      <c r="K529" s="30">
        <f ca="1">J529-A529</f>
        <v>-552</v>
      </c>
      <c r="L529" s="30"/>
      <c r="M529" s="30">
        <f>VLOOKUP($B529,Hitters!$A1:$R401,4,FALSE)</f>
        <v>246</v>
      </c>
      <c r="N529" s="30">
        <f>VLOOKUP($B529,Hitters!$A1:$R401,5,FALSE)</f>
        <v>29.366666666666699</v>
      </c>
      <c r="O529" s="30">
        <f>VLOOKUP($B529,Hitters!$A1:$R401,6,FALSE)</f>
        <v>7.1333333333333302</v>
      </c>
      <c r="P529" s="30">
        <f>VLOOKUP($B529,Hitters!$A1:$R401,7,FALSE)</f>
        <v>28.933333333333302</v>
      </c>
      <c r="Q529" s="30">
        <f>VLOOKUP($B529,Hitters!$A1:$R401,8,FALSE)</f>
        <v>5.2666666666666702</v>
      </c>
      <c r="R529" s="32">
        <f>VLOOKUP($B529,Hitters!$A1:$R401,9,FALSE)</f>
        <v>0.23902439024390201</v>
      </c>
      <c r="S529" s="32">
        <f>VLOOKUP($B529,Hitters!$A1:$R401,10,FALSE)</f>
        <v>0.28011842404919202</v>
      </c>
      <c r="T529" s="30">
        <f>VLOOKUP($B529,Hitters!$A1:$R401,11,FALSE)</f>
        <v>58.8</v>
      </c>
      <c r="U529" s="30">
        <f>VLOOKUP($B529,Hitters!$A1:$R401,12,FALSE)</f>
        <v>12.866666666666699</v>
      </c>
      <c r="V529" s="30">
        <f>VLOOKUP($B529,Hitters!$A1:$R401,13,FALSE)</f>
        <v>0.93333333333333302</v>
      </c>
      <c r="W529" s="30">
        <f>VLOOKUP($B529,Hitters!$A1:$R401,14,FALSE)</f>
        <v>15</v>
      </c>
      <c r="X529" s="30">
        <f>VLOOKUP($B529,Hitters!$A1:$R401,15,FALSE)</f>
        <v>63.733333333333299</v>
      </c>
      <c r="Y529" s="32">
        <f>VLOOKUP($B529,Hitters!$A1:$R401,16,FALSE)</f>
        <v>0.38590785907859099</v>
      </c>
      <c r="Z529" s="32">
        <f>VLOOKUP($B529,Hitters!$A1:$R401,17,FALSE)</f>
        <v>0.666026283127782</v>
      </c>
      <c r="AA529" s="30">
        <f>VLOOKUP($B529,Hitters!$A1:$R401,18,FALSE)</f>
        <v>0</v>
      </c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</row>
    <row r="530" spans="1:44" ht="18.600000000000001" customHeight="1">
      <c r="A530" s="24">
        <f ca="1">RANK(I530,I$2:I$651)</f>
        <v>421</v>
      </c>
      <c r="B530" s="25" t="s">
        <v>518</v>
      </c>
      <c r="C530" s="26" t="s">
        <v>119</v>
      </c>
      <c r="D530" s="26" t="s">
        <v>70</v>
      </c>
      <c r="E530" s="27" t="s">
        <v>23</v>
      </c>
      <c r="F530" s="28">
        <f ca="1">VLOOKUP(B530,OF!A1:I139,IF(Settings!$J$13="points",4,7),FALSE)</f>
        <v>112</v>
      </c>
      <c r="G530" s="29">
        <f>(M530*Settings!$B$2)+(N530*Settings!$B$3)+(O530*Settings!$B$4)+(P530*Settings!$B$5)+(Q530*Settings!$B$6)+(T530*Settings!$B$9)+(U530*Settings!$B$10)+(V530*Settings!$B$11)+(W530*Settings!$B$12)+(X530*Settings!$B$13)+(AA530*Settings!$B$16)</f>
        <v>167.41666666666674</v>
      </c>
      <c r="H530" s="30">
        <f>VLOOKUP(B530,'Standard Deviations'!$A1:$D651,4,FALSE)</f>
        <v>-2.6044968941290243</v>
      </c>
      <c r="I530" s="31">
        <f ca="1">VLOOKUP(B530,OF!A1:I139,IF(Settings!$J$13="points",6,9),FALSE)</f>
        <v>-2.723215682276614</v>
      </c>
      <c r="J530" s="30"/>
      <c r="K530" s="30">
        <f ca="1">J530-A530</f>
        <v>-421</v>
      </c>
      <c r="L530" s="30"/>
      <c r="M530" s="30">
        <f>VLOOKUP($B530,Hitters!$A1:$R401,4,FALSE)</f>
        <v>221.666666666667</v>
      </c>
      <c r="N530" s="30">
        <f>VLOOKUP($B530,Hitters!$A1:$R401,5,FALSE)</f>
        <v>28.4</v>
      </c>
      <c r="O530" s="30">
        <f>VLOOKUP($B530,Hitters!$A1:$R401,6,FALSE)</f>
        <v>3.9</v>
      </c>
      <c r="P530" s="30">
        <f>VLOOKUP($B530,Hitters!$A1:$R401,7,FALSE)</f>
        <v>23.766666666666701</v>
      </c>
      <c r="Q530" s="30">
        <f>VLOOKUP($B530,Hitters!$A1:$R401,8,FALSE)</f>
        <v>13.4</v>
      </c>
      <c r="R530" s="32">
        <f>VLOOKUP($B530,Hitters!$A1:$R401,9,FALSE)</f>
        <v>0.24842105263157899</v>
      </c>
      <c r="S530" s="32">
        <f>VLOOKUP($B530,Hitters!$A1:$R401,10,FALSE)</f>
        <v>0.302266308465936</v>
      </c>
      <c r="T530" s="30">
        <f>VLOOKUP($B530,Hitters!$A1:$R401,11,FALSE)</f>
        <v>55.066666666666698</v>
      </c>
      <c r="U530" s="30">
        <f>VLOOKUP($B530,Hitters!$A1:$R401,12,FALSE)</f>
        <v>9.43333333333333</v>
      </c>
      <c r="V530" s="30">
        <f>VLOOKUP($B530,Hitters!$A1:$R401,13,FALSE)</f>
        <v>3.43333333333333</v>
      </c>
      <c r="W530" s="30">
        <f>VLOOKUP($B530,Hitters!$A1:$R401,14,FALSE)</f>
        <v>18.066666666666698</v>
      </c>
      <c r="X530" s="30">
        <f>VLOOKUP($B530,Hitters!$A1:$R401,15,FALSE)</f>
        <v>58.9</v>
      </c>
      <c r="Y530" s="32">
        <f>VLOOKUP($B530,Hitters!$A1:$R401,16,FALSE)</f>
        <v>0.37473684210526298</v>
      </c>
      <c r="Z530" s="32">
        <f>VLOOKUP($B530,Hitters!$A1:$R401,17,FALSE)</f>
        <v>0.67700315057119997</v>
      </c>
      <c r="AA530" s="30">
        <f>VLOOKUP($B530,Hitters!$A1:$R401,18,FALSE)</f>
        <v>0</v>
      </c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</row>
    <row r="531" spans="1:44" ht="18.600000000000001" customHeight="1">
      <c r="A531" s="24">
        <f ca="1">RANK(I531,I$2:I$651)</f>
        <v>372</v>
      </c>
      <c r="B531" s="25" t="s">
        <v>471</v>
      </c>
      <c r="C531" s="26" t="s">
        <v>99</v>
      </c>
      <c r="D531" s="26" t="s">
        <v>75</v>
      </c>
      <c r="E531" s="35" t="s">
        <v>31</v>
      </c>
      <c r="F531" s="36">
        <f ca="1">VLOOKUP(B531,SP!A1:I161,IF(Settings!$J$13="points",4,7),FALSE)</f>
        <v>111</v>
      </c>
      <c r="G531" s="29">
        <f>(AC531*Settings!$F$2)+(AF531*Settings!$F$5)+(AG531*Settings!$F$6)+(AH531*Settings!$F$7)+(AI531*Settings!$F$8)+(AJ531*Settings!$F$9)+(AK531*Settings!$F$10)+(AL531*Settings!$F$11)+(AM531*Settings!$F$12)+(AN531*Settings!$F$13)+(AO531*Settings!$F$14)+(AP531*Settings!$F$15)+(AQ531*Settings!$F$16)+(AR531*Settings!$F$17)</f>
        <v>167.05833333333342</v>
      </c>
      <c r="H531" s="30">
        <f>VLOOKUP(B531,'Standard Deviations'!$A1:$D651,4,FALSE)</f>
        <v>-1.9525895971096168</v>
      </c>
      <c r="I531" s="31">
        <f ca="1">IF(Settings!$J$16="no",VLOOKUP(B531,SP!A1:I161,IF(Settings!$J$13="points",6,9),FALSE),VLOOKUP(B531,'SP+RP'!$A1:$I251,IF(Settings!$J$13="points",6,9),FALSE))</f>
        <v>-2.0885726453960758</v>
      </c>
      <c r="J531" s="30"/>
      <c r="K531" s="30">
        <f ca="1">J531-A531</f>
        <v>-372</v>
      </c>
      <c r="L531" s="30"/>
      <c r="M531" s="30"/>
      <c r="N531" s="30"/>
      <c r="O531" s="30"/>
      <c r="P531" s="30"/>
      <c r="Q531" s="30"/>
      <c r="R531" s="32"/>
      <c r="S531" s="32"/>
      <c r="T531" s="30"/>
      <c r="U531" s="30"/>
      <c r="V531" s="30"/>
      <c r="W531" s="30"/>
      <c r="X531" s="30"/>
      <c r="Y531" s="32"/>
      <c r="Z531" s="32"/>
      <c r="AA531" s="30"/>
      <c r="AB531" s="30"/>
      <c r="AC531" s="30">
        <f>VLOOKUP($B531,Pitchers!$A1:$S251,4,FALSE)</f>
        <v>78.7</v>
      </c>
      <c r="AD531" s="32">
        <f>VLOOKUP($B531,Pitchers!$A1:$S251,5,FALSE)</f>
        <v>3.7052096569250312</v>
      </c>
      <c r="AE531" s="32">
        <f>VLOOKUP($B531,Pitchers!$A1:$S251,6,FALSE)</f>
        <v>1.2359169843286741</v>
      </c>
      <c r="AF531" s="30">
        <f>VLOOKUP($B531,Pitchers!$A1:$S251,7,FALSE)</f>
        <v>86.45</v>
      </c>
      <c r="AG531" s="30">
        <f>VLOOKUP($B531,Pitchers!$A1:$S251,8,FALSE)</f>
        <v>3.9499999999999997</v>
      </c>
      <c r="AH531" s="30">
        <f>VLOOKUP($B531,Pitchers!$A1:$S251,9,FALSE)</f>
        <v>0.66666666666666663</v>
      </c>
      <c r="AI531" s="30">
        <f>VLOOKUP($B531,Pitchers!$A1:$S251,10,FALSE)</f>
        <v>32.4</v>
      </c>
      <c r="AJ531" s="30">
        <f>VLOOKUP($B531,Pitchers!$A1:$S251,11,FALSE)</f>
        <v>66.566666666666663</v>
      </c>
      <c r="AK531" s="30">
        <f>VLOOKUP($B531,Pitchers!$A1:$S251,12,FALSE)</f>
        <v>30.7</v>
      </c>
      <c r="AL531" s="30">
        <f>VLOOKUP($B531,Pitchers!$A1:$S251,13,FALSE)</f>
        <v>4</v>
      </c>
      <c r="AM531" s="30">
        <f>VLOOKUP($B531,Pitchers!$A1:$S251,14,FALSE)</f>
        <v>25.400000000000002</v>
      </c>
      <c r="AN531" s="30">
        <f>VLOOKUP($B531,Pitchers!$A1:$S251,15,FALSE)</f>
        <v>12.033333333333333</v>
      </c>
      <c r="AO531" s="30">
        <f>VLOOKUP($B531,Pitchers!$A1:$S251,16,FALSE)</f>
        <v>4.1833333333333336</v>
      </c>
      <c r="AP531" s="30">
        <f>VLOOKUP($B531,Pitchers!$A1:$S251,17,FALSE)</f>
        <v>2</v>
      </c>
      <c r="AQ531" s="30">
        <f>VLOOKUP($B531,Pitchers!$A1:$S251,18,FALSE)</f>
        <v>1.5</v>
      </c>
      <c r="AR531" s="30">
        <f>VLOOKUP($B531,Pitchers!$A1:$S251,19,FALSE)</f>
        <v>0</v>
      </c>
    </row>
    <row r="532" spans="1:44" ht="18.600000000000001" customHeight="1">
      <c r="A532" s="24">
        <f ca="1">RANK(I532,I$2:I$651)</f>
        <v>481</v>
      </c>
      <c r="B532" s="25" t="s">
        <v>577</v>
      </c>
      <c r="C532" s="26" t="s">
        <v>85</v>
      </c>
      <c r="D532" s="26" t="s">
        <v>70</v>
      </c>
      <c r="E532" s="41" t="s">
        <v>34</v>
      </c>
      <c r="F532" s="42">
        <f ca="1">VLOOKUP(B532,RP!A1:I91,IF(Settings!$J$13="points",4,7),FALSE)</f>
        <v>68</v>
      </c>
      <c r="G532" s="29">
        <f>(AC532*Settings!$F$2)+(AF532*Settings!$F$5)+(AG532*Settings!$F$6)+(AH532*Settings!$F$7)+(AI532*Settings!$F$8)+(AJ532*Settings!$F$9)+(AK532*Settings!$F$10)+(AL532*Settings!$F$11)+(AM532*Settings!$F$12)+(AN532*Settings!$F$13)+(AO532*Settings!$F$14)+(AP532*Settings!$F$15)+(AQ532*Settings!$F$16)+(AR532*Settings!$F$17)</f>
        <v>166.14600000000002</v>
      </c>
      <c r="H532" s="30">
        <f>VLOOKUP(B532,'Standard Deviations'!$A1:$D651,4,FALSE)</f>
        <v>-1.8424901636348647</v>
      </c>
      <c r="I532" s="31">
        <f ca="1">IF(Settings!$J$16="no",VLOOKUP(B532,RP!A1:I91,IF(Settings!$J$13="points",6,9),FALSE),VLOOKUP(B532,'SP+RP'!$A1:$I251,IF(Settings!$J$13="points",6,9),FALSE))</f>
        <v>-3.4135583750540395</v>
      </c>
      <c r="J532" s="30"/>
      <c r="K532" s="30">
        <f ca="1">J532-A532</f>
        <v>-481</v>
      </c>
      <c r="L532" s="30"/>
      <c r="M532" s="30"/>
      <c r="N532" s="30"/>
      <c r="O532" s="30"/>
      <c r="P532" s="30"/>
      <c r="Q532" s="30"/>
      <c r="R532" s="32"/>
      <c r="S532" s="32"/>
      <c r="T532" s="30"/>
      <c r="U532" s="30"/>
      <c r="V532" s="30"/>
      <c r="W532" s="30"/>
      <c r="X532" s="30"/>
      <c r="Y532" s="32"/>
      <c r="Z532" s="32"/>
      <c r="AA532" s="30"/>
      <c r="AB532" s="30"/>
      <c r="AC532" s="30">
        <f>VLOOKUP($B532,Pitchers!$A1:$S251,4,FALSE)</f>
        <v>60.800000000000004</v>
      </c>
      <c r="AD532" s="32">
        <f>VLOOKUP($B532,Pitchers!$A1:$S251,5,FALSE)</f>
        <v>3.7604605263157893</v>
      </c>
      <c r="AE532" s="32">
        <f>VLOOKUP($B532,Pitchers!$A1:$S251,6,FALSE)</f>
        <v>1.1907894736842106</v>
      </c>
      <c r="AF532" s="30">
        <f>VLOOKUP($B532,Pitchers!$A1:$S251,7,FALSE)</f>
        <v>56.1</v>
      </c>
      <c r="AG532" s="30">
        <f>VLOOKUP($B532,Pitchers!$A1:$S251,8,FALSE)</f>
        <v>2.6666666666666665</v>
      </c>
      <c r="AH532" s="30">
        <f>VLOOKUP($B532,Pitchers!$A1:$S251,9,FALSE)</f>
        <v>6.666666666666667</v>
      </c>
      <c r="AI532" s="30">
        <f>VLOOKUP($B532,Pitchers!$A1:$S251,10,FALSE)</f>
        <v>25.404</v>
      </c>
      <c r="AJ532" s="30">
        <f>VLOOKUP($B532,Pitchers!$A1:$S251,11,FALSE)</f>
        <v>53.433333333333337</v>
      </c>
      <c r="AK532" s="30">
        <f>VLOOKUP($B532,Pitchers!$A1:$S251,12,FALSE)</f>
        <v>18.966666666666665</v>
      </c>
      <c r="AL532" s="30">
        <f>VLOOKUP($B532,Pitchers!$A1:$S251,13,FALSE)</f>
        <v>9</v>
      </c>
      <c r="AM532" s="30">
        <f>VLOOKUP($B532,Pitchers!$A1:$S251,14,FALSE)</f>
        <v>53.566666666666663</v>
      </c>
      <c r="AN532" s="30">
        <f>VLOOKUP($B532,Pitchers!$A1:$S251,15,FALSE)</f>
        <v>0.33333333333333331</v>
      </c>
      <c r="AO532" s="30">
        <f>VLOOKUP($B532,Pitchers!$A1:$S251,16,FALSE)</f>
        <v>2.3666666666666667</v>
      </c>
      <c r="AP532" s="30">
        <f>VLOOKUP($B532,Pitchers!$A1:$S251,17,FALSE)</f>
        <v>0</v>
      </c>
      <c r="AQ532" s="30">
        <f>VLOOKUP($B532,Pitchers!$A1:$S251,18,FALSE)</f>
        <v>10.5</v>
      </c>
      <c r="AR532" s="30">
        <f>VLOOKUP($B532,Pitchers!$A1:$S251,19,FALSE)</f>
        <v>2</v>
      </c>
    </row>
    <row r="533" spans="1:44" ht="18.600000000000001" customHeight="1">
      <c r="A533" s="24">
        <f ca="1">RANK(I533,I$2:I$651)</f>
        <v>574</v>
      </c>
      <c r="B533" s="25" t="s">
        <v>671</v>
      </c>
      <c r="C533" s="26" t="s">
        <v>85</v>
      </c>
      <c r="D533" s="26" t="s">
        <v>70</v>
      </c>
      <c r="E533" s="45" t="s">
        <v>19</v>
      </c>
      <c r="F533" s="46">
        <f ca="1">VLOOKUP(B533,'C'!A1:I54,IF(Settings!$J$13="points",4,7),FALSE)</f>
        <v>44</v>
      </c>
      <c r="G533" s="29">
        <f>(M533*Settings!$B$2)+(N533*Settings!$B$3)+(O533*Settings!$B$4)+(P533*Settings!$B$5)+(Q533*Settings!$B$6)+(T533*Settings!$B$9)+(U533*Settings!$B$10)+(V533*Settings!$B$11)+(W533*Settings!$B$12)+(X533*Settings!$B$13)+(AA533*Settings!$B$16)</f>
        <v>165.35000000000002</v>
      </c>
      <c r="H533" s="30">
        <f>VLOOKUP(B533,'Standard Deviations'!$A1:$D651,4,FALSE)</f>
        <v>-5.0806545423948801</v>
      </c>
      <c r="I533" s="31">
        <f ca="1">VLOOKUP(B533,'C'!A1:I54,IF(Settings!$J$13="points",6,9),FALSE)</f>
        <v>-4.7635637703399363</v>
      </c>
      <c r="J533" s="30"/>
      <c r="K533" s="30">
        <f ca="1">J533-A533</f>
        <v>-574</v>
      </c>
      <c r="L533" s="30"/>
      <c r="M533" s="30">
        <f>VLOOKUP($B533,Hitters!$A1:$R401,4,FALSE)</f>
        <v>264.33333333333297</v>
      </c>
      <c r="N533" s="30">
        <f>VLOOKUP($B533,Hitters!$A1:$R401,5,FALSE)</f>
        <v>32.133333333333297</v>
      </c>
      <c r="O533" s="30">
        <f>VLOOKUP($B533,Hitters!$A1:$R401,6,FALSE)</f>
        <v>9.6333333333333293</v>
      </c>
      <c r="P533" s="30">
        <f>VLOOKUP($B533,Hitters!$A1:$R401,7,FALSE)</f>
        <v>30.6</v>
      </c>
      <c r="Q533" s="30">
        <f>VLOOKUP($B533,Hitters!$A1:$R401,8,FALSE)</f>
        <v>0.2</v>
      </c>
      <c r="R533" s="32">
        <f>VLOOKUP($B533,Hitters!$A1:$R401,9,FALSE)</f>
        <v>0.21374527112232</v>
      </c>
      <c r="S533" s="32">
        <f>VLOOKUP($B533,Hitters!$A1:$R401,10,FALSE)</f>
        <v>0.28525180263291899</v>
      </c>
      <c r="T533" s="30">
        <f>VLOOKUP($B533,Hitters!$A1:$R401,11,FALSE)</f>
        <v>56.5</v>
      </c>
      <c r="U533" s="30">
        <f>VLOOKUP($B533,Hitters!$A1:$R401,12,FALSE)</f>
        <v>10.1666666666667</v>
      </c>
      <c r="V533" s="30">
        <f>VLOOKUP($B533,Hitters!$A1:$R401,13,FALSE)</f>
        <v>0.93333333333333302</v>
      </c>
      <c r="W533" s="30">
        <f>VLOOKUP($B533,Hitters!$A1:$R401,14,FALSE)</f>
        <v>27.5</v>
      </c>
      <c r="X533" s="30">
        <f>VLOOKUP($B533,Hitters!$A1:$R401,15,FALSE)</f>
        <v>86.9</v>
      </c>
      <c r="Y533" s="32">
        <f>VLOOKUP($B533,Hitters!$A1:$R401,16,FALSE)</f>
        <v>0.36860025220680998</v>
      </c>
      <c r="Z533" s="32">
        <f>VLOOKUP($B533,Hitters!$A1:$R401,17,FALSE)</f>
        <v>0.65385205483972897</v>
      </c>
      <c r="AA533" s="30">
        <f>VLOOKUP($B533,Hitters!$A1:$R401,18,FALSE)</f>
        <v>0</v>
      </c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</row>
    <row r="534" spans="1:44" ht="18.600000000000001" customHeight="1">
      <c r="A534" s="24">
        <f ca="1">RANK(I534,I$2:I$651)</f>
        <v>528</v>
      </c>
      <c r="B534" s="25" t="s">
        <v>625</v>
      </c>
      <c r="C534" s="26" t="s">
        <v>105</v>
      </c>
      <c r="D534" s="26" t="s">
        <v>70</v>
      </c>
      <c r="E534" s="45" t="s">
        <v>19</v>
      </c>
      <c r="F534" s="46">
        <f ca="1">VLOOKUP(B534,'C'!A1:I54,IF(Settings!$J$13="points",4,7),FALSE)</f>
        <v>35</v>
      </c>
      <c r="G534" s="29">
        <f>(M534*Settings!$B$2)+(N534*Settings!$B$3)+(O534*Settings!$B$4)+(P534*Settings!$B$5)+(Q534*Settings!$B$6)+(T534*Settings!$B$9)+(U534*Settings!$B$10)+(V534*Settings!$B$11)+(W534*Settings!$B$12)+(X534*Settings!$B$13)+(AA534*Settings!$B$16)</f>
        <v>165.34999999999988</v>
      </c>
      <c r="H534" s="30">
        <f>VLOOKUP(B534,'Standard Deviations'!$A1:$D651,4,FALSE)</f>
        <v>-4.2002815040409454</v>
      </c>
      <c r="I534" s="31">
        <f ca="1">VLOOKUP(B534,'C'!A1:I54,IF(Settings!$J$13="points",6,9),FALSE)</f>
        <v>-3.8831887673995449</v>
      </c>
      <c r="J534" s="30"/>
      <c r="K534" s="30">
        <f ca="1">J534-A534</f>
        <v>-528</v>
      </c>
      <c r="L534" s="30"/>
      <c r="M534" s="30">
        <f>VLOOKUP($B534,Hitters!$A1:$R401,4,FALSE)</f>
        <v>277.33333333333297</v>
      </c>
      <c r="N534" s="30">
        <f>VLOOKUP($B534,Hitters!$A1:$R401,5,FALSE)</f>
        <v>30.3333333333333</v>
      </c>
      <c r="O534" s="30">
        <f>VLOOKUP($B534,Hitters!$A1:$R401,6,FALSE)</f>
        <v>4.43333333333333</v>
      </c>
      <c r="P534" s="30">
        <f>VLOOKUP($B534,Hitters!$A1:$R401,7,FALSE)</f>
        <v>24.9</v>
      </c>
      <c r="Q534" s="30">
        <f>VLOOKUP($B534,Hitters!$A1:$R401,8,FALSE)</f>
        <v>1.7333333333333301</v>
      </c>
      <c r="R534" s="32">
        <f>VLOOKUP($B534,Hitters!$A1:$R401,9,FALSE)</f>
        <v>0.24747596153846199</v>
      </c>
      <c r="S534" s="32">
        <f>VLOOKUP($B534,Hitters!$A1:$R401,10,FALSE)</f>
        <v>0.28854348898757498</v>
      </c>
      <c r="T534" s="30">
        <f>VLOOKUP($B534,Hitters!$A1:$R401,11,FALSE)</f>
        <v>68.633333333333297</v>
      </c>
      <c r="U534" s="30">
        <f>VLOOKUP($B534,Hitters!$A1:$R401,12,FALSE)</f>
        <v>15.6666666666667</v>
      </c>
      <c r="V534" s="30">
        <f>VLOOKUP($B534,Hitters!$A1:$R401,13,FALSE)</f>
        <v>1.0333333333333301</v>
      </c>
      <c r="W534" s="30">
        <f>VLOOKUP($B534,Hitters!$A1:$R401,14,FALSE)</f>
        <v>17.133333333333301</v>
      </c>
      <c r="X534" s="30">
        <f>VLOOKUP($B534,Hitters!$A1:$R401,15,FALSE)</f>
        <v>62.566666666666698</v>
      </c>
      <c r="Y534" s="32">
        <f>VLOOKUP($B534,Hitters!$A1:$R401,16,FALSE)</f>
        <v>0.359375</v>
      </c>
      <c r="Z534" s="32">
        <f>VLOOKUP($B534,Hitters!$A1:$R401,17,FALSE)</f>
        <v>0.64791848898757498</v>
      </c>
      <c r="AA534" s="30">
        <f>VLOOKUP($B534,Hitters!$A1:$R401,18,FALSE)</f>
        <v>0</v>
      </c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</row>
    <row r="535" spans="1:44" ht="18.600000000000001" customHeight="1">
      <c r="A535" s="24">
        <f ca="1">RANK(I535,I$2:I$651)</f>
        <v>555</v>
      </c>
      <c r="B535" s="25" t="s">
        <v>652</v>
      </c>
      <c r="C535" s="26" t="s">
        <v>99</v>
      </c>
      <c r="D535" s="26" t="s">
        <v>75</v>
      </c>
      <c r="E535" s="45" t="s">
        <v>19</v>
      </c>
      <c r="F535" s="46">
        <f ca="1">VLOOKUP(B535,'C'!A1:I54,IF(Settings!$J$13="points",4,7),FALSE)</f>
        <v>41</v>
      </c>
      <c r="G535" s="29">
        <f>(M535*Settings!$B$2)+(N535*Settings!$B$3)+(O535*Settings!$B$4)+(P535*Settings!$B$5)+(Q535*Settings!$B$6)+(T535*Settings!$B$9)+(U535*Settings!$B$10)+(V535*Settings!$B$11)+(W535*Settings!$B$12)+(X535*Settings!$B$13)+(AA535*Settings!$B$16)</f>
        <v>165.14999999999992</v>
      </c>
      <c r="H535" s="30">
        <f>VLOOKUP(B535,'Standard Deviations'!$A1:$D651,4,FALSE)</f>
        <v>-4.6944853670317261</v>
      </c>
      <c r="I535" s="31">
        <f ca="1">VLOOKUP(B535,'C'!A1:I54,IF(Settings!$J$13="points",6,9),FALSE)</f>
        <v>-4.3773868629672776</v>
      </c>
      <c r="J535" s="30"/>
      <c r="K535" s="30">
        <f ca="1">J535-A535</f>
        <v>-555</v>
      </c>
      <c r="L535" s="30"/>
      <c r="M535" s="30">
        <f>VLOOKUP($B535,Hitters!$A1:$R401,4,FALSE)</f>
        <v>251.333333333333</v>
      </c>
      <c r="N535" s="30">
        <f>VLOOKUP($B535,Hitters!$A1:$R401,5,FALSE)</f>
        <v>28.1666666666667</v>
      </c>
      <c r="O535" s="30">
        <f>VLOOKUP($B535,Hitters!$A1:$R401,6,FALSE)</f>
        <v>7.2666666666666702</v>
      </c>
      <c r="P535" s="30">
        <f>VLOOKUP($B535,Hitters!$A1:$R401,7,FALSE)</f>
        <v>31.633333333333301</v>
      </c>
      <c r="Q535" s="30">
        <f>VLOOKUP($B535,Hitters!$A1:$R401,8,FALSE)</f>
        <v>1</v>
      </c>
      <c r="R535" s="32">
        <f>VLOOKUP($B535,Hitters!$A1:$R401,9,FALSE)</f>
        <v>0.22798408488063701</v>
      </c>
      <c r="S535" s="32">
        <f>VLOOKUP($B535,Hitters!$A1:$R401,10,FALSE)</f>
        <v>0.29991451367781202</v>
      </c>
      <c r="T535" s="30">
        <f>VLOOKUP($B535,Hitters!$A1:$R401,11,FALSE)</f>
        <v>57.3</v>
      </c>
      <c r="U535" s="30">
        <f>VLOOKUP($B535,Hitters!$A1:$R401,12,FALSE)</f>
        <v>10.9333333333333</v>
      </c>
      <c r="V535" s="30">
        <f>VLOOKUP($B535,Hitters!$A1:$R401,13,FALSE)</f>
        <v>0.133333333333333</v>
      </c>
      <c r="W535" s="30">
        <f>VLOOKUP($B535,Hitters!$A1:$R401,14,FALSE)</f>
        <v>26.9</v>
      </c>
      <c r="X535" s="30">
        <f>VLOOKUP($B535,Hitters!$A1:$R401,15,FALSE)</f>
        <v>64.366666666666703</v>
      </c>
      <c r="Y535" s="32">
        <f>VLOOKUP($B535,Hitters!$A1:$R401,16,FALSE)</f>
        <v>0.35928381962864703</v>
      </c>
      <c r="Z535" s="32">
        <f>VLOOKUP($B535,Hitters!$A1:$R401,17,FALSE)</f>
        <v>0.65919833330645905</v>
      </c>
      <c r="AA535" s="30">
        <f>VLOOKUP($B535,Hitters!$A1:$R401,18,FALSE)</f>
        <v>0</v>
      </c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</row>
    <row r="536" spans="1:44" ht="18.600000000000001" customHeight="1">
      <c r="A536" s="24">
        <f ca="1">RANK(I536,I$2:I$651)</f>
        <v>430</v>
      </c>
      <c r="B536" s="25" t="s">
        <v>526</v>
      </c>
      <c r="C536" s="26" t="s">
        <v>105</v>
      </c>
      <c r="D536" s="26" t="s">
        <v>70</v>
      </c>
      <c r="E536" s="41" t="s">
        <v>34</v>
      </c>
      <c r="F536" s="42">
        <f ca="1">VLOOKUP(B536,RP!A1:I91,IF(Settings!$J$13="points",4,7),FALSE)</f>
        <v>51</v>
      </c>
      <c r="G536" s="29">
        <f>(AC536*Settings!$F$2)+(AF536*Settings!$F$5)+(AG536*Settings!$F$6)+(AH536*Settings!$F$7)+(AI536*Settings!$F$8)+(AJ536*Settings!$F$9)+(AK536*Settings!$F$10)+(AL536*Settings!$F$11)+(AM536*Settings!$F$12)+(AN536*Settings!$F$13)+(AO536*Settings!$F$14)+(AP536*Settings!$F$15)+(AQ536*Settings!$F$16)+(AR536*Settings!$F$17)</f>
        <v>165.08333333333334</v>
      </c>
      <c r="H536" s="30">
        <f>VLOOKUP(B536,'Standard Deviations'!$A1:$D651,4,FALSE)</f>
        <v>-1.202838321991869</v>
      </c>
      <c r="I536" s="31">
        <f ca="1">IF(Settings!$J$16="no",VLOOKUP(B536,RP!A1:I91,IF(Settings!$J$13="points",6,9),FALSE),VLOOKUP(B536,'SP+RP'!$A1:$I251,IF(Settings!$J$13="points",6,9),FALSE))</f>
        <v>-2.773909208981868</v>
      </c>
      <c r="J536" s="30"/>
      <c r="K536" s="30">
        <f ca="1">J536-A536</f>
        <v>-430</v>
      </c>
      <c r="L536" s="30"/>
      <c r="M536" s="30"/>
      <c r="N536" s="30"/>
      <c r="O536" s="30"/>
      <c r="P536" s="30"/>
      <c r="Q536" s="30"/>
      <c r="R536" s="32"/>
      <c r="S536" s="32"/>
      <c r="T536" s="30"/>
      <c r="U536" s="30"/>
      <c r="V536" s="30"/>
      <c r="W536" s="30"/>
      <c r="X536" s="30"/>
      <c r="Y536" s="32"/>
      <c r="Z536" s="32"/>
      <c r="AA536" s="30"/>
      <c r="AB536" s="30"/>
      <c r="AC536" s="30">
        <f>VLOOKUP($B536,Pitchers!$A1:$S251,4,FALSE)</f>
        <v>68.266666666666666</v>
      </c>
      <c r="AD536" s="32">
        <f>VLOOKUP($B536,Pitchers!$A1:$S251,5,FALSE)</f>
        <v>3.4453125000000004</v>
      </c>
      <c r="AE536" s="32">
        <f>VLOOKUP($B536,Pitchers!$A1:$S251,6,FALSE)</f>
        <v>1.2080078125</v>
      </c>
      <c r="AF536" s="30">
        <f>VLOOKUP($B536,Pitchers!$A1:$S251,7,FALSE)</f>
        <v>72.233333333333334</v>
      </c>
      <c r="AG536" s="30">
        <f>VLOOKUP($B536,Pitchers!$A1:$S251,8,FALSE)</f>
        <v>4.1333333333333337</v>
      </c>
      <c r="AH536" s="30">
        <f>VLOOKUP($B536,Pitchers!$A1:$S251,9,FALSE)</f>
        <v>2.3333333333333335</v>
      </c>
      <c r="AI536" s="30">
        <f>VLOOKUP($B536,Pitchers!$A1:$S251,10,FALSE)</f>
        <v>26.133333333333336</v>
      </c>
      <c r="AJ536" s="30">
        <f>VLOOKUP($B536,Pitchers!$A1:$S251,11,FALSE)</f>
        <v>58.433333333333337</v>
      </c>
      <c r="AK536" s="30">
        <f>VLOOKUP($B536,Pitchers!$A1:$S251,12,FALSE)</f>
        <v>24.033333333333331</v>
      </c>
      <c r="AL536" s="30">
        <f>VLOOKUP($B536,Pitchers!$A1:$S251,13,FALSE)</f>
        <v>8</v>
      </c>
      <c r="AM536" s="30">
        <f>VLOOKUP($B536,Pitchers!$A1:$S251,14,FALSE)</f>
        <v>38.133333333333333</v>
      </c>
      <c r="AN536" s="30">
        <f>VLOOKUP($B536,Pitchers!$A1:$S251,15,FALSE)</f>
        <v>6.3</v>
      </c>
      <c r="AO536" s="30">
        <f>VLOOKUP($B536,Pitchers!$A1:$S251,16,FALSE)</f>
        <v>3.6999999999999997</v>
      </c>
      <c r="AP536" s="30">
        <f>VLOOKUP($B536,Pitchers!$A1:$S251,17,FALSE)</f>
        <v>2</v>
      </c>
      <c r="AQ536" s="30">
        <f>VLOOKUP($B536,Pitchers!$A1:$S251,18,FALSE)</f>
        <v>5.5</v>
      </c>
      <c r="AR536" s="30">
        <f>VLOOKUP($B536,Pitchers!$A1:$S251,19,FALSE)</f>
        <v>2</v>
      </c>
    </row>
    <row r="537" spans="1:44" ht="18.600000000000001" customHeight="1">
      <c r="A537" s="24">
        <f ca="1">RANK(I537,I$2:I$651)</f>
        <v>436</v>
      </c>
      <c r="B537" s="25" t="s">
        <v>533</v>
      </c>
      <c r="C537" s="26" t="s">
        <v>97</v>
      </c>
      <c r="D537" s="26" t="s">
        <v>75</v>
      </c>
      <c r="E537" s="41" t="s">
        <v>34</v>
      </c>
      <c r="F537" s="42">
        <f ca="1">VLOOKUP(B537,RP!A1:I91,IF(Settings!$J$13="points",4,7),FALSE)</f>
        <v>54</v>
      </c>
      <c r="G537" s="29">
        <f>(AC537*Settings!$F$2)+(AF537*Settings!$F$5)+(AG537*Settings!$F$6)+(AH537*Settings!$F$7)+(AI537*Settings!$F$8)+(AJ537*Settings!$F$9)+(AK537*Settings!$F$10)+(AL537*Settings!$F$11)+(AM537*Settings!$F$12)+(AN537*Settings!$F$13)+(AO537*Settings!$F$14)+(AP537*Settings!$F$15)+(AQ537*Settings!$F$16)+(AR537*Settings!$F$17)</f>
        <v>164.11666666666662</v>
      </c>
      <c r="H537" s="30">
        <f>VLOOKUP(B537,'Standard Deviations'!$A1:$D651,4,FALSE)</f>
        <v>-1.2811518930188166</v>
      </c>
      <c r="I537" s="31">
        <f ca="1">IF(Settings!$J$16="no",VLOOKUP(B537,RP!A1:I91,IF(Settings!$J$13="points",6,9),FALSE),VLOOKUP(B537,'SP+RP'!$A1:$I251,IF(Settings!$J$13="points",6,9),FALSE))</f>
        <v>-2.8522136489068215</v>
      </c>
      <c r="J537" s="30"/>
      <c r="K537" s="30">
        <f ca="1">J537-A537</f>
        <v>-436</v>
      </c>
      <c r="L537" s="30"/>
      <c r="M537" s="30"/>
      <c r="N537" s="30"/>
      <c r="O537" s="30"/>
      <c r="P537" s="30"/>
      <c r="Q537" s="30"/>
      <c r="R537" s="32"/>
      <c r="S537" s="32"/>
      <c r="T537" s="30"/>
      <c r="U537" s="30"/>
      <c r="V537" s="30"/>
      <c r="W537" s="30"/>
      <c r="X537" s="30"/>
      <c r="Y537" s="32"/>
      <c r="Z537" s="32"/>
      <c r="AA537" s="30"/>
      <c r="AB537" s="30"/>
      <c r="AC537" s="30">
        <f>VLOOKUP($B537,Pitchers!$A1:$S251,4,FALSE)</f>
        <v>57.266666666666673</v>
      </c>
      <c r="AD537" s="32">
        <f>VLOOKUP($B537,Pitchers!$A1:$S251,5,FALSE)</f>
        <v>3.3370197904540162</v>
      </c>
      <c r="AE537" s="32">
        <f>VLOOKUP($B537,Pitchers!$A1:$S251,6,FALSE)</f>
        <v>1.2514551804423748</v>
      </c>
      <c r="AF537" s="30">
        <f>VLOOKUP($B537,Pitchers!$A1:$S251,7,FALSE)</f>
        <v>69.63333333333334</v>
      </c>
      <c r="AG537" s="30">
        <f>VLOOKUP($B537,Pitchers!$A1:$S251,8,FALSE)</f>
        <v>3.1999999999999997</v>
      </c>
      <c r="AH537" s="30">
        <f>VLOOKUP($B537,Pitchers!$A1:$S251,9,FALSE)</f>
        <v>6</v>
      </c>
      <c r="AI537" s="30">
        <f>VLOOKUP($B537,Pitchers!$A1:$S251,10,FALSE)</f>
        <v>21.233333333333334</v>
      </c>
      <c r="AJ537" s="30">
        <f>VLOOKUP($B537,Pitchers!$A1:$S251,11,FALSE)</f>
        <v>44.300000000000004</v>
      </c>
      <c r="AK537" s="30">
        <f>VLOOKUP($B537,Pitchers!$A1:$S251,12,FALSE)</f>
        <v>27.366666666666664</v>
      </c>
      <c r="AL537" s="30">
        <f>VLOOKUP($B537,Pitchers!$A1:$S251,13,FALSE)</f>
        <v>7</v>
      </c>
      <c r="AM537" s="30">
        <f>VLOOKUP($B537,Pitchers!$A1:$S251,14,FALSE)</f>
        <v>54.266666666666673</v>
      </c>
      <c r="AN537" s="30">
        <f>VLOOKUP($B537,Pitchers!$A1:$S251,15,FALSE)</f>
        <v>0</v>
      </c>
      <c r="AO537" s="30">
        <f>VLOOKUP($B537,Pitchers!$A1:$S251,16,FALSE)</f>
        <v>2.8000000000000003</v>
      </c>
      <c r="AP537" s="30">
        <f>VLOOKUP($B537,Pitchers!$A1:$S251,17,FALSE)</f>
        <v>0</v>
      </c>
      <c r="AQ537" s="30">
        <f>VLOOKUP($B537,Pitchers!$A1:$S251,18,FALSE)</f>
        <v>11</v>
      </c>
      <c r="AR537" s="30">
        <f>VLOOKUP($B537,Pitchers!$A1:$S251,19,FALSE)</f>
        <v>1</v>
      </c>
    </row>
    <row r="538" spans="1:44" ht="20.100000000000001" customHeight="1">
      <c r="A538" s="24">
        <f ca="1">RANK(I538,I$2:I$651)</f>
        <v>482</v>
      </c>
      <c r="B538" s="25" t="s">
        <v>579</v>
      </c>
      <c r="C538" s="26" t="s">
        <v>103</v>
      </c>
      <c r="D538" s="26" t="s">
        <v>70</v>
      </c>
      <c r="E538" s="41" t="s">
        <v>34</v>
      </c>
      <c r="F538" s="42">
        <f ca="1">VLOOKUP(B538,RP!A1:I91,IF(Settings!$J$13="points",4,7),FALSE)</f>
        <v>69</v>
      </c>
      <c r="G538" s="29">
        <f>(AC538*Settings!$F$2)+(AF538*Settings!$F$5)+(AG538*Settings!$F$6)+(AH538*Settings!$F$7)+(AI538*Settings!$F$8)+(AJ538*Settings!$F$9)+(AK538*Settings!$F$10)+(AL538*Settings!$F$11)+(AM538*Settings!$F$12)+(AN538*Settings!$F$13)+(AO538*Settings!$F$14)+(AP538*Settings!$F$15)+(AQ538*Settings!$F$16)+(AR538*Settings!$F$17)</f>
        <v>163.63333333333335</v>
      </c>
      <c r="H538" s="30">
        <f>VLOOKUP(B538,'Standard Deviations'!$A1:$D651,4,FALSE)</f>
        <v>-1.8631815237455789</v>
      </c>
      <c r="I538" s="31">
        <f ca="1">IF(Settings!$J$16="no",VLOOKUP(B538,RP!A1:I91,IF(Settings!$J$13="points",6,9),FALSE),VLOOKUP(B538,'SP+RP'!$A1:$I251,IF(Settings!$J$13="points",6,9),FALSE))</f>
        <v>-3.4342507484297258</v>
      </c>
      <c r="J538" s="30"/>
      <c r="K538" s="30">
        <f ca="1">J538-A538</f>
        <v>-482</v>
      </c>
      <c r="L538" s="30"/>
      <c r="M538" s="30"/>
      <c r="N538" s="30"/>
      <c r="O538" s="30"/>
      <c r="P538" s="30"/>
      <c r="Q538" s="30"/>
      <c r="R538" s="32"/>
      <c r="S538" s="32"/>
      <c r="T538" s="30"/>
      <c r="U538" s="30"/>
      <c r="V538" s="30"/>
      <c r="W538" s="30"/>
      <c r="X538" s="30"/>
      <c r="Y538" s="32"/>
      <c r="Z538" s="32"/>
      <c r="AA538" s="30"/>
      <c r="AB538" s="30"/>
      <c r="AC538" s="30">
        <f>VLOOKUP($B538,Pitchers!$A1:$S251,4,FALSE)</f>
        <v>61.1</v>
      </c>
      <c r="AD538" s="32">
        <f>VLOOKUP($B538,Pitchers!$A1:$S251,5,FALSE)</f>
        <v>4.1342062193126017</v>
      </c>
      <c r="AE538" s="32">
        <f>VLOOKUP($B538,Pitchers!$A1:$S251,6,FALSE)</f>
        <v>1.1669394435351881</v>
      </c>
      <c r="AF538" s="30">
        <f>VLOOKUP($B538,Pitchers!$A1:$S251,7,FALSE)</f>
        <v>71.2</v>
      </c>
      <c r="AG538" s="30">
        <f>VLOOKUP($B538,Pitchers!$A1:$S251,8,FALSE)</f>
        <v>3.9666666666666668</v>
      </c>
      <c r="AH538" s="30">
        <f>VLOOKUP($B538,Pitchers!$A1:$S251,9,FALSE)</f>
        <v>4.666666666666667</v>
      </c>
      <c r="AI538" s="30">
        <f>VLOOKUP($B538,Pitchers!$A1:$S251,10,FALSE)</f>
        <v>28.066666666666666</v>
      </c>
      <c r="AJ538" s="30">
        <f>VLOOKUP($B538,Pitchers!$A1:$S251,11,FALSE)</f>
        <v>47.933333333333337</v>
      </c>
      <c r="AK538" s="30">
        <f>VLOOKUP($B538,Pitchers!$A1:$S251,12,FALSE)</f>
        <v>23.366666666666664</v>
      </c>
      <c r="AL538" s="30">
        <f>VLOOKUP($B538,Pitchers!$A1:$S251,13,FALSE)</f>
        <v>8</v>
      </c>
      <c r="AM538" s="30">
        <f>VLOOKUP($B538,Pitchers!$A1:$S251,14,FALSE)</f>
        <v>65.933333333333337</v>
      </c>
      <c r="AN538" s="30">
        <f>VLOOKUP($B538,Pitchers!$A1:$S251,15,FALSE)</f>
        <v>0</v>
      </c>
      <c r="AO538" s="30">
        <f>VLOOKUP($B538,Pitchers!$A1:$S251,16,FALSE)</f>
        <v>3.2666666666666671</v>
      </c>
      <c r="AP538" s="30">
        <f>VLOOKUP($B538,Pitchers!$A1:$S251,17,FALSE)</f>
        <v>0</v>
      </c>
      <c r="AQ538" s="30">
        <f>VLOOKUP($B538,Pitchers!$A1:$S251,18,FALSE)</f>
        <v>21.5</v>
      </c>
      <c r="AR538" s="30">
        <f>VLOOKUP($B538,Pitchers!$A1:$S251,19,FALSE)</f>
        <v>2</v>
      </c>
    </row>
    <row r="539" spans="1:44" ht="18.600000000000001" customHeight="1">
      <c r="A539" s="24">
        <f ca="1">RANK(I539,I$2:I$651)</f>
        <v>449</v>
      </c>
      <c r="B539" s="25" t="s">
        <v>546</v>
      </c>
      <c r="C539" s="26" t="s">
        <v>97</v>
      </c>
      <c r="D539" s="26" t="s">
        <v>75</v>
      </c>
      <c r="E539" s="35" t="s">
        <v>31</v>
      </c>
      <c r="F539" s="36">
        <f ca="1">VLOOKUP(B539,SP!A1:I161,IF(Settings!$J$13="points",4,7),FALSE)</f>
        <v>131</v>
      </c>
      <c r="G539" s="29">
        <f>(AC539*Settings!$F$2)+(AF539*Settings!$F$5)+(AG539*Settings!$F$6)+(AH539*Settings!$F$7)+(AI539*Settings!$F$8)+(AJ539*Settings!$F$9)+(AK539*Settings!$F$10)+(AL539*Settings!$F$11)+(AM539*Settings!$F$12)+(AN539*Settings!$F$13)+(AO539*Settings!$F$14)+(AP539*Settings!$F$15)+(AQ539*Settings!$F$16)+(AR539*Settings!$F$17)</f>
        <v>163.58333333333331</v>
      </c>
      <c r="H539" s="30">
        <f>VLOOKUP(B539,'Standard Deviations'!$A1:$D651,4,FALSE)</f>
        <v>-2.8233116876482964</v>
      </c>
      <c r="I539" s="31">
        <f ca="1">IF(Settings!$J$16="no",VLOOKUP(B539,SP!A1:I161,IF(Settings!$J$13="points",6,9),FALSE),VLOOKUP(B539,'SP+RP'!$A1:$I251,IF(Settings!$J$13="points",6,9),FALSE))</f>
        <v>-2.959299094951326</v>
      </c>
      <c r="J539" s="30"/>
      <c r="K539" s="30">
        <f ca="1">J539-A539</f>
        <v>-449</v>
      </c>
      <c r="L539" s="30"/>
      <c r="M539" s="30"/>
      <c r="N539" s="30"/>
      <c r="O539" s="30"/>
      <c r="P539" s="30"/>
      <c r="Q539" s="30"/>
      <c r="R539" s="32"/>
      <c r="S539" s="32"/>
      <c r="T539" s="30"/>
      <c r="U539" s="30"/>
      <c r="V539" s="30"/>
      <c r="W539" s="30"/>
      <c r="X539" s="30"/>
      <c r="Y539" s="32"/>
      <c r="Z539" s="32"/>
      <c r="AA539" s="30"/>
      <c r="AB539" s="30"/>
      <c r="AC539" s="30">
        <f>VLOOKUP($B539,Pitchers!$A1:$S251,4,FALSE)</f>
        <v>77.966666666666669</v>
      </c>
      <c r="AD539" s="32">
        <f>VLOOKUP($B539,Pitchers!$A1:$S251,5,FALSE)</f>
        <v>4.1787088499358696</v>
      </c>
      <c r="AE539" s="32">
        <f>VLOOKUP($B539,Pitchers!$A1:$S251,6,FALSE)</f>
        <v>1.2325780247969218</v>
      </c>
      <c r="AF539" s="30">
        <f>VLOOKUP($B539,Pitchers!$A1:$S251,7,FALSE)</f>
        <v>85.3</v>
      </c>
      <c r="AG539" s="30">
        <f>VLOOKUP($B539,Pitchers!$A1:$S251,8,FALSE)</f>
        <v>4.333333333333333</v>
      </c>
      <c r="AH539" s="30">
        <f>VLOOKUP($B539,Pitchers!$A1:$S251,9,FALSE)</f>
        <v>0</v>
      </c>
      <c r="AI539" s="30">
        <f>VLOOKUP($B539,Pitchers!$A1:$S251,10,FALSE)</f>
        <v>36.199999999999996</v>
      </c>
      <c r="AJ539" s="30">
        <f>VLOOKUP($B539,Pitchers!$A1:$S251,11,FALSE)</f>
        <v>73.100000000000009</v>
      </c>
      <c r="AK539" s="30">
        <f>VLOOKUP($B539,Pitchers!$A1:$S251,12,FALSE)</f>
        <v>23</v>
      </c>
      <c r="AL539" s="30">
        <f>VLOOKUP($B539,Pitchers!$A1:$S251,13,FALSE)</f>
        <v>8</v>
      </c>
      <c r="AM539" s="30">
        <f>VLOOKUP($B539,Pitchers!$A1:$S251,14,FALSE)</f>
        <v>29.133333333333336</v>
      </c>
      <c r="AN539" s="30">
        <f>VLOOKUP($B539,Pitchers!$A1:$S251,15,FALSE)</f>
        <v>13.1</v>
      </c>
      <c r="AO539" s="30">
        <f>VLOOKUP($B539,Pitchers!$A1:$S251,16,FALSE)</f>
        <v>4.6000000000000005</v>
      </c>
      <c r="AP539" s="30">
        <f>VLOOKUP($B539,Pitchers!$A1:$S251,17,FALSE)</f>
        <v>4</v>
      </c>
      <c r="AQ539" s="30">
        <f>VLOOKUP($B539,Pitchers!$A1:$S251,18,FALSE)</f>
        <v>1</v>
      </c>
      <c r="AR539" s="30">
        <f>VLOOKUP($B539,Pitchers!$A1:$S251,19,FALSE)</f>
        <v>0</v>
      </c>
    </row>
    <row r="540" spans="1:44" ht="18.600000000000001" customHeight="1">
      <c r="A540" s="24">
        <f ca="1">RANK(I540,I$2:I$651)</f>
        <v>483</v>
      </c>
      <c r="B540" s="25" t="s">
        <v>580</v>
      </c>
      <c r="C540" s="26" t="s">
        <v>77</v>
      </c>
      <c r="D540" s="26" t="s">
        <v>70</v>
      </c>
      <c r="E540" s="41" t="s">
        <v>34</v>
      </c>
      <c r="F540" s="42">
        <f ca="1">VLOOKUP(B540,RP!A1:I91,IF(Settings!$J$13="points",4,7),FALSE)</f>
        <v>70</v>
      </c>
      <c r="G540" s="29">
        <f>(AC540*Settings!$F$2)+(AF540*Settings!$F$5)+(AG540*Settings!$F$6)+(AH540*Settings!$F$7)+(AI540*Settings!$F$8)+(AJ540*Settings!$F$9)+(AK540*Settings!$F$10)+(AL540*Settings!$F$11)+(AM540*Settings!$F$12)+(AN540*Settings!$F$13)+(AO540*Settings!$F$14)+(AP540*Settings!$F$15)+(AQ540*Settings!$F$16)+(AR540*Settings!$F$17)</f>
        <v>163.50000000000003</v>
      </c>
      <c r="H540" s="30">
        <f>VLOOKUP(B540,'Standard Deviations'!$A1:$D651,4,FALSE)</f>
        <v>-1.8685212432148597</v>
      </c>
      <c r="I540" s="31">
        <f ca="1">IF(Settings!$J$16="no",VLOOKUP(B540,RP!A1:I91,IF(Settings!$J$13="points",6,9),FALSE),VLOOKUP(B540,'SP+RP'!$A1:$I251,IF(Settings!$J$13="points",6,9),FALSE))</f>
        <v>-3.4395916534312612</v>
      </c>
      <c r="J540" s="30"/>
      <c r="K540" s="30">
        <f ca="1">J540-A540</f>
        <v>-483</v>
      </c>
      <c r="L540" s="30"/>
      <c r="M540" s="30"/>
      <c r="N540" s="30"/>
      <c r="O540" s="30"/>
      <c r="P540" s="30"/>
      <c r="Q540" s="30"/>
      <c r="R540" s="32"/>
      <c r="S540" s="32"/>
      <c r="T540" s="30"/>
      <c r="U540" s="30"/>
      <c r="V540" s="30"/>
      <c r="W540" s="30"/>
      <c r="X540" s="30"/>
      <c r="Y540" s="32"/>
      <c r="Z540" s="32"/>
      <c r="AA540" s="30"/>
      <c r="AB540" s="30"/>
      <c r="AC540" s="30">
        <f>VLOOKUP($B540,Pitchers!$A1:$S251,4,FALSE)</f>
        <v>69.899999999999991</v>
      </c>
      <c r="AD540" s="32">
        <f>VLOOKUP($B540,Pitchers!$A1:$S251,5,FALSE)</f>
        <v>3.5836909871244638</v>
      </c>
      <c r="AE540" s="32">
        <f>VLOOKUP($B540,Pitchers!$A1:$S251,6,FALSE)</f>
        <v>1.2618025751072961</v>
      </c>
      <c r="AF540" s="30">
        <f>VLOOKUP($B540,Pitchers!$A1:$S251,7,FALSE)</f>
        <v>83.466666666666669</v>
      </c>
      <c r="AG540" s="30">
        <f>VLOOKUP($B540,Pitchers!$A1:$S251,8,FALSE)</f>
        <v>3.8000000000000003</v>
      </c>
      <c r="AH540" s="30">
        <f>VLOOKUP($B540,Pitchers!$A1:$S251,9,FALSE)</f>
        <v>2.3333333333333335</v>
      </c>
      <c r="AI540" s="30">
        <f>VLOOKUP($B540,Pitchers!$A1:$S251,10,FALSE)</f>
        <v>27.833333333333332</v>
      </c>
      <c r="AJ540" s="30">
        <f>VLOOKUP($B540,Pitchers!$A1:$S251,11,FALSE)</f>
        <v>62.199999999999996</v>
      </c>
      <c r="AK540" s="30">
        <f>VLOOKUP($B540,Pitchers!$A1:$S251,12,FALSE)</f>
        <v>26</v>
      </c>
      <c r="AL540" s="30">
        <f>VLOOKUP($B540,Pitchers!$A1:$S251,13,FALSE)</f>
        <v>7</v>
      </c>
      <c r="AM540" s="30">
        <f>VLOOKUP($B540,Pitchers!$A1:$S251,14,FALSE)</f>
        <v>63.266666666666673</v>
      </c>
      <c r="AN540" s="30">
        <f>VLOOKUP($B540,Pitchers!$A1:$S251,15,FALSE)</f>
        <v>0.33333333333333331</v>
      </c>
      <c r="AO540" s="30">
        <f>VLOOKUP($B540,Pitchers!$A1:$S251,16,FALSE)</f>
        <v>2.9666666666666668</v>
      </c>
      <c r="AP540" s="30">
        <f>VLOOKUP($B540,Pitchers!$A1:$S251,17,FALSE)</f>
        <v>0</v>
      </c>
      <c r="AQ540" s="30">
        <f>VLOOKUP($B540,Pitchers!$A1:$S251,18,FALSE)</f>
        <v>15.5</v>
      </c>
      <c r="AR540" s="30">
        <f>VLOOKUP($B540,Pitchers!$A1:$S251,19,FALSE)</f>
        <v>0</v>
      </c>
    </row>
    <row r="541" spans="1:44" ht="20.100000000000001" customHeight="1">
      <c r="A541" s="24">
        <f ca="1">RANK(I541,I$2:I$651)</f>
        <v>525</v>
      </c>
      <c r="B541" s="25" t="s">
        <v>623</v>
      </c>
      <c r="C541" s="26" t="s">
        <v>87</v>
      </c>
      <c r="D541" s="26" t="s">
        <v>70</v>
      </c>
      <c r="E541" s="35" t="s">
        <v>31</v>
      </c>
      <c r="F541" s="36">
        <f ca="1">VLOOKUP(B541,SP!A1:I161,IF(Settings!$J$13="points",4,7),FALSE)</f>
        <v>147</v>
      </c>
      <c r="G541" s="29">
        <f>(AC541*Settings!$F$2)+(AF541*Settings!$F$5)+(AG541*Settings!$F$6)+(AH541*Settings!$F$7)+(AI541*Settings!$F$8)+(AJ541*Settings!$F$9)+(AK541*Settings!$F$10)+(AL541*Settings!$F$11)+(AM541*Settings!$F$12)+(AN541*Settings!$F$13)+(AO541*Settings!$F$14)+(AP541*Settings!$F$15)+(AQ541*Settings!$F$16)+(AR541*Settings!$F$17)</f>
        <v>163.25933333333339</v>
      </c>
      <c r="H541" s="30">
        <f>VLOOKUP(B541,'Standard Deviations'!$A1:$D651,4,FALSE)</f>
        <v>-3.7235041249341423</v>
      </c>
      <c r="I541" s="31">
        <f ca="1">IF(Settings!$J$16="no",VLOOKUP(B541,SP!A1:I161,IF(Settings!$J$13="points",6,9),FALSE),VLOOKUP(B541,'SP+RP'!$A1:$I251,IF(Settings!$J$13="points",6,9),FALSE))</f>
        <v>-3.8594902159489211</v>
      </c>
      <c r="J541" s="30"/>
      <c r="K541" s="30">
        <f ca="1">J541-A541</f>
        <v>-525</v>
      </c>
      <c r="L541" s="30"/>
      <c r="M541" s="30"/>
      <c r="N541" s="30"/>
      <c r="O541" s="30"/>
      <c r="P541" s="30"/>
      <c r="Q541" s="30"/>
      <c r="R541" s="32"/>
      <c r="S541" s="32"/>
      <c r="T541" s="30"/>
      <c r="U541" s="30"/>
      <c r="V541" s="30"/>
      <c r="W541" s="30"/>
      <c r="X541" s="30"/>
      <c r="Y541" s="32"/>
      <c r="Z541" s="32"/>
      <c r="AA541" s="30"/>
      <c r="AB541" s="30"/>
      <c r="AC541" s="30">
        <f>VLOOKUP($B541,Pitchers!$A1:$S251,4,FALSE)</f>
        <v>90.266666666666666</v>
      </c>
      <c r="AD541" s="32">
        <f>VLOOKUP($B541,Pitchers!$A1:$S251,5,FALSE)</f>
        <v>4.3179394387001473</v>
      </c>
      <c r="AE541" s="32">
        <f>VLOOKUP($B541,Pitchers!$A1:$S251,6,FALSE)</f>
        <v>1.2847119645494831</v>
      </c>
      <c r="AF541" s="30">
        <f>VLOOKUP($B541,Pitchers!$A1:$S251,7,FALSE)</f>
        <v>78.600000000000009</v>
      </c>
      <c r="AG541" s="30">
        <f>VLOOKUP($B541,Pitchers!$A1:$S251,8,FALSE)</f>
        <v>4.4666666666666668</v>
      </c>
      <c r="AH541" s="30">
        <f>VLOOKUP($B541,Pitchers!$A1:$S251,9,FALSE)</f>
        <v>0</v>
      </c>
      <c r="AI541" s="30">
        <f>VLOOKUP($B541,Pitchers!$A1:$S251,10,FALSE)</f>
        <v>43.307333333333332</v>
      </c>
      <c r="AJ541" s="30">
        <f>VLOOKUP($B541,Pitchers!$A1:$S251,11,FALSE)</f>
        <v>88.833333333333329</v>
      </c>
      <c r="AK541" s="30">
        <f>VLOOKUP($B541,Pitchers!$A1:$S251,12,FALSE)</f>
        <v>27.133333333333336</v>
      </c>
      <c r="AL541" s="30">
        <f>VLOOKUP($B541,Pitchers!$A1:$S251,13,FALSE)</f>
        <v>12</v>
      </c>
      <c r="AM541" s="30">
        <f>VLOOKUP($B541,Pitchers!$A1:$S251,14,FALSE)</f>
        <v>44.366666666666667</v>
      </c>
      <c r="AN541" s="30">
        <f>VLOOKUP($B541,Pitchers!$A1:$S251,15,FALSE)</f>
        <v>10.066666666666666</v>
      </c>
      <c r="AO541" s="30">
        <f>VLOOKUP($B541,Pitchers!$A1:$S251,16,FALSE)</f>
        <v>4.9666666666666668</v>
      </c>
      <c r="AP541" s="30">
        <f>VLOOKUP($B541,Pitchers!$A1:$S251,17,FALSE)</f>
        <v>2</v>
      </c>
      <c r="AQ541" s="30">
        <f>VLOOKUP($B541,Pitchers!$A1:$S251,18,FALSE)</f>
        <v>3</v>
      </c>
      <c r="AR541" s="30">
        <f>VLOOKUP($B541,Pitchers!$A1:$S251,19,FALSE)</f>
        <v>0</v>
      </c>
    </row>
    <row r="542" spans="1:44" ht="18.600000000000001" customHeight="1">
      <c r="A542" s="24">
        <f ca="1">RANK(I542,I$2:I$651)</f>
        <v>269</v>
      </c>
      <c r="B542" s="25" t="s">
        <v>367</v>
      </c>
      <c r="C542" s="26" t="s">
        <v>74</v>
      </c>
      <c r="D542" s="26" t="s">
        <v>75</v>
      </c>
      <c r="E542" s="41" t="s">
        <v>34</v>
      </c>
      <c r="F542" s="42">
        <f ca="1">VLOOKUP(B542,RP!A1:I91,IF(Settings!$J$13="points",4,7),FALSE)</f>
        <v>24</v>
      </c>
      <c r="G542" s="29">
        <f>(AC542*Settings!$F$2)+(AF542*Settings!$F$5)+(AG542*Settings!$F$6)+(AH542*Settings!$F$7)+(AI542*Settings!$F$8)+(AJ542*Settings!$F$9)+(AK542*Settings!$F$10)+(AL542*Settings!$F$11)+(AM542*Settings!$F$12)+(AN542*Settings!$F$13)+(AO542*Settings!$F$14)+(AP542*Settings!$F$15)+(AQ542*Settings!$F$16)+(AR542*Settings!$F$17)</f>
        <v>163.08333333333329</v>
      </c>
      <c r="H542" s="30">
        <f>VLOOKUP(B542,'Standard Deviations'!$A1:$D651,4,FALSE)</f>
        <v>1.0164721357708271</v>
      </c>
      <c r="I542" s="31">
        <f ca="1">IF(Settings!$J$16="no",VLOOKUP(B542,RP!A1:I91,IF(Settings!$J$13="points",6,9),FALSE),VLOOKUP(B542,'SP+RP'!$A1:$I251,IF(Settings!$J$13="points",6,9),FALSE))</f>
        <v>-0.55459101497096364</v>
      </c>
      <c r="J542" s="30"/>
      <c r="K542" s="30">
        <f ca="1">J542-A542</f>
        <v>-269</v>
      </c>
      <c r="L542" s="30"/>
      <c r="M542" s="30"/>
      <c r="N542" s="30"/>
      <c r="O542" s="30"/>
      <c r="P542" s="30"/>
      <c r="Q542" s="30"/>
      <c r="R542" s="32"/>
      <c r="S542" s="32"/>
      <c r="T542" s="30"/>
      <c r="U542" s="30"/>
      <c r="V542" s="30"/>
      <c r="W542" s="30"/>
      <c r="X542" s="30"/>
      <c r="Y542" s="32"/>
      <c r="Z542" s="32"/>
      <c r="AA542" s="30"/>
      <c r="AB542" s="30"/>
      <c r="AC542" s="30">
        <f>VLOOKUP($B542,Pitchers!$A1:$S251,4,FALSE)</f>
        <v>61.833333333333336</v>
      </c>
      <c r="AD542" s="32">
        <f>VLOOKUP($B542,Pitchers!$A1:$S251,5,FALSE)</f>
        <v>2.8188679245283019</v>
      </c>
      <c r="AE542" s="32">
        <f>VLOOKUP($B542,Pitchers!$A1:$S251,6,FALSE)</f>
        <v>1.0959568733153637</v>
      </c>
      <c r="AF542" s="30">
        <f>VLOOKUP($B542,Pitchers!$A1:$S251,7,FALSE)</f>
        <v>76.7</v>
      </c>
      <c r="AG542" s="30">
        <f>VLOOKUP($B542,Pitchers!$A1:$S251,8,FALSE)</f>
        <v>3.4333333333333336</v>
      </c>
      <c r="AH542" s="30">
        <f>VLOOKUP($B542,Pitchers!$A1:$S251,9,FALSE)</f>
        <v>2.3333333333333335</v>
      </c>
      <c r="AI542" s="30">
        <f>VLOOKUP($B542,Pitchers!$A1:$S251,10,FALSE)</f>
        <v>19.366666666666667</v>
      </c>
      <c r="AJ542" s="30">
        <f>VLOOKUP($B542,Pitchers!$A1:$S251,11,FALSE)</f>
        <v>48.433333333333337</v>
      </c>
      <c r="AK542" s="30">
        <f>VLOOKUP($B542,Pitchers!$A1:$S251,12,FALSE)</f>
        <v>19.333333333333332</v>
      </c>
      <c r="AL542" s="30">
        <f>VLOOKUP($B542,Pitchers!$A1:$S251,13,FALSE)</f>
        <v>7</v>
      </c>
      <c r="AM542" s="30">
        <f>VLOOKUP($B542,Pitchers!$A1:$S251,14,FALSE)</f>
        <v>67.266666666666666</v>
      </c>
      <c r="AN542" s="30">
        <f>VLOOKUP($B542,Pitchers!$A1:$S251,15,FALSE)</f>
        <v>0</v>
      </c>
      <c r="AO542" s="30">
        <f>VLOOKUP($B542,Pitchers!$A1:$S251,16,FALSE)</f>
        <v>2.8000000000000003</v>
      </c>
      <c r="AP542" s="30">
        <f>VLOOKUP($B542,Pitchers!$A1:$S251,17,FALSE)</f>
        <v>0</v>
      </c>
      <c r="AQ542" s="30">
        <f>VLOOKUP($B542,Pitchers!$A1:$S251,18,FALSE)</f>
        <v>22.5</v>
      </c>
      <c r="AR542" s="30">
        <f>VLOOKUP($B542,Pitchers!$A1:$S251,19,FALSE)</f>
        <v>0</v>
      </c>
    </row>
    <row r="543" spans="1:44" ht="18.600000000000001" customHeight="1">
      <c r="A543" s="24">
        <f ca="1">RANK(I543,I$2:I$651)</f>
        <v>647</v>
      </c>
      <c r="B543" s="25" t="s">
        <v>743</v>
      </c>
      <c r="C543" s="26" t="s">
        <v>103</v>
      </c>
      <c r="D543" s="26" t="s">
        <v>70</v>
      </c>
      <c r="E543" s="37" t="s">
        <v>27</v>
      </c>
      <c r="F543" s="38">
        <f ca="1">VLOOKUP(B543,SS!A1:I45,IF(Settings!$J$13="points",4,7),FALSE)</f>
        <v>41</v>
      </c>
      <c r="G543" s="29">
        <f>(M543*Settings!$B$2)+(N543*Settings!$B$3)+(O543*Settings!$B$4)+(P543*Settings!$B$5)+(Q543*Settings!$B$6)+(T543*Settings!$B$9)+(U543*Settings!$B$10)+(V543*Settings!$B$11)+(W543*Settings!$B$12)+(X543*Settings!$B$13)+(AA543*Settings!$B$16)</f>
        <v>161.43333333333328</v>
      </c>
      <c r="H543" s="30">
        <f>VLOOKUP(B543,'Standard Deviations'!$A1:$D651,4,FALSE)</f>
        <v>-5.7266387815817472</v>
      </c>
      <c r="I543" s="31">
        <f ca="1">IF(Settings!$J$16="no",VLOOKUP(B543,SS!A1:I45,IF(Settings!$J$13="points",6,9),FALSE),VLOOKUP(B543,'2B+SS'!$A1:$I94,IF(Settings!$J$13="points",6,9),FALSE))</f>
        <v>-8.7310583810265676</v>
      </c>
      <c r="J543" s="30"/>
      <c r="K543" s="30">
        <f ca="1">J543-A543</f>
        <v>-647</v>
      </c>
      <c r="L543" s="30"/>
      <c r="M543" s="30">
        <f>VLOOKUP($B543,Hitters!$A1:$R401,4,FALSE)</f>
        <v>250.666666666667</v>
      </c>
      <c r="N543" s="30">
        <f>VLOOKUP($B543,Hitters!$A1:$R401,5,FALSE)</f>
        <v>30.3333333333333</v>
      </c>
      <c r="O543" s="30">
        <f>VLOOKUP($B543,Hitters!$A1:$R401,6,FALSE)</f>
        <v>4.8666666666666698</v>
      </c>
      <c r="P543" s="30">
        <f>VLOOKUP($B543,Hitters!$A1:$R401,7,FALSE)</f>
        <v>24.133333333333301</v>
      </c>
      <c r="Q543" s="30">
        <f>VLOOKUP($B543,Hitters!$A1:$R401,8,FALSE)</f>
        <v>6.7333333333333298</v>
      </c>
      <c r="R543" s="32">
        <f>VLOOKUP($B543,Hitters!$A1:$R401,9,FALSE)</f>
        <v>0.20039893617021301</v>
      </c>
      <c r="S543" s="32">
        <f>VLOOKUP($B543,Hitters!$A1:$R401,10,FALSE)</f>
        <v>0.289359417312541</v>
      </c>
      <c r="T543" s="30">
        <f>VLOOKUP($B543,Hitters!$A1:$R401,11,FALSE)</f>
        <v>50.233333333333299</v>
      </c>
      <c r="U543" s="30">
        <f>VLOOKUP($B543,Hitters!$A1:$R401,12,FALSE)</f>
        <v>12.766666666666699</v>
      </c>
      <c r="V543" s="30">
        <f>VLOOKUP($B543,Hitters!$A1:$R401,13,FALSE)</f>
        <v>0.96666666666666701</v>
      </c>
      <c r="W543" s="30">
        <f>VLOOKUP($B543,Hitters!$A1:$R401,14,FALSE)</f>
        <v>32.4</v>
      </c>
      <c r="X543" s="30">
        <f>VLOOKUP($B543,Hitters!$A1:$R401,15,FALSE)</f>
        <v>74.066666666666706</v>
      </c>
      <c r="Y543" s="32">
        <f>VLOOKUP($B543,Hitters!$A1:$R401,16,FALSE)</f>
        <v>0.31728723404255299</v>
      </c>
      <c r="Z543" s="32">
        <f>VLOOKUP($B543,Hitters!$A1:$R401,17,FALSE)</f>
        <v>0.60664665135509399</v>
      </c>
      <c r="AA543" s="30">
        <f>VLOOKUP($B543,Hitters!$A1:$R401,18,FALSE)</f>
        <v>0</v>
      </c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</row>
    <row r="544" spans="1:44" ht="18.600000000000001" customHeight="1">
      <c r="A544" s="24">
        <f ca="1">RANK(I544,I$2:I$651)</f>
        <v>413</v>
      </c>
      <c r="B544" s="25" t="s">
        <v>510</v>
      </c>
      <c r="C544" s="26" t="s">
        <v>97</v>
      </c>
      <c r="D544" s="26" t="s">
        <v>75</v>
      </c>
      <c r="E544" s="41" t="s">
        <v>34</v>
      </c>
      <c r="F544" s="42">
        <f ca="1">VLOOKUP(B544,RP!A1:I91,IF(Settings!$J$13="points",4,7),FALSE)</f>
        <v>45</v>
      </c>
      <c r="G544" s="29">
        <f>(AC544*Settings!$F$2)+(AF544*Settings!$F$5)+(AG544*Settings!$F$6)+(AH544*Settings!$F$7)+(AI544*Settings!$F$8)+(AJ544*Settings!$F$9)+(AK544*Settings!$F$10)+(AL544*Settings!$F$11)+(AM544*Settings!$F$12)+(AN544*Settings!$F$13)+(AO544*Settings!$F$14)+(AP544*Settings!$F$15)+(AQ544*Settings!$F$16)+(AR544*Settings!$F$17)</f>
        <v>161.29999999999995</v>
      </c>
      <c r="H544" s="30">
        <f>VLOOKUP(B544,'Standard Deviations'!$A1:$D651,4,FALSE)</f>
        <v>-1.0547329746050254</v>
      </c>
      <c r="I544" s="31">
        <f ca="1">IF(Settings!$J$16="no",VLOOKUP(B544,RP!A1:I91,IF(Settings!$J$13="points",6,9),FALSE),VLOOKUP(B544,'SP+RP'!$A1:$I251,IF(Settings!$J$13="points",6,9),FALSE))</f>
        <v>-2.6258026034509108</v>
      </c>
      <c r="J544" s="30"/>
      <c r="K544" s="30">
        <f ca="1">J544-A544</f>
        <v>-413</v>
      </c>
      <c r="L544" s="30"/>
      <c r="M544" s="30"/>
      <c r="N544" s="30"/>
      <c r="O544" s="30"/>
      <c r="P544" s="30"/>
      <c r="Q544" s="30"/>
      <c r="R544" s="32"/>
      <c r="S544" s="32"/>
      <c r="T544" s="30"/>
      <c r="U544" s="30"/>
      <c r="V544" s="30"/>
      <c r="W544" s="30"/>
      <c r="X544" s="30"/>
      <c r="Y544" s="32"/>
      <c r="Z544" s="32"/>
      <c r="AA544" s="30"/>
      <c r="AB544" s="30"/>
      <c r="AC544" s="30">
        <f>VLOOKUP($B544,Pitchers!$A1:$S251,4,FALSE)</f>
        <v>63.699999999999996</v>
      </c>
      <c r="AD544" s="32">
        <f>VLOOKUP($B544,Pitchers!$A1:$S251,5,FALSE)</f>
        <v>3.4521193092621667</v>
      </c>
      <c r="AE544" s="32">
        <f>VLOOKUP($B544,Pitchers!$A1:$S251,6,FALSE)</f>
        <v>1.2197802197802199</v>
      </c>
      <c r="AF544" s="30">
        <f>VLOOKUP($B544,Pitchers!$A1:$S251,7,FALSE)</f>
        <v>74.266666666666666</v>
      </c>
      <c r="AG544" s="30">
        <f>VLOOKUP($B544,Pitchers!$A1:$S251,8,FALSE)</f>
        <v>4.7666666666666666</v>
      </c>
      <c r="AH544" s="30">
        <f>VLOOKUP($B544,Pitchers!$A1:$S251,9,FALSE)</f>
        <v>2.6666666666666665</v>
      </c>
      <c r="AI544" s="30">
        <f>VLOOKUP($B544,Pitchers!$A1:$S251,10,FALSE)</f>
        <v>24.433333333333334</v>
      </c>
      <c r="AJ544" s="30">
        <f>VLOOKUP($B544,Pitchers!$A1:$S251,11,FALSE)</f>
        <v>53.4</v>
      </c>
      <c r="AK544" s="30">
        <f>VLOOKUP($B544,Pitchers!$A1:$S251,12,FALSE)</f>
        <v>24.3</v>
      </c>
      <c r="AL544" s="30">
        <f>VLOOKUP($B544,Pitchers!$A1:$S251,13,FALSE)</f>
        <v>7</v>
      </c>
      <c r="AM544" s="30">
        <f>VLOOKUP($B544,Pitchers!$A1:$S251,14,FALSE)</f>
        <v>66.600000000000009</v>
      </c>
      <c r="AN544" s="30">
        <f>VLOOKUP($B544,Pitchers!$A1:$S251,15,FALSE)</f>
        <v>0</v>
      </c>
      <c r="AO544" s="30">
        <f>VLOOKUP($B544,Pitchers!$A1:$S251,16,FALSE)</f>
        <v>3.3666666666666667</v>
      </c>
      <c r="AP544" s="30">
        <f>VLOOKUP($B544,Pitchers!$A1:$S251,17,FALSE)</f>
        <v>0</v>
      </c>
      <c r="AQ544" s="30">
        <f>VLOOKUP($B544,Pitchers!$A1:$S251,18,FALSE)</f>
        <v>18.5</v>
      </c>
      <c r="AR544" s="30">
        <f>VLOOKUP($B544,Pitchers!$A1:$S251,19,FALSE)</f>
        <v>1</v>
      </c>
    </row>
    <row r="545" spans="1:44" ht="18.600000000000001" customHeight="1">
      <c r="A545" s="24">
        <f ca="1">RANK(I545,I$2:I$651)</f>
        <v>395</v>
      </c>
      <c r="B545" s="25" t="s">
        <v>492</v>
      </c>
      <c r="C545" s="26" t="s">
        <v>77</v>
      </c>
      <c r="D545" s="26" t="s">
        <v>70</v>
      </c>
      <c r="E545" s="41" t="s">
        <v>34</v>
      </c>
      <c r="F545" s="42">
        <f ca="1">VLOOKUP(B545,RP!A1:I91,IF(Settings!$J$13="points",4,7),FALSE)</f>
        <v>39</v>
      </c>
      <c r="G545" s="29">
        <f>(AC545*Settings!$F$2)+(AF545*Settings!$F$5)+(AG545*Settings!$F$6)+(AH545*Settings!$F$7)+(AI545*Settings!$F$8)+(AJ545*Settings!$F$9)+(AK545*Settings!$F$10)+(AL545*Settings!$F$11)+(AM545*Settings!$F$12)+(AN545*Settings!$F$13)+(AO545*Settings!$F$14)+(AP545*Settings!$F$15)+(AQ545*Settings!$F$16)+(AR545*Settings!$F$17)</f>
        <v>161.28333333333336</v>
      </c>
      <c r="H545" s="30">
        <f>VLOOKUP(B545,'Standard Deviations'!$A1:$D651,4,FALSE)</f>
        <v>-0.79855923109795612</v>
      </c>
      <c r="I545" s="31">
        <f ca="1">IF(Settings!$J$16="no",VLOOKUP(B545,RP!A1:I91,IF(Settings!$J$13="points",6,9),FALSE),VLOOKUP(B545,'SP+RP'!$A1:$I251,IF(Settings!$J$13="points",6,9),FALSE))</f>
        <v>-2.3696301017622527</v>
      </c>
      <c r="J545" s="30"/>
      <c r="K545" s="30">
        <f ca="1">J545-A545</f>
        <v>-395</v>
      </c>
      <c r="L545" s="30"/>
      <c r="M545" s="30"/>
      <c r="N545" s="30"/>
      <c r="O545" s="30"/>
      <c r="P545" s="30"/>
      <c r="Q545" s="30"/>
      <c r="R545" s="32"/>
      <c r="S545" s="32"/>
      <c r="T545" s="30"/>
      <c r="U545" s="30"/>
      <c r="V545" s="30"/>
      <c r="W545" s="30"/>
      <c r="X545" s="30"/>
      <c r="Y545" s="32"/>
      <c r="Z545" s="32"/>
      <c r="AA545" s="30"/>
      <c r="AB545" s="30"/>
      <c r="AC545" s="30">
        <f>VLOOKUP($B545,Pitchers!$A1:$S251,4,FALSE)</f>
        <v>59.4</v>
      </c>
      <c r="AD545" s="32">
        <f>VLOOKUP($B545,Pitchers!$A1:$S251,5,FALSE)</f>
        <v>3.3535353535353538</v>
      </c>
      <c r="AE545" s="32">
        <f>VLOOKUP($B545,Pitchers!$A1:$S251,6,FALSE)</f>
        <v>1.2087542087542087</v>
      </c>
      <c r="AF545" s="30">
        <f>VLOOKUP($B545,Pitchers!$A1:$S251,7,FALSE)</f>
        <v>84.3</v>
      </c>
      <c r="AG545" s="30">
        <f>VLOOKUP($B545,Pitchers!$A1:$S251,8,FALSE)</f>
        <v>3.6</v>
      </c>
      <c r="AH545" s="30">
        <f>VLOOKUP($B545,Pitchers!$A1:$S251,9,FALSE)</f>
        <v>3.3333333333333335</v>
      </c>
      <c r="AI545" s="30">
        <f>VLOOKUP($B545,Pitchers!$A1:$S251,10,FALSE)</f>
        <v>22.133333333333336</v>
      </c>
      <c r="AJ545" s="30">
        <f>VLOOKUP($B545,Pitchers!$A1:$S251,11,FALSE)</f>
        <v>41.266666666666666</v>
      </c>
      <c r="AK545" s="30">
        <f>VLOOKUP($B545,Pitchers!$A1:$S251,12,FALSE)</f>
        <v>30.533333333333331</v>
      </c>
      <c r="AL545" s="30">
        <f>VLOOKUP($B545,Pitchers!$A1:$S251,13,FALSE)</f>
        <v>8</v>
      </c>
      <c r="AM545" s="30">
        <f>VLOOKUP($B545,Pitchers!$A1:$S251,14,FALSE)</f>
        <v>59.266666666666673</v>
      </c>
      <c r="AN545" s="30">
        <f>VLOOKUP($B545,Pitchers!$A1:$S251,15,FALSE)</f>
        <v>0</v>
      </c>
      <c r="AO545" s="30">
        <f>VLOOKUP($B545,Pitchers!$A1:$S251,16,FALSE)</f>
        <v>2.7333333333333329</v>
      </c>
      <c r="AP545" s="30">
        <f>VLOOKUP($B545,Pitchers!$A1:$S251,17,FALSE)</f>
        <v>0</v>
      </c>
      <c r="AQ545" s="30">
        <f>VLOOKUP($B545,Pitchers!$A1:$S251,18,FALSE)</f>
        <v>14</v>
      </c>
      <c r="AR545" s="30">
        <f>VLOOKUP($B545,Pitchers!$A1:$S251,19,FALSE)</f>
        <v>2</v>
      </c>
    </row>
    <row r="546" spans="1:44" ht="18.600000000000001" customHeight="1">
      <c r="A546" s="24">
        <f ca="1">RANK(I546,I$2:I$651)</f>
        <v>493</v>
      </c>
      <c r="B546" s="25" t="s">
        <v>588</v>
      </c>
      <c r="C546" s="26" t="s">
        <v>309</v>
      </c>
      <c r="D546" s="26" t="s">
        <v>75</v>
      </c>
      <c r="E546" s="41" t="s">
        <v>34</v>
      </c>
      <c r="F546" s="42">
        <f ca="1">VLOOKUP(B546,RP!A1:I91,IF(Settings!$J$13="points",4,7),FALSE)</f>
        <v>73</v>
      </c>
      <c r="G546" s="29">
        <f>(AC546*Settings!$F$2)+(AF546*Settings!$F$5)+(AG546*Settings!$F$6)+(AH546*Settings!$F$7)+(AI546*Settings!$F$8)+(AJ546*Settings!$F$9)+(AK546*Settings!$F$10)+(AL546*Settings!$F$11)+(AM546*Settings!$F$12)+(AN546*Settings!$F$13)+(AO546*Settings!$F$14)+(AP546*Settings!$F$15)+(AQ546*Settings!$F$16)+(AR546*Settings!$F$17)</f>
        <v>159.70000000000005</v>
      </c>
      <c r="H546" s="30">
        <f>VLOOKUP(B546,'Standard Deviations'!$A1:$D651,4,FALSE)</f>
        <v>-1.9428985591628423</v>
      </c>
      <c r="I546" s="31">
        <f ca="1">IF(Settings!$J$16="no",VLOOKUP(B546,RP!A1:I91,IF(Settings!$J$13="points",6,9),FALSE),VLOOKUP(B546,'SP+RP'!$A1:$I251,IF(Settings!$J$13="points",6,9),FALSE))</f>
        <v>-3.5139663453091612</v>
      </c>
      <c r="J546" s="30"/>
      <c r="K546" s="30">
        <f ca="1">J546-A546</f>
        <v>-493</v>
      </c>
      <c r="L546" s="30"/>
      <c r="M546" s="30"/>
      <c r="N546" s="30"/>
      <c r="O546" s="30"/>
      <c r="P546" s="30"/>
      <c r="Q546" s="30"/>
      <c r="R546" s="32"/>
      <c r="S546" s="32"/>
      <c r="T546" s="30"/>
      <c r="U546" s="30"/>
      <c r="V546" s="30"/>
      <c r="W546" s="30"/>
      <c r="X546" s="30"/>
      <c r="Y546" s="32"/>
      <c r="Z546" s="32"/>
      <c r="AA546" s="30"/>
      <c r="AB546" s="30"/>
      <c r="AC546" s="30">
        <f>VLOOKUP($B546,Pitchers!$A1:$S251,4,FALSE)</f>
        <v>60.2</v>
      </c>
      <c r="AD546" s="32">
        <f>VLOOKUP($B546,Pitchers!$A1:$S251,5,FALSE)</f>
        <v>3.6478405315614615</v>
      </c>
      <c r="AE546" s="32">
        <f>VLOOKUP($B546,Pitchers!$A1:$S251,6,FALSE)</f>
        <v>1.2308970099667773</v>
      </c>
      <c r="AF546" s="30">
        <f>VLOOKUP($B546,Pitchers!$A1:$S251,7,FALSE)</f>
        <v>65.3</v>
      </c>
      <c r="AG546" s="30">
        <f>VLOOKUP($B546,Pitchers!$A1:$S251,8,FALSE)</f>
        <v>2.6</v>
      </c>
      <c r="AH546" s="30">
        <f>VLOOKUP($B546,Pitchers!$A1:$S251,9,FALSE)</f>
        <v>6</v>
      </c>
      <c r="AI546" s="30">
        <f>VLOOKUP($B546,Pitchers!$A1:$S251,10,FALSE)</f>
        <v>24.4</v>
      </c>
      <c r="AJ546" s="30">
        <f>VLOOKUP($B546,Pitchers!$A1:$S251,11,FALSE)</f>
        <v>52.8</v>
      </c>
      <c r="AK546" s="30">
        <f>VLOOKUP($B546,Pitchers!$A1:$S251,12,FALSE)</f>
        <v>21.3</v>
      </c>
      <c r="AL546" s="30">
        <f>VLOOKUP($B546,Pitchers!$A1:$S251,13,FALSE)</f>
        <v>7</v>
      </c>
      <c r="AM546" s="30">
        <f>VLOOKUP($B546,Pitchers!$A1:$S251,14,FALSE)</f>
        <v>61.9</v>
      </c>
      <c r="AN546" s="30">
        <f>VLOOKUP($B546,Pitchers!$A1:$S251,15,FALSE)</f>
        <v>0</v>
      </c>
      <c r="AO546" s="30">
        <f>VLOOKUP($B546,Pitchers!$A1:$S251,16,FALSE)</f>
        <v>3.05</v>
      </c>
      <c r="AP546" s="30">
        <f>VLOOKUP($B546,Pitchers!$A1:$S251,17,FALSE)</f>
        <v>0</v>
      </c>
      <c r="AQ546" s="30">
        <f>VLOOKUP($B546,Pitchers!$A1:$S251,18,FALSE)</f>
        <v>17</v>
      </c>
      <c r="AR546" s="30">
        <f>VLOOKUP($B546,Pitchers!$A1:$S251,19,FALSE)</f>
        <v>1</v>
      </c>
    </row>
    <row r="547" spans="1:44" ht="18.600000000000001" customHeight="1">
      <c r="A547" s="24">
        <f ca="1">RANK(I547,I$2:I$651)</f>
        <v>396</v>
      </c>
      <c r="B547" s="25" t="s">
        <v>494</v>
      </c>
      <c r="C547" s="26" t="s">
        <v>77</v>
      </c>
      <c r="D547" s="26" t="s">
        <v>70</v>
      </c>
      <c r="E547" s="35" t="s">
        <v>31</v>
      </c>
      <c r="F547" s="36">
        <f ca="1">VLOOKUP(B547,SP!A1:I161,IF(Settings!$J$13="points",4,7),FALSE)</f>
        <v>117</v>
      </c>
      <c r="G547" s="29">
        <f>(AC547*Settings!$F$2)+(AF547*Settings!$F$5)+(AG547*Settings!$F$6)+(AH547*Settings!$F$7)+(AI547*Settings!$F$8)+(AJ547*Settings!$F$9)+(AK547*Settings!$F$10)+(AL547*Settings!$F$11)+(AM547*Settings!$F$12)+(AN547*Settings!$F$13)+(AO547*Settings!$F$14)+(AP547*Settings!$F$15)+(AQ547*Settings!$F$16)+(AR547*Settings!$F$17)</f>
        <v>158.66666666666669</v>
      </c>
      <c r="H547" s="30">
        <f>VLOOKUP(B547,'Standard Deviations'!$A1:$D651,4,FALSE)</f>
        <v>-2.2362271059312064</v>
      </c>
      <c r="I547" s="31">
        <f ca="1">IF(Settings!$J$16="no",VLOOKUP(B547,SP!A1:I161,IF(Settings!$J$13="points",6,9),FALSE),VLOOKUP(B547,'SP+RP'!$A1:$I251,IF(Settings!$J$13="points",6,9),FALSE))</f>
        <v>-2.3722134791452802</v>
      </c>
      <c r="J547" s="30"/>
      <c r="K547" s="30">
        <f ca="1">J547-A547</f>
        <v>-396</v>
      </c>
      <c r="L547" s="30"/>
      <c r="M547" s="30"/>
      <c r="N547" s="30"/>
      <c r="O547" s="30"/>
      <c r="P547" s="30"/>
      <c r="Q547" s="30"/>
      <c r="R547" s="32"/>
      <c r="S547" s="32"/>
      <c r="T547" s="30"/>
      <c r="U547" s="30"/>
      <c r="V547" s="30"/>
      <c r="W547" s="30"/>
      <c r="X547" s="30"/>
      <c r="Y547" s="32"/>
      <c r="Z547" s="32"/>
      <c r="AA547" s="30"/>
      <c r="AB547" s="30"/>
      <c r="AC547" s="30">
        <f>VLOOKUP($B547,Pitchers!$A1:$S251,4,FALSE)</f>
        <v>79.399999999999991</v>
      </c>
      <c r="AD547" s="32">
        <f>VLOOKUP($B547,Pitchers!$A1:$S251,5,FALSE)</f>
        <v>4.2959697732997482</v>
      </c>
      <c r="AE547" s="32">
        <f>VLOOKUP($B547,Pitchers!$A1:$S251,6,FALSE)</f>
        <v>1.1473551637279598</v>
      </c>
      <c r="AF547" s="30">
        <f>VLOOKUP($B547,Pitchers!$A1:$S251,7,FALSE)</f>
        <v>80.13333333333334</v>
      </c>
      <c r="AG547" s="30">
        <f>VLOOKUP($B547,Pitchers!$A1:$S251,8,FALSE)</f>
        <v>4.5333333333333332</v>
      </c>
      <c r="AH547" s="30">
        <f>VLOOKUP($B547,Pitchers!$A1:$S251,9,FALSE)</f>
        <v>0</v>
      </c>
      <c r="AI547" s="30">
        <f>VLOOKUP($B547,Pitchers!$A1:$S251,10,FALSE)</f>
        <v>37.9</v>
      </c>
      <c r="AJ547" s="30">
        <f>VLOOKUP($B547,Pitchers!$A1:$S251,11,FALSE)</f>
        <v>71.466666666666669</v>
      </c>
      <c r="AK547" s="30">
        <f>VLOOKUP($B547,Pitchers!$A1:$S251,12,FALSE)</f>
        <v>19.633333333333333</v>
      </c>
      <c r="AL547" s="30">
        <f>VLOOKUP($B547,Pitchers!$A1:$S251,13,FALSE)</f>
        <v>9</v>
      </c>
      <c r="AM547" s="30">
        <f>VLOOKUP($B547,Pitchers!$A1:$S251,14,FALSE)</f>
        <v>51.933333333333337</v>
      </c>
      <c r="AN547" s="30">
        <f>VLOOKUP($B547,Pitchers!$A1:$S251,15,FALSE)</f>
        <v>5.666666666666667</v>
      </c>
      <c r="AO547" s="30">
        <f>VLOOKUP($B547,Pitchers!$A1:$S251,16,FALSE)</f>
        <v>4.4666666666666668</v>
      </c>
      <c r="AP547" s="30">
        <f>VLOOKUP($B547,Pitchers!$A1:$S251,17,FALSE)</f>
        <v>0</v>
      </c>
      <c r="AQ547" s="30">
        <f>VLOOKUP($B547,Pitchers!$A1:$S251,18,FALSE)</f>
        <v>12</v>
      </c>
      <c r="AR547" s="30">
        <f>VLOOKUP($B547,Pitchers!$A1:$S251,19,FALSE)</f>
        <v>0</v>
      </c>
    </row>
    <row r="548" spans="1:44" ht="18.600000000000001" customHeight="1">
      <c r="A548" s="24">
        <f ca="1">RANK(I548,I$2:I$651)</f>
        <v>409</v>
      </c>
      <c r="B548" s="25" t="s">
        <v>506</v>
      </c>
      <c r="C548" s="26" t="s">
        <v>82</v>
      </c>
      <c r="D548" s="26" t="s">
        <v>75</v>
      </c>
      <c r="E548" s="41" t="s">
        <v>34</v>
      </c>
      <c r="F548" s="42">
        <f ca="1">VLOOKUP(B548,RP!A1:I91,IF(Settings!$J$13="points",4,7),FALSE)</f>
        <v>43</v>
      </c>
      <c r="G548" s="29">
        <f>(AC548*Settings!$F$2)+(AF548*Settings!$F$5)+(AG548*Settings!$F$6)+(AH548*Settings!$F$7)+(AI548*Settings!$F$8)+(AJ548*Settings!$F$9)+(AK548*Settings!$F$10)+(AL548*Settings!$F$11)+(AM548*Settings!$F$12)+(AN548*Settings!$F$13)+(AO548*Settings!$F$14)+(AP548*Settings!$F$15)+(AQ548*Settings!$F$16)+(AR548*Settings!$F$17)</f>
        <v>158.63800000000003</v>
      </c>
      <c r="H548" s="30">
        <f>VLOOKUP(B548,'Standard Deviations'!$A1:$D651,4,FALSE)</f>
        <v>-0.98404911921500016</v>
      </c>
      <c r="I548" s="31">
        <f ca="1">IF(Settings!$J$16="no",VLOOKUP(B548,RP!A1:I91,IF(Settings!$J$13="points",6,9),FALSE),VLOOKUP(B548,'SP+RP'!$A1:$I251,IF(Settings!$J$13="points",6,9),FALSE))</f>
        <v>-2.5551137775143289</v>
      </c>
      <c r="J548" s="30"/>
      <c r="K548" s="30">
        <f ca="1">J548-A548</f>
        <v>-409</v>
      </c>
      <c r="L548" s="30"/>
      <c r="M548" s="30"/>
      <c r="N548" s="30"/>
      <c r="O548" s="30"/>
      <c r="P548" s="30"/>
      <c r="Q548" s="30"/>
      <c r="R548" s="32"/>
      <c r="S548" s="32"/>
      <c r="T548" s="30"/>
      <c r="U548" s="30"/>
      <c r="V548" s="30"/>
      <c r="W548" s="30"/>
      <c r="X548" s="30"/>
      <c r="Y548" s="32"/>
      <c r="Z548" s="32"/>
      <c r="AA548" s="30"/>
      <c r="AB548" s="30"/>
      <c r="AC548" s="30">
        <f>VLOOKUP($B548,Pitchers!$A1:$S251,4,FALSE)</f>
        <v>59.366666666666667</v>
      </c>
      <c r="AD548" s="32">
        <f>VLOOKUP($B548,Pitchers!$A1:$S251,5,FALSE)</f>
        <v>3.4027175743964064</v>
      </c>
      <c r="AE548" s="32">
        <f>VLOOKUP($B548,Pitchers!$A1:$S251,6,FALSE)</f>
        <v>1.1639528354856821</v>
      </c>
      <c r="AF548" s="30">
        <f>VLOOKUP($B548,Pitchers!$A1:$S251,7,FALSE)</f>
        <v>53.633333333333333</v>
      </c>
      <c r="AG548" s="30">
        <f>VLOOKUP($B548,Pitchers!$A1:$S251,8,FALSE)</f>
        <v>2.9666666666666668</v>
      </c>
      <c r="AH548" s="30">
        <f>VLOOKUP($B548,Pitchers!$A1:$S251,9,FALSE)</f>
        <v>5.666666666666667</v>
      </c>
      <c r="AI548" s="30">
        <f>VLOOKUP($B548,Pitchers!$A1:$S251,10,FALSE)</f>
        <v>22.445333333333334</v>
      </c>
      <c r="AJ548" s="30">
        <f>VLOOKUP($B548,Pitchers!$A1:$S251,11,FALSE)</f>
        <v>52.966666666666669</v>
      </c>
      <c r="AK548" s="30">
        <f>VLOOKUP($B548,Pitchers!$A1:$S251,12,FALSE)</f>
        <v>16.133333333333333</v>
      </c>
      <c r="AL548" s="30">
        <f>VLOOKUP($B548,Pitchers!$A1:$S251,13,FALSE)</f>
        <v>6</v>
      </c>
      <c r="AM548" s="30">
        <f>VLOOKUP($B548,Pitchers!$A1:$S251,14,FALSE)</f>
        <v>56.933333333333337</v>
      </c>
      <c r="AN548" s="30">
        <f>VLOOKUP($B548,Pitchers!$A1:$S251,15,FALSE)</f>
        <v>0.66666666666666663</v>
      </c>
      <c r="AO548" s="30">
        <f>VLOOKUP($B548,Pitchers!$A1:$S251,16,FALSE)</f>
        <v>3.0333333333333332</v>
      </c>
      <c r="AP548" s="30">
        <f>VLOOKUP($B548,Pitchers!$A1:$S251,17,FALSE)</f>
        <v>0</v>
      </c>
      <c r="AQ548" s="30">
        <f>VLOOKUP($B548,Pitchers!$A1:$S251,18,FALSE)</f>
        <v>14.5</v>
      </c>
      <c r="AR548" s="30">
        <f>VLOOKUP($B548,Pitchers!$A1:$S251,19,FALSE)</f>
        <v>2</v>
      </c>
    </row>
    <row r="549" spans="1:44" ht="18.600000000000001" customHeight="1">
      <c r="A549" s="24">
        <f ca="1">RANK(I549,I$2:I$651)</f>
        <v>585</v>
      </c>
      <c r="B549" s="25" t="s">
        <v>681</v>
      </c>
      <c r="C549" s="26" t="s">
        <v>160</v>
      </c>
      <c r="D549" s="26" t="s">
        <v>75</v>
      </c>
      <c r="E549" s="45" t="s">
        <v>19</v>
      </c>
      <c r="F549" s="46">
        <f ca="1">VLOOKUP(B549,'C'!A1:I54,IF(Settings!$J$13="points",4,7),FALSE)</f>
        <v>46</v>
      </c>
      <c r="G549" s="29">
        <f>(M549*Settings!$B$2)+(N549*Settings!$B$3)+(O549*Settings!$B$4)+(P549*Settings!$B$5)+(Q549*Settings!$B$6)+(T549*Settings!$B$9)+(U549*Settings!$B$10)+(V549*Settings!$B$11)+(W549*Settings!$B$12)+(X549*Settings!$B$13)+(AA549*Settings!$B$16)</f>
        <v>157.29999999999995</v>
      </c>
      <c r="H549" s="30">
        <f>VLOOKUP(B549,'Standard Deviations'!$A1:$D651,4,FALSE)</f>
        <v>-5.1927075651899193</v>
      </c>
      <c r="I549" s="31">
        <f ca="1">VLOOKUP(B549,'C'!A1:I54,IF(Settings!$J$13="points",6,9),FALSE)</f>
        <v>-4.8756109938308434</v>
      </c>
      <c r="J549" s="30"/>
      <c r="K549" s="30">
        <f ca="1">J549-A549</f>
        <v>-585</v>
      </c>
      <c r="L549" s="30"/>
      <c r="M549" s="30">
        <f>VLOOKUP($B549,Hitters!$A1:$R401,4,FALSE)</f>
        <v>291.66666666666703</v>
      </c>
      <c r="N549" s="30">
        <f>VLOOKUP($B549,Hitters!$A1:$R401,5,FALSE)</f>
        <v>28.766666666666701</v>
      </c>
      <c r="O549" s="30">
        <f>VLOOKUP($B549,Hitters!$A1:$R401,6,FALSE)</f>
        <v>5.0333333333333297</v>
      </c>
      <c r="P549" s="30">
        <f>VLOOKUP($B549,Hitters!$A1:$R401,7,FALSE)</f>
        <v>27.6666666666667</v>
      </c>
      <c r="Q549" s="30">
        <f>VLOOKUP($B549,Hitters!$A1:$R401,8,FALSE)</f>
        <v>0.43333333333333302</v>
      </c>
      <c r="R549" s="32">
        <f>VLOOKUP($B549,Hitters!$A1:$R401,9,FALSE)</f>
        <v>0.228457142857143</v>
      </c>
      <c r="S549" s="32">
        <f>VLOOKUP($B549,Hitters!$A1:$R401,10,FALSE)</f>
        <v>0.28991225793053299</v>
      </c>
      <c r="T549" s="30">
        <f>VLOOKUP($B549,Hitters!$A1:$R401,11,FALSE)</f>
        <v>66.633333333333297</v>
      </c>
      <c r="U549" s="30">
        <f>VLOOKUP($B549,Hitters!$A1:$R401,12,FALSE)</f>
        <v>12.6</v>
      </c>
      <c r="V549" s="30">
        <f>VLOOKUP($B549,Hitters!$A1:$R401,13,FALSE)</f>
        <v>0.5</v>
      </c>
      <c r="W549" s="30">
        <f>VLOOKUP($B549,Hitters!$A1:$R401,14,FALSE)</f>
        <v>26.433333333333302</v>
      </c>
      <c r="X549" s="30">
        <f>VLOOKUP($B549,Hitters!$A1:$R401,15,FALSE)</f>
        <v>79.8</v>
      </c>
      <c r="Y549" s="32">
        <f>VLOOKUP($B549,Hitters!$A1:$R401,16,FALSE)</f>
        <v>0.32685714285714301</v>
      </c>
      <c r="Z549" s="32">
        <f>VLOOKUP($B549,Hitters!$A1:$R401,17,FALSE)</f>
        <v>0.61676940078767595</v>
      </c>
      <c r="AA549" s="30">
        <f>VLOOKUP($B549,Hitters!$A1:$R401,18,FALSE)</f>
        <v>0</v>
      </c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</row>
    <row r="550" spans="1:44" ht="18.600000000000001" customHeight="1">
      <c r="A550" s="24">
        <f ca="1">RANK(I550,I$2:I$651)</f>
        <v>533</v>
      </c>
      <c r="B550" s="25" t="s">
        <v>631</v>
      </c>
      <c r="C550" s="26" t="s">
        <v>160</v>
      </c>
      <c r="D550" s="26" t="s">
        <v>75</v>
      </c>
      <c r="E550" s="35" t="s">
        <v>31</v>
      </c>
      <c r="F550" s="36">
        <f ca="1">VLOOKUP(B550,SP!A1:I161,IF(Settings!$J$13="points",4,7),FALSE)</f>
        <v>148</v>
      </c>
      <c r="G550" s="29">
        <f>(AC550*Settings!$F$2)+(AF550*Settings!$F$5)+(AG550*Settings!$F$6)+(AH550*Settings!$F$7)+(AI550*Settings!$F$8)+(AJ550*Settings!$F$9)+(AK550*Settings!$F$10)+(AL550*Settings!$F$11)+(AM550*Settings!$F$12)+(AN550*Settings!$F$13)+(AO550*Settings!$F$14)+(AP550*Settings!$F$15)+(AQ550*Settings!$F$16)+(AR550*Settings!$F$17)</f>
        <v>155.44799999999998</v>
      </c>
      <c r="H550" s="30">
        <f>VLOOKUP(B550,'Standard Deviations'!$A1:$D651,4,FALSE)</f>
        <v>-3.8806147936803033</v>
      </c>
      <c r="I550" s="31">
        <f ca="1">IF(Settings!$J$16="no",VLOOKUP(B550,SP!A1:I161,IF(Settings!$J$13="points",6,9),FALSE),VLOOKUP(B550,'SP+RP'!$A1:$I251,IF(Settings!$J$13="points",6,9),FALSE))</f>
        <v>-4.0165943146648564</v>
      </c>
      <c r="J550" s="30"/>
      <c r="K550" s="30">
        <f ca="1">J550-A550</f>
        <v>-533</v>
      </c>
      <c r="L550" s="30"/>
      <c r="M550" s="30"/>
      <c r="N550" s="30"/>
      <c r="O550" s="30"/>
      <c r="P550" s="30"/>
      <c r="Q550" s="30"/>
      <c r="R550" s="32"/>
      <c r="S550" s="32"/>
      <c r="T550" s="30"/>
      <c r="U550" s="30"/>
      <c r="V550" s="30"/>
      <c r="W550" s="30"/>
      <c r="X550" s="30"/>
      <c r="Y550" s="32"/>
      <c r="Z550" s="32"/>
      <c r="AA550" s="30"/>
      <c r="AB550" s="30"/>
      <c r="AC550" s="30">
        <f>VLOOKUP($B550,Pitchers!$A1:$S251,4,FALSE)</f>
        <v>83.533333333333346</v>
      </c>
      <c r="AD550" s="32">
        <f>VLOOKUP($B550,Pitchers!$A1:$S251,5,FALSE)</f>
        <v>4.0907980845969671</v>
      </c>
      <c r="AE550" s="32">
        <f>VLOOKUP($B550,Pitchers!$A1:$S251,6,FALSE)</f>
        <v>1.3639265762170789</v>
      </c>
      <c r="AF550" s="30">
        <f>VLOOKUP($B550,Pitchers!$A1:$S251,7,FALSE)</f>
        <v>79.3</v>
      </c>
      <c r="AG550" s="30">
        <f>VLOOKUP($B550,Pitchers!$A1:$S251,8,FALSE)</f>
        <v>4.9666666666666668</v>
      </c>
      <c r="AH550" s="30">
        <f>VLOOKUP($B550,Pitchers!$A1:$S251,9,FALSE)</f>
        <v>0.33333333333333331</v>
      </c>
      <c r="AI550" s="30">
        <f>VLOOKUP($B550,Pitchers!$A1:$S251,10,FALSE)</f>
        <v>37.968666666666671</v>
      </c>
      <c r="AJ550" s="30">
        <f>VLOOKUP($B550,Pitchers!$A1:$S251,11,FALSE)</f>
        <v>78.7</v>
      </c>
      <c r="AK550" s="30">
        <f>VLOOKUP($B550,Pitchers!$A1:$S251,12,FALSE)</f>
        <v>35.233333333333334</v>
      </c>
      <c r="AL550" s="30">
        <f>VLOOKUP($B550,Pitchers!$A1:$S251,13,FALSE)</f>
        <v>8</v>
      </c>
      <c r="AM550" s="30">
        <f>VLOOKUP($B550,Pitchers!$A1:$S251,14,FALSE)</f>
        <v>34.800000000000004</v>
      </c>
      <c r="AN550" s="30">
        <f>VLOOKUP($B550,Pitchers!$A1:$S251,15,FALSE)</f>
        <v>10.066666666666666</v>
      </c>
      <c r="AO550" s="30">
        <f>VLOOKUP($B550,Pitchers!$A1:$S251,16,FALSE)</f>
        <v>4.6000000000000005</v>
      </c>
      <c r="AP550" s="30">
        <f>VLOOKUP($B550,Pitchers!$A1:$S251,17,FALSE)</f>
        <v>1</v>
      </c>
      <c r="AQ550" s="30">
        <f>VLOOKUP($B550,Pitchers!$A1:$S251,18,FALSE)</f>
        <v>1</v>
      </c>
      <c r="AR550" s="30">
        <f>VLOOKUP($B550,Pitchers!$A1:$S251,19,FALSE)</f>
        <v>0</v>
      </c>
    </row>
    <row r="551" spans="1:44" ht="18.600000000000001" customHeight="1">
      <c r="A551" s="24">
        <f ca="1">RANK(I551,I$2:I$651)</f>
        <v>536</v>
      </c>
      <c r="B551" s="25" t="s">
        <v>633</v>
      </c>
      <c r="C551" s="26" t="s">
        <v>85</v>
      </c>
      <c r="D551" s="26" t="s">
        <v>70</v>
      </c>
      <c r="E551" s="41" t="s">
        <v>34</v>
      </c>
      <c r="F551" s="42">
        <f ca="1">VLOOKUP(B551,RP!A1:I91,IF(Settings!$J$13="points",4,7),FALSE)</f>
        <v>86</v>
      </c>
      <c r="G551" s="29">
        <f>(AC551*Settings!$F$2)+(AF551*Settings!$F$5)+(AG551*Settings!$F$6)+(AH551*Settings!$F$7)+(AI551*Settings!$F$8)+(AJ551*Settings!$F$9)+(AK551*Settings!$F$10)+(AL551*Settings!$F$11)+(AM551*Settings!$F$12)+(AN551*Settings!$F$13)+(AO551*Settings!$F$14)+(AP551*Settings!$F$15)+(AQ551*Settings!$F$16)+(AR551*Settings!$F$17)</f>
        <v>155.35866666666666</v>
      </c>
      <c r="H551" s="30">
        <f>VLOOKUP(B551,'Standard Deviations'!$A1:$D651,4,FALSE)</f>
        <v>-2.503068556474803</v>
      </c>
      <c r="I551" s="31">
        <f ca="1">IF(Settings!$J$16="no",VLOOKUP(B551,RP!A1:I91,IF(Settings!$J$13="points",6,9),FALSE),VLOOKUP(B551,'SP+RP'!$A1:$I251,IF(Settings!$J$13="points",6,9),FALSE))</f>
        <v>-4.0741380452913223</v>
      </c>
      <c r="J551" s="30"/>
      <c r="K551" s="30">
        <f ca="1">J551-A551</f>
        <v>-536</v>
      </c>
      <c r="L551" s="30"/>
      <c r="M551" s="30"/>
      <c r="N551" s="30"/>
      <c r="O551" s="30"/>
      <c r="P551" s="30"/>
      <c r="Q551" s="30"/>
      <c r="R551" s="32"/>
      <c r="S551" s="32"/>
      <c r="T551" s="30"/>
      <c r="U551" s="30"/>
      <c r="V551" s="30"/>
      <c r="W551" s="30"/>
      <c r="X551" s="30"/>
      <c r="Y551" s="32"/>
      <c r="Z551" s="32"/>
      <c r="AA551" s="30"/>
      <c r="AB551" s="30"/>
      <c r="AC551" s="30">
        <f>VLOOKUP($B551,Pitchers!$A1:$S251,4,FALSE)</f>
        <v>61.133333333333326</v>
      </c>
      <c r="AD551" s="32">
        <f>VLOOKUP($B551,Pitchers!$A1:$S251,5,FALSE)</f>
        <v>3.9662813522355509</v>
      </c>
      <c r="AE551" s="32">
        <f>VLOOKUP($B551,Pitchers!$A1:$S251,6,FALSE)</f>
        <v>1.2197382769901854</v>
      </c>
      <c r="AF551" s="30">
        <f>VLOOKUP($B551,Pitchers!$A1:$S251,7,FALSE)</f>
        <v>60</v>
      </c>
      <c r="AG551" s="30">
        <f>VLOOKUP($B551,Pitchers!$A1:$S251,8,FALSE)</f>
        <v>3.0666666666666664</v>
      </c>
      <c r="AH551" s="30">
        <f>VLOOKUP($B551,Pitchers!$A1:$S251,9,FALSE)</f>
        <v>5.333333333333333</v>
      </c>
      <c r="AI551" s="30">
        <f>VLOOKUP($B551,Pitchers!$A1:$S251,10,FALSE)</f>
        <v>26.941333333333333</v>
      </c>
      <c r="AJ551" s="30">
        <f>VLOOKUP($B551,Pitchers!$A1:$S251,11,FALSE)</f>
        <v>51.833333333333336</v>
      </c>
      <c r="AK551" s="30">
        <f>VLOOKUP($B551,Pitchers!$A1:$S251,12,FALSE)</f>
        <v>22.733333333333334</v>
      </c>
      <c r="AL551" s="30">
        <f>VLOOKUP($B551,Pitchers!$A1:$S251,13,FALSE)</f>
        <v>8</v>
      </c>
      <c r="AM551" s="30">
        <f>VLOOKUP($B551,Pitchers!$A1:$S251,14,FALSE)</f>
        <v>63.266666666666673</v>
      </c>
      <c r="AN551" s="30">
        <f>VLOOKUP($B551,Pitchers!$A1:$S251,15,FALSE)</f>
        <v>0</v>
      </c>
      <c r="AO551" s="30">
        <f>VLOOKUP($B551,Pitchers!$A1:$S251,16,FALSE)</f>
        <v>3.0666666666666664</v>
      </c>
      <c r="AP551" s="30">
        <f>VLOOKUP($B551,Pitchers!$A1:$S251,17,FALSE)</f>
        <v>0</v>
      </c>
      <c r="AQ551" s="30">
        <f>VLOOKUP($B551,Pitchers!$A1:$S251,18,FALSE)</f>
        <v>18</v>
      </c>
      <c r="AR551" s="30">
        <f>VLOOKUP($B551,Pitchers!$A1:$S251,19,FALSE)</f>
        <v>2</v>
      </c>
    </row>
    <row r="552" spans="1:44" ht="18.600000000000001" customHeight="1">
      <c r="A552" s="24">
        <f ca="1">RANK(I552,I$2:I$651)</f>
        <v>519</v>
      </c>
      <c r="B552" s="25" t="s">
        <v>615</v>
      </c>
      <c r="C552" s="26" t="s">
        <v>64</v>
      </c>
      <c r="D552" s="26" t="s">
        <v>75</v>
      </c>
      <c r="E552" s="27" t="s">
        <v>23</v>
      </c>
      <c r="F552" s="28">
        <f ca="1">VLOOKUP(B552,OF!A1:I139,IF(Settings!$J$13="points",4,7),FALSE)</f>
        <v>119</v>
      </c>
      <c r="G552" s="29">
        <f>(M552*Settings!$B$2)+(N552*Settings!$B$3)+(O552*Settings!$B$4)+(P552*Settings!$B$5)+(Q552*Settings!$B$6)+(T552*Settings!$B$9)+(U552*Settings!$B$10)+(V552*Settings!$B$11)+(W552*Settings!$B$12)+(X552*Settings!$B$13)+(AA552*Settings!$B$16)</f>
        <v>155.16666666666657</v>
      </c>
      <c r="H552" s="30">
        <f>VLOOKUP(B552,'Standard Deviations'!$A1:$D651,4,FALSE)</f>
        <v>-3.6773019006340188</v>
      </c>
      <c r="I552" s="31">
        <f ca="1">VLOOKUP(B552,OF!A1:I139,IF(Settings!$J$13="points",6,9),FALSE)</f>
        <v>-3.7960192416889718</v>
      </c>
      <c r="J552" s="30"/>
      <c r="K552" s="30">
        <f ca="1">J552-A552</f>
        <v>-519</v>
      </c>
      <c r="L552" s="30"/>
      <c r="M552" s="30">
        <f>VLOOKUP($B552,Hitters!$A1:$R401,4,FALSE)</f>
        <v>234</v>
      </c>
      <c r="N552" s="30">
        <f>VLOOKUP($B552,Hitters!$A1:$R401,5,FALSE)</f>
        <v>28.3</v>
      </c>
      <c r="O552" s="30">
        <f>VLOOKUP($B552,Hitters!$A1:$R401,6,FALSE)</f>
        <v>5.2</v>
      </c>
      <c r="P552" s="30">
        <f>VLOOKUP($B552,Hitters!$A1:$R401,7,FALSE)</f>
        <v>23.8333333333333</v>
      </c>
      <c r="Q552" s="30">
        <f>VLOOKUP($B552,Hitters!$A1:$R401,8,FALSE)</f>
        <v>9.6333333333333293</v>
      </c>
      <c r="R552" s="32">
        <f>VLOOKUP($B552,Hitters!$A1:$R401,9,FALSE)</f>
        <v>0.23475783475783499</v>
      </c>
      <c r="S552" s="32">
        <f>VLOOKUP($B552,Hitters!$A1:$R401,10,FALSE)</f>
        <v>0.274876085913766</v>
      </c>
      <c r="T552" s="30">
        <f>VLOOKUP($B552,Hitters!$A1:$R401,11,FALSE)</f>
        <v>54.933333333333302</v>
      </c>
      <c r="U552" s="30">
        <f>VLOOKUP($B552,Hitters!$A1:$R401,12,FALSE)</f>
        <v>12.5</v>
      </c>
      <c r="V552" s="30">
        <f>VLOOKUP($B552,Hitters!$A1:$R401,13,FALSE)</f>
        <v>0.96666666666666701</v>
      </c>
      <c r="W552" s="30">
        <f>VLOOKUP($B552,Hitters!$A1:$R401,14,FALSE)</f>
        <v>13.8333333333333</v>
      </c>
      <c r="X552" s="30">
        <f>VLOOKUP($B552,Hitters!$A1:$R401,15,FALSE)</f>
        <v>67.400000000000006</v>
      </c>
      <c r="Y552" s="32">
        <f>VLOOKUP($B552,Hitters!$A1:$R401,16,FALSE)</f>
        <v>0.363105413105413</v>
      </c>
      <c r="Z552" s="32">
        <f>VLOOKUP($B552,Hitters!$A1:$R401,17,FALSE)</f>
        <v>0.63798149901918</v>
      </c>
      <c r="AA552" s="30">
        <f>VLOOKUP($B552,Hitters!$A1:$R401,18,FALSE)</f>
        <v>0</v>
      </c>
      <c r="AB552" s="30"/>
      <c r="AC552" s="30"/>
      <c r="AD552" s="32"/>
      <c r="AE552" s="32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</row>
    <row r="553" spans="1:44" ht="18.600000000000001" customHeight="1">
      <c r="A553" s="24">
        <f ca="1">RANK(I553,I$2:I$651)</f>
        <v>509</v>
      </c>
      <c r="B553" s="25" t="s">
        <v>606</v>
      </c>
      <c r="C553" s="26" t="s">
        <v>103</v>
      </c>
      <c r="D553" s="26" t="s">
        <v>70</v>
      </c>
      <c r="E553" s="41" t="s">
        <v>34</v>
      </c>
      <c r="F553" s="42">
        <f ca="1">VLOOKUP(B553,RP!A1:I91,IF(Settings!$J$13="points",4,7),FALSE)</f>
        <v>80</v>
      </c>
      <c r="G553" s="29">
        <f>(AC553*Settings!$F$2)+(AF553*Settings!$F$5)+(AG553*Settings!$F$6)+(AH553*Settings!$F$7)+(AI553*Settings!$F$8)+(AJ553*Settings!$F$9)+(AK553*Settings!$F$10)+(AL553*Settings!$F$11)+(AM553*Settings!$F$12)+(AN553*Settings!$F$13)+(AO553*Settings!$F$14)+(AP553*Settings!$F$15)+(AQ553*Settings!$F$16)+(AR553*Settings!$F$17)</f>
        <v>153.53333333333333</v>
      </c>
      <c r="H553" s="30">
        <f>VLOOKUP(B553,'Standard Deviations'!$A1:$D651,4,FALSE)</f>
        <v>-2.1174128574628126</v>
      </c>
      <c r="I553" s="31">
        <f ca="1">IF(Settings!$J$16="no",VLOOKUP(B553,RP!A1:I91,IF(Settings!$J$13="points",6,9),FALSE),VLOOKUP(B553,'SP+RP'!$A1:$I251,IF(Settings!$J$13="points",6,9),FALSE))</f>
        <v>-3.6884831390413204</v>
      </c>
      <c r="J553" s="30"/>
      <c r="K553" s="30">
        <f ca="1">J553-A553</f>
        <v>-509</v>
      </c>
      <c r="L553" s="30"/>
      <c r="M553" s="30"/>
      <c r="N553" s="30"/>
      <c r="O553" s="30"/>
      <c r="P553" s="30"/>
      <c r="Q553" s="30"/>
      <c r="R553" s="32"/>
      <c r="S553" s="32"/>
      <c r="T553" s="30"/>
      <c r="U553" s="30"/>
      <c r="V553" s="30"/>
      <c r="W553" s="30"/>
      <c r="X553" s="30"/>
      <c r="Y553" s="32"/>
      <c r="Z553" s="32"/>
      <c r="AA553" s="30"/>
      <c r="AB553" s="30"/>
      <c r="AC553" s="30">
        <f>VLOOKUP($B553,Pitchers!$A1:$S251,4,FALSE)</f>
        <v>71.666666666666671</v>
      </c>
      <c r="AD553" s="32">
        <f>VLOOKUP($B553,Pitchers!$A1:$S251,5,FALSE)</f>
        <v>3.4786046511627902</v>
      </c>
      <c r="AE553" s="32">
        <f>VLOOKUP($B553,Pitchers!$A1:$S251,6,FALSE)</f>
        <v>1.2716279069767442</v>
      </c>
      <c r="AF553" s="30">
        <f>VLOOKUP($B553,Pitchers!$A1:$S251,7,FALSE)</f>
        <v>76.333333333333329</v>
      </c>
      <c r="AG553" s="30">
        <f>VLOOKUP($B553,Pitchers!$A1:$S251,8,FALSE)</f>
        <v>3.6</v>
      </c>
      <c r="AH553" s="30">
        <f>VLOOKUP($B553,Pitchers!$A1:$S251,9,FALSE)</f>
        <v>1.3333333333333333</v>
      </c>
      <c r="AI553" s="30">
        <f>VLOOKUP($B553,Pitchers!$A1:$S251,10,FALSE)</f>
        <v>27.7</v>
      </c>
      <c r="AJ553" s="30">
        <f>VLOOKUP($B553,Pitchers!$A1:$S251,11,FALSE)</f>
        <v>65.2</v>
      </c>
      <c r="AK553" s="30">
        <f>VLOOKUP($B553,Pitchers!$A1:$S251,12,FALSE)</f>
        <v>25.933333333333334</v>
      </c>
      <c r="AL553" s="30">
        <f>VLOOKUP($B553,Pitchers!$A1:$S251,13,FALSE)</f>
        <v>6</v>
      </c>
      <c r="AM553" s="30">
        <f>VLOOKUP($B553,Pitchers!$A1:$S251,14,FALSE)</f>
        <v>51.933333333333337</v>
      </c>
      <c r="AN553" s="30">
        <f>VLOOKUP($B553,Pitchers!$A1:$S251,15,FALSE)</f>
        <v>2.6666666666666665</v>
      </c>
      <c r="AO553" s="30">
        <f>VLOOKUP($B553,Pitchers!$A1:$S251,16,FALSE)</f>
        <v>3.0666666666666664</v>
      </c>
      <c r="AP553" s="30">
        <f>VLOOKUP($B553,Pitchers!$A1:$S251,17,FALSE)</f>
        <v>0</v>
      </c>
      <c r="AQ553" s="30">
        <f>VLOOKUP($B553,Pitchers!$A1:$S251,18,FALSE)</f>
        <v>8</v>
      </c>
      <c r="AR553" s="30">
        <f>VLOOKUP($B553,Pitchers!$A1:$S251,19,FALSE)</f>
        <v>0</v>
      </c>
    </row>
    <row r="554" spans="1:44" ht="18.600000000000001" customHeight="1">
      <c r="A554" s="24">
        <f ca="1">RANK(I554,I$2:I$651)</f>
        <v>632</v>
      </c>
      <c r="B554" s="25" t="s">
        <v>728</v>
      </c>
      <c r="C554" s="26" t="s">
        <v>105</v>
      </c>
      <c r="D554" s="26" t="s">
        <v>70</v>
      </c>
      <c r="E554" s="39" t="s">
        <v>7</v>
      </c>
      <c r="F554" s="40">
        <f ca="1">VLOOKUP(B554,'1B'!A1:I63,IF(Settings!$J$13="points",4,7),FALSE)</f>
        <v>56</v>
      </c>
      <c r="G554" s="29">
        <f>(M554*Settings!$B$2)+(N554*Settings!$B$3)+(O554*Settings!$B$4)+(P554*Settings!$B$5)+(Q554*Settings!$B$6)+(T554*Settings!$B$9)+(U554*Settings!$B$10)+(V554*Settings!$B$11)+(W554*Settings!$B$12)+(X554*Settings!$B$13)+(AA554*Settings!$B$16)</f>
        <v>153.51666666666671</v>
      </c>
      <c r="H554" s="30">
        <f>VLOOKUP(B554,'Standard Deviations'!$A1:$D651,4,FALSE)</f>
        <v>-4.2126484215313855</v>
      </c>
      <c r="I554" s="31">
        <f ca="1">IF(Settings!$J$15="no",VLOOKUP(B554,'1B'!A1:I63,IF(Settings!$J$13="points",6,9),FALSE),VLOOKUP(B554,'1B+3B'!$A1:$I104,IF(Settings!$J$13="points",6,9),FALSE))</f>
        <v>-6.7921808489818893</v>
      </c>
      <c r="J554" s="30"/>
      <c r="K554" s="30">
        <f ca="1">J554-A554</f>
        <v>-632</v>
      </c>
      <c r="L554" s="30"/>
      <c r="M554" s="30">
        <f>VLOOKUP($B554,Hitters!$A1:$R401,4,FALSE)</f>
        <v>210</v>
      </c>
      <c r="N554" s="30">
        <f>VLOOKUP($B554,Hitters!$A1:$R401,5,FALSE)</f>
        <v>27.2</v>
      </c>
      <c r="O554" s="30">
        <f>VLOOKUP($B554,Hitters!$A1:$R401,6,FALSE)</f>
        <v>10.6</v>
      </c>
      <c r="P554" s="30">
        <f>VLOOKUP($B554,Hitters!$A1:$R401,7,FALSE)</f>
        <v>31.466666666666701</v>
      </c>
      <c r="Q554" s="30">
        <f>VLOOKUP($B554,Hitters!$A1:$R401,8,FALSE)</f>
        <v>1.7333333333333301</v>
      </c>
      <c r="R554" s="32">
        <f>VLOOKUP($B554,Hitters!$A1:$R401,9,FALSE)</f>
        <v>0.22809523809523799</v>
      </c>
      <c r="S554" s="32">
        <f>VLOOKUP($B554,Hitters!$A1:$R401,10,FALSE)</f>
        <v>0.28567285382830598</v>
      </c>
      <c r="T554" s="30">
        <f>VLOOKUP($B554,Hitters!$A1:$R401,11,FALSE)</f>
        <v>47.9</v>
      </c>
      <c r="U554" s="30">
        <f>VLOOKUP($B554,Hitters!$A1:$R401,12,FALSE)</f>
        <v>8.43333333333333</v>
      </c>
      <c r="V554" s="30">
        <f>VLOOKUP($B554,Hitters!$A1:$R401,13,FALSE)</f>
        <v>1.7</v>
      </c>
      <c r="W554" s="30">
        <f>VLOOKUP($B554,Hitters!$A1:$R401,14,FALSE)</f>
        <v>17.766666666666701</v>
      </c>
      <c r="X554" s="30">
        <f>VLOOKUP($B554,Hitters!$A1:$R401,15,FALSE)</f>
        <v>77.3</v>
      </c>
      <c r="Y554" s="32">
        <f>VLOOKUP($B554,Hitters!$A1:$R401,16,FALSE)</f>
        <v>0.43587301587301602</v>
      </c>
      <c r="Z554" s="32">
        <f>VLOOKUP($B554,Hitters!$A1:$R401,17,FALSE)</f>
        <v>0.72154586970132195</v>
      </c>
      <c r="AA554" s="30">
        <f>VLOOKUP($B554,Hitters!$A1:$R401,18,FALSE)</f>
        <v>0</v>
      </c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</row>
    <row r="555" spans="1:44" ht="18.600000000000001" customHeight="1">
      <c r="A555" s="24">
        <f ca="1">RANK(I555,I$2:I$651)</f>
        <v>627</v>
      </c>
      <c r="B555" s="25" t="s">
        <v>723</v>
      </c>
      <c r="C555" s="26" t="s">
        <v>260</v>
      </c>
      <c r="D555" s="26" t="s">
        <v>70</v>
      </c>
      <c r="E555" s="47" t="s">
        <v>11</v>
      </c>
      <c r="F555" s="48">
        <f ca="1">VLOOKUP(B555,'2B'!A1:I50,IF(Settings!$J$13="points",4,7),FALSE)</f>
        <v>45</v>
      </c>
      <c r="G555" s="29">
        <f>(M555*Settings!$B$2)+(N555*Settings!$B$3)+(O555*Settings!$B$4)+(P555*Settings!$B$5)+(Q555*Settings!$B$6)+(T555*Settings!$B$9)+(U555*Settings!$B$10)+(V555*Settings!$B$11)+(W555*Settings!$B$12)+(X555*Settings!$B$13)+(AA555*Settings!$B$16)</f>
        <v>152.9333333333332</v>
      </c>
      <c r="H555" s="30">
        <f>VLOOKUP(B555,'Standard Deviations'!$A1:$D651,4,FALSE)</f>
        <v>-4.2981131899134386</v>
      </c>
      <c r="I555" s="31">
        <f ca="1">IF(Settings!$J$16="no",VLOOKUP(B555,'2B'!A1:I50,IF(Settings!$J$13="points",6,9),FALSE),VLOOKUP(B555,'2B+SS'!$A1:$I94,IF(Settings!$J$13="points",6,9),FALSE))</f>
        <v>-6.605849181989969</v>
      </c>
      <c r="J555" s="30"/>
      <c r="K555" s="30">
        <f ca="1">J555-A555</f>
        <v>-627</v>
      </c>
      <c r="L555" s="30"/>
      <c r="M555" s="30">
        <f>VLOOKUP($B555,Hitters!$A1:$R401,4,FALSE)</f>
        <v>246.333333333333</v>
      </c>
      <c r="N555" s="30">
        <f>VLOOKUP($B555,Hitters!$A1:$R401,5,FALSE)</f>
        <v>30.733333333333299</v>
      </c>
      <c r="O555" s="30">
        <f>VLOOKUP($B555,Hitters!$A1:$R401,6,FALSE)</f>
        <v>3.5333333333333301</v>
      </c>
      <c r="P555" s="30">
        <f>VLOOKUP($B555,Hitters!$A1:$R401,7,FALSE)</f>
        <v>20.5</v>
      </c>
      <c r="Q555" s="30">
        <f>VLOOKUP($B555,Hitters!$A1:$R401,8,FALSE)</f>
        <v>3.1</v>
      </c>
      <c r="R555" s="32">
        <f>VLOOKUP($B555,Hitters!$A1:$R401,9,FALSE)</f>
        <v>0.24736129905277399</v>
      </c>
      <c r="S555" s="32">
        <f>VLOOKUP($B555,Hitters!$A1:$R401,10,FALSE)</f>
        <v>0.30505924857273198</v>
      </c>
      <c r="T555" s="30">
        <f>VLOOKUP($B555,Hitters!$A1:$R401,11,FALSE)</f>
        <v>60.933333333333302</v>
      </c>
      <c r="U555" s="30">
        <f>VLOOKUP($B555,Hitters!$A1:$R401,12,FALSE)</f>
        <v>11.1</v>
      </c>
      <c r="V555" s="30">
        <f>VLOOKUP($B555,Hitters!$A1:$R401,13,FALSE)</f>
        <v>1.4</v>
      </c>
      <c r="W555" s="30">
        <f>VLOOKUP($B555,Hitters!$A1:$R401,14,FALSE)</f>
        <v>21.533333333333299</v>
      </c>
      <c r="X555" s="30">
        <f>VLOOKUP($B555,Hitters!$A1:$R401,15,FALSE)</f>
        <v>55</v>
      </c>
      <c r="Y555" s="32">
        <f>VLOOKUP($B555,Hitters!$A1:$R401,16,FALSE)</f>
        <v>0.34682002706359899</v>
      </c>
      <c r="Z555" s="32">
        <f>VLOOKUP($B555,Hitters!$A1:$R401,17,FALSE)</f>
        <v>0.65187927563633197</v>
      </c>
      <c r="AA555" s="30">
        <f>VLOOKUP($B555,Hitters!$A1:$R401,18,FALSE)</f>
        <v>0</v>
      </c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</row>
    <row r="556" spans="1:44" ht="18.600000000000001" customHeight="1">
      <c r="A556" s="24">
        <f ca="1">RANK(I556,I$2:I$651)</f>
        <v>554</v>
      </c>
      <c r="B556" s="25" t="s">
        <v>651</v>
      </c>
      <c r="C556" s="26" t="s">
        <v>77</v>
      </c>
      <c r="D556" s="26" t="s">
        <v>70</v>
      </c>
      <c r="E556" s="45" t="s">
        <v>19</v>
      </c>
      <c r="F556" s="46">
        <f ca="1">VLOOKUP(B556,'C'!A1:I54,IF(Settings!$J$13="points",4,7),FALSE)</f>
        <v>40</v>
      </c>
      <c r="G556" s="29">
        <f>(M556*Settings!$B$2)+(N556*Settings!$B$3)+(O556*Settings!$B$4)+(P556*Settings!$B$5)+(Q556*Settings!$B$6)+(T556*Settings!$B$9)+(U556*Settings!$B$10)+(V556*Settings!$B$11)+(W556*Settings!$B$12)+(X556*Settings!$B$13)+(AA556*Settings!$B$16)</f>
        <v>150.90000000000006</v>
      </c>
      <c r="H556" s="30">
        <f>VLOOKUP(B556,'Standard Deviations'!$A1:$D651,4,FALSE)</f>
        <v>-4.6727361278490713</v>
      </c>
      <c r="I556" s="31">
        <f ca="1">VLOOKUP(B556,'C'!A1:I54,IF(Settings!$J$13="points",6,9),FALSE)</f>
        <v>-4.3556382268853042</v>
      </c>
      <c r="J556" s="30"/>
      <c r="K556" s="30">
        <f ca="1">J556-A556</f>
        <v>-554</v>
      </c>
      <c r="L556" s="30"/>
      <c r="M556" s="30">
        <f>VLOOKUP($B556,Hitters!$A1:$R401,4,FALSE)</f>
        <v>208.666666666667</v>
      </c>
      <c r="N556" s="30">
        <f>VLOOKUP($B556,Hitters!$A1:$R401,5,FALSE)</f>
        <v>25.866666666666699</v>
      </c>
      <c r="O556" s="30">
        <f>VLOOKUP($B556,Hitters!$A1:$R401,6,FALSE)</f>
        <v>7.4</v>
      </c>
      <c r="P556" s="30">
        <f>VLOOKUP($B556,Hitters!$A1:$R401,7,FALSE)</f>
        <v>25.933333333333302</v>
      </c>
      <c r="Q556" s="30">
        <f>VLOOKUP($B556,Hitters!$A1:$R401,8,FALSE)</f>
        <v>3.3333333333333299</v>
      </c>
      <c r="R556" s="32">
        <f>VLOOKUP($B556,Hitters!$A1:$R401,9,FALSE)</f>
        <v>0.22843450479233199</v>
      </c>
      <c r="S556" s="32">
        <f>VLOOKUP($B556,Hitters!$A1:$R401,10,FALSE)</f>
        <v>0.30370307118663398</v>
      </c>
      <c r="T556" s="30">
        <f>VLOOKUP($B556,Hitters!$A1:$R401,11,FALSE)</f>
        <v>47.6666666666667</v>
      </c>
      <c r="U556" s="30">
        <f>VLOOKUP($B556,Hitters!$A1:$R401,12,FALSE)</f>
        <v>9.5</v>
      </c>
      <c r="V556" s="30">
        <f>VLOOKUP($B556,Hitters!$A1:$R401,13,FALSE)</f>
        <v>0.96666666666666701</v>
      </c>
      <c r="W556" s="30">
        <f>VLOOKUP($B556,Hitters!$A1:$R401,14,FALSE)</f>
        <v>23.466666666666701</v>
      </c>
      <c r="X556" s="30">
        <f>VLOOKUP($B556,Hitters!$A1:$R401,15,FALSE)</f>
        <v>60.4</v>
      </c>
      <c r="Y556" s="32">
        <f>VLOOKUP($B556,Hitters!$A1:$R401,16,FALSE)</f>
        <v>0.38961661341852999</v>
      </c>
      <c r="Z556" s="32">
        <f>VLOOKUP($B556,Hitters!$A1:$R401,17,FALSE)</f>
        <v>0.69331968460516402</v>
      </c>
      <c r="AA556" s="30">
        <f>VLOOKUP($B556,Hitters!$A1:$R401,18,FALSE)</f>
        <v>0</v>
      </c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</row>
    <row r="557" spans="1:44" ht="18.600000000000001" customHeight="1">
      <c r="A557" s="24">
        <f ca="1">RANK(I557,I$2:I$651)</f>
        <v>500</v>
      </c>
      <c r="B557" s="25" t="s">
        <v>596</v>
      </c>
      <c r="C557" s="26" t="s">
        <v>139</v>
      </c>
      <c r="D557" s="26" t="s">
        <v>75</v>
      </c>
      <c r="E557" s="45" t="s">
        <v>19</v>
      </c>
      <c r="F557" s="46">
        <f ca="1">VLOOKUP(B557,'C'!A1:I54,IF(Settings!$J$13="points",4,7),FALSE)</f>
        <v>31</v>
      </c>
      <c r="G557" s="29">
        <f>(M557*Settings!$B$2)+(N557*Settings!$B$3)+(O557*Settings!$B$4)+(P557*Settings!$B$5)+(Q557*Settings!$B$6)+(T557*Settings!$B$9)+(U557*Settings!$B$10)+(V557*Settings!$B$11)+(W557*Settings!$B$12)+(X557*Settings!$B$13)+(AA557*Settings!$B$16)</f>
        <v>149.70000000000002</v>
      </c>
      <c r="H557" s="30">
        <f>VLOOKUP(B557,'Standard Deviations'!$A1:$D651,4,FALSE)</f>
        <v>-3.8690135696359813</v>
      </c>
      <c r="I557" s="31">
        <f ca="1">VLOOKUP(B557,'C'!A1:I54,IF(Settings!$J$13="points",6,9),FALSE)</f>
        <v>-3.5519219413503125</v>
      </c>
      <c r="J557" s="30"/>
      <c r="K557" s="30">
        <f ca="1">J557-A557</f>
        <v>-500</v>
      </c>
      <c r="L557" s="30"/>
      <c r="M557" s="30">
        <f>VLOOKUP($B557,Hitters!$A1:$R401,4,FALSE)</f>
        <v>193.5</v>
      </c>
      <c r="N557" s="30">
        <f>VLOOKUP($B557,Hitters!$A1:$R401,5,FALSE)</f>
        <v>24.8</v>
      </c>
      <c r="O557" s="30">
        <f>VLOOKUP($B557,Hitters!$A1:$R401,6,FALSE)</f>
        <v>7</v>
      </c>
      <c r="P557" s="30">
        <f>VLOOKUP($B557,Hitters!$A1:$R401,7,FALSE)</f>
        <v>24.75</v>
      </c>
      <c r="Q557" s="30">
        <f>VLOOKUP($B557,Hitters!$A1:$R401,8,FALSE)</f>
        <v>1.4</v>
      </c>
      <c r="R557" s="32">
        <f>VLOOKUP($B557,Hitters!$A1:$R401,9,FALSE)</f>
        <v>0.25400516795865602</v>
      </c>
      <c r="S557" s="32">
        <f>VLOOKUP($B557,Hitters!$A1:$R401,10,FALSE)</f>
        <v>0.31009031527813802</v>
      </c>
      <c r="T557" s="30">
        <f>VLOOKUP($B557,Hitters!$A1:$R401,11,FALSE)</f>
        <v>49.15</v>
      </c>
      <c r="U557" s="30">
        <f>VLOOKUP($B557,Hitters!$A1:$R401,12,FALSE)</f>
        <v>11.75</v>
      </c>
      <c r="V557" s="30">
        <f>VLOOKUP($B557,Hitters!$A1:$R401,13,FALSE)</f>
        <v>0.85</v>
      </c>
      <c r="W557" s="30">
        <f>VLOOKUP($B557,Hitters!$A1:$R401,14,FALSE)</f>
        <v>16.600000000000001</v>
      </c>
      <c r="X557" s="30">
        <f>VLOOKUP($B557,Hitters!$A1:$R401,15,FALSE)</f>
        <v>44.9</v>
      </c>
      <c r="Y557" s="32">
        <f>VLOOKUP($B557,Hitters!$A1:$R401,16,FALSE)</f>
        <v>0.43204134366925101</v>
      </c>
      <c r="Z557" s="32">
        <f>VLOOKUP($B557,Hitters!$A1:$R401,17,FALSE)</f>
        <v>0.74213165894738897</v>
      </c>
      <c r="AA557" s="30">
        <f>VLOOKUP($B557,Hitters!$A1:$R401,18,FALSE)</f>
        <v>0</v>
      </c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</row>
    <row r="558" spans="1:44" ht="18.600000000000001" customHeight="1">
      <c r="A558" s="24">
        <f ca="1">RANK(I558,I$2:I$651)</f>
        <v>439</v>
      </c>
      <c r="B558" s="25" t="s">
        <v>535</v>
      </c>
      <c r="C558" s="26" t="s">
        <v>87</v>
      </c>
      <c r="D558" s="26" t="s">
        <v>70</v>
      </c>
      <c r="E558" s="41" t="s">
        <v>34</v>
      </c>
      <c r="F558" s="42">
        <f ca="1">VLOOKUP(B558,RP!A1:I91,IF(Settings!$J$13="points",4,7),FALSE)</f>
        <v>56</v>
      </c>
      <c r="G558" s="29">
        <f>(AC558*Settings!$F$2)+(AF558*Settings!$F$5)+(AG558*Settings!$F$6)+(AH558*Settings!$F$7)+(AI558*Settings!$F$8)+(AJ558*Settings!$F$9)+(AK558*Settings!$F$10)+(AL558*Settings!$F$11)+(AM558*Settings!$F$12)+(AN558*Settings!$F$13)+(AO558*Settings!$F$14)+(AP558*Settings!$F$15)+(AQ558*Settings!$F$16)+(AR558*Settings!$F$17)</f>
        <v>149.08333333333334</v>
      </c>
      <c r="H558" s="30">
        <f>VLOOKUP(B558,'Standard Deviations'!$A1:$D651,4,FALSE)</f>
        <v>-1.3046322182903911</v>
      </c>
      <c r="I558" s="31">
        <f ca="1">IF(Settings!$J$16="no",VLOOKUP(B558,RP!A1:I91,IF(Settings!$J$13="points",6,9),FALSE),VLOOKUP(B558,'SP+RP'!$A1:$I251,IF(Settings!$J$13="points",6,9),FALSE))</f>
        <v>-2.8757019060671452</v>
      </c>
      <c r="J558" s="30"/>
      <c r="K558" s="30">
        <f ca="1">J558-A558</f>
        <v>-439</v>
      </c>
      <c r="L558" s="30"/>
      <c r="M558" s="30"/>
      <c r="N558" s="30"/>
      <c r="O558" s="30"/>
      <c r="P558" s="30"/>
      <c r="Q558" s="30"/>
      <c r="R558" s="32"/>
      <c r="S558" s="32"/>
      <c r="T558" s="30"/>
      <c r="U558" s="30"/>
      <c r="V558" s="30"/>
      <c r="W558" s="30"/>
      <c r="X558" s="30"/>
      <c r="Y558" s="32"/>
      <c r="Z558" s="32"/>
      <c r="AA558" s="30"/>
      <c r="AB558" s="30"/>
      <c r="AC558" s="30">
        <f>VLOOKUP($B558,Pitchers!$A1:$S251,4,FALSE)</f>
        <v>69</v>
      </c>
      <c r="AD558" s="32">
        <f>VLOOKUP($B558,Pitchers!$A1:$S251,5,FALSE)</f>
        <v>3.4434782608695658</v>
      </c>
      <c r="AE558" s="32">
        <f>VLOOKUP($B558,Pitchers!$A1:$S251,6,FALSE)</f>
        <v>1.1971014492753622</v>
      </c>
      <c r="AF558" s="30">
        <f>VLOOKUP($B558,Pitchers!$A1:$S251,7,FALSE)</f>
        <v>71.233333333333334</v>
      </c>
      <c r="AG558" s="30">
        <f>VLOOKUP($B558,Pitchers!$A1:$S251,8,FALSE)</f>
        <v>4.2333333333333334</v>
      </c>
      <c r="AH558" s="30">
        <f>VLOOKUP($B558,Pitchers!$A1:$S251,9,FALSE)</f>
        <v>0.66666666666666663</v>
      </c>
      <c r="AI558" s="30">
        <f>VLOOKUP($B558,Pitchers!$A1:$S251,10,FALSE)</f>
        <v>26.400000000000002</v>
      </c>
      <c r="AJ558" s="30">
        <f>VLOOKUP($B558,Pitchers!$A1:$S251,11,FALSE)</f>
        <v>59.699999999999996</v>
      </c>
      <c r="AK558" s="30">
        <f>VLOOKUP($B558,Pitchers!$A1:$S251,12,FALSE)</f>
        <v>22.900000000000002</v>
      </c>
      <c r="AL558" s="30">
        <f>VLOOKUP($B558,Pitchers!$A1:$S251,13,FALSE)</f>
        <v>8</v>
      </c>
      <c r="AM558" s="30">
        <f>VLOOKUP($B558,Pitchers!$A1:$S251,14,FALSE)</f>
        <v>51.6</v>
      </c>
      <c r="AN558" s="30">
        <f>VLOOKUP($B558,Pitchers!$A1:$S251,15,FALSE)</f>
        <v>1.6666666666666667</v>
      </c>
      <c r="AO558" s="30">
        <f>VLOOKUP($B558,Pitchers!$A1:$S251,16,FALSE)</f>
        <v>3.7666666666666671</v>
      </c>
      <c r="AP558" s="30">
        <f>VLOOKUP($B558,Pitchers!$A1:$S251,17,FALSE)</f>
        <v>0</v>
      </c>
      <c r="AQ558" s="30">
        <f>VLOOKUP($B558,Pitchers!$A1:$S251,18,FALSE)</f>
        <v>12</v>
      </c>
      <c r="AR558" s="30">
        <f>VLOOKUP($B558,Pitchers!$A1:$S251,19,FALSE)</f>
        <v>0</v>
      </c>
    </row>
    <row r="559" spans="1:44" ht="18.600000000000001" customHeight="1">
      <c r="A559" s="24">
        <f ca="1">RANK(I559,I$2:I$651)</f>
        <v>576</v>
      </c>
      <c r="B559" s="25" t="s">
        <v>672</v>
      </c>
      <c r="C559" s="26" t="s">
        <v>160</v>
      </c>
      <c r="D559" s="26" t="s">
        <v>75</v>
      </c>
      <c r="E559" s="27" t="s">
        <v>23</v>
      </c>
      <c r="F559" s="28">
        <f ca="1">VLOOKUP(B559,OF!A1:I139,IF(Settings!$J$13="points",4,7),FALSE)</f>
        <v>127</v>
      </c>
      <c r="G559" s="29">
        <f>(M559*Settings!$B$2)+(N559*Settings!$B$3)+(O559*Settings!$B$4)+(P559*Settings!$B$5)+(Q559*Settings!$B$6)+(T559*Settings!$B$9)+(U559*Settings!$B$10)+(V559*Settings!$B$11)+(W559*Settings!$B$12)+(X559*Settings!$B$13)+(AA559*Settings!$B$16)</f>
        <v>148.31666666666666</v>
      </c>
      <c r="H559" s="30">
        <f>VLOOKUP(B559,'Standard Deviations'!$A1:$D651,4,FALSE)</f>
        <v>-4.685159241106704</v>
      </c>
      <c r="I559" s="31">
        <f ca="1">VLOOKUP(B559,OF!A1:I139,IF(Settings!$J$13="points",6,9),FALSE)</f>
        <v>-4.8038790456428142</v>
      </c>
      <c r="J559" s="30"/>
      <c r="K559" s="30">
        <f ca="1">J559-A559</f>
        <v>-576</v>
      </c>
      <c r="L559" s="30"/>
      <c r="M559" s="30">
        <f>VLOOKUP($B559,Hitters!$A1:$R401,4,FALSE)</f>
        <v>211.333333333333</v>
      </c>
      <c r="N559" s="30">
        <f>VLOOKUP($B559,Hitters!$A1:$R401,5,FALSE)</f>
        <v>25</v>
      </c>
      <c r="O559" s="30">
        <f>VLOOKUP($B559,Hitters!$A1:$R401,6,FALSE)</f>
        <v>7.93333333333333</v>
      </c>
      <c r="P559" s="30">
        <f>VLOOKUP($B559,Hitters!$A1:$R401,7,FALSE)</f>
        <v>27.966666666666701</v>
      </c>
      <c r="Q559" s="30">
        <f>VLOOKUP($B559,Hitters!$A1:$R401,8,FALSE)</f>
        <v>5.8333333333333304</v>
      </c>
      <c r="R559" s="32">
        <f>VLOOKUP($B559,Hitters!$A1:$R401,9,FALSE)</f>
        <v>0.21798107255520499</v>
      </c>
      <c r="S559" s="32">
        <f>VLOOKUP($B559,Hitters!$A1:$R401,10,FALSE)</f>
        <v>0.28156923341059298</v>
      </c>
      <c r="T559" s="30">
        <f>VLOOKUP($B559,Hitters!$A1:$R401,11,FALSE)</f>
        <v>46.066666666666698</v>
      </c>
      <c r="U559" s="30">
        <f>VLOOKUP($B559,Hitters!$A1:$R401,12,FALSE)</f>
        <v>8.5</v>
      </c>
      <c r="V559" s="30">
        <f>VLOOKUP($B559,Hitters!$A1:$R401,13,FALSE)</f>
        <v>2.1666666666666701</v>
      </c>
      <c r="W559" s="30">
        <f>VLOOKUP($B559,Hitters!$A1:$R401,14,FALSE)</f>
        <v>19.533333333333299</v>
      </c>
      <c r="X559" s="30">
        <f>VLOOKUP($B559,Hitters!$A1:$R401,15,FALSE)</f>
        <v>74.3</v>
      </c>
      <c r="Y559" s="32">
        <f>VLOOKUP($B559,Hitters!$A1:$R401,16,FALSE)</f>
        <v>0.39132492113564699</v>
      </c>
      <c r="Z559" s="32">
        <f>VLOOKUP($B559,Hitters!$A1:$R401,17,FALSE)</f>
        <v>0.67289415454624002</v>
      </c>
      <c r="AA559" s="30">
        <f>VLOOKUP($B559,Hitters!$A1:$R401,18,FALSE)</f>
        <v>0</v>
      </c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</row>
    <row r="560" spans="1:44" ht="18.600000000000001" customHeight="1">
      <c r="A560" s="24">
        <f ca="1">RANK(I560,I$2:I$651)</f>
        <v>480</v>
      </c>
      <c r="B560" s="25" t="s">
        <v>576</v>
      </c>
      <c r="C560" s="26" t="s">
        <v>92</v>
      </c>
      <c r="D560" s="26" t="s">
        <v>75</v>
      </c>
      <c r="E560" s="41" t="s">
        <v>34</v>
      </c>
      <c r="F560" s="42">
        <f ca="1">VLOOKUP(B560,RP!A1:I91,IF(Settings!$J$13="points",4,7),FALSE)</f>
        <v>67</v>
      </c>
      <c r="G560" s="29">
        <f>(AC560*Settings!$F$2)+(AF560*Settings!$F$5)+(AG560*Settings!$F$6)+(AH560*Settings!$F$7)+(AI560*Settings!$F$8)+(AJ560*Settings!$F$9)+(AK560*Settings!$F$10)+(AL560*Settings!$F$11)+(AM560*Settings!$F$12)+(AN560*Settings!$F$13)+(AO560*Settings!$F$14)+(AP560*Settings!$F$15)+(AQ560*Settings!$F$16)+(AR560*Settings!$F$17)</f>
        <v>148.20000000000002</v>
      </c>
      <c r="H560" s="30">
        <f>VLOOKUP(B560,'Standard Deviations'!$A1:$D651,4,FALSE)</f>
        <v>-1.8317693800845289</v>
      </c>
      <c r="I560" s="31">
        <f ca="1">IF(Settings!$J$16="no",VLOOKUP(B560,RP!A1:I91,IF(Settings!$J$13="points",6,9),FALSE),VLOOKUP(B560,'SP+RP'!$A1:$I251,IF(Settings!$J$13="points",6,9),FALSE))</f>
        <v>-3.4028386008683791</v>
      </c>
      <c r="J560" s="30"/>
      <c r="K560" s="30">
        <f ca="1">J560-A560</f>
        <v>-480</v>
      </c>
      <c r="L560" s="30"/>
      <c r="M560" s="30"/>
      <c r="N560" s="30"/>
      <c r="O560" s="30"/>
      <c r="P560" s="30"/>
      <c r="Q560" s="30"/>
      <c r="R560" s="32"/>
      <c r="S560" s="32"/>
      <c r="T560" s="30"/>
      <c r="U560" s="30"/>
      <c r="V560" s="30"/>
      <c r="W560" s="30"/>
      <c r="X560" s="30"/>
      <c r="Y560" s="32"/>
      <c r="Z560" s="32"/>
      <c r="AA560" s="30"/>
      <c r="AB560" s="30"/>
      <c r="AC560" s="30">
        <f>VLOOKUP($B560,Pitchers!$A1:$S251,4,FALSE)</f>
        <v>54.333333333333336</v>
      </c>
      <c r="AD560" s="32">
        <f>VLOOKUP($B560,Pitchers!$A1:$S251,5,FALSE)</f>
        <v>3.301840490797546</v>
      </c>
      <c r="AE560" s="32">
        <f>VLOOKUP($B560,Pitchers!$A1:$S251,6,FALSE)</f>
        <v>1.3079754601226992</v>
      </c>
      <c r="AF560" s="30">
        <f>VLOOKUP($B560,Pitchers!$A1:$S251,7,FALSE)</f>
        <v>75.666666666666671</v>
      </c>
      <c r="AG560" s="30">
        <f>VLOOKUP($B560,Pitchers!$A1:$S251,8,FALSE)</f>
        <v>4.1000000000000005</v>
      </c>
      <c r="AH560" s="30">
        <f>VLOOKUP($B560,Pitchers!$A1:$S251,9,FALSE)</f>
        <v>2.6666666666666665</v>
      </c>
      <c r="AI560" s="30">
        <f>VLOOKUP($B560,Pitchers!$A1:$S251,10,FALSE)</f>
        <v>19.933333333333334</v>
      </c>
      <c r="AJ560" s="30">
        <f>VLOOKUP($B560,Pitchers!$A1:$S251,11,FALSE)</f>
        <v>41.366666666666667</v>
      </c>
      <c r="AK560" s="30">
        <f>VLOOKUP($B560,Pitchers!$A1:$S251,12,FALSE)</f>
        <v>29.7</v>
      </c>
      <c r="AL560" s="30">
        <f>VLOOKUP($B560,Pitchers!$A1:$S251,13,FALSE)</f>
        <v>5</v>
      </c>
      <c r="AM560" s="30">
        <f>VLOOKUP($B560,Pitchers!$A1:$S251,14,FALSE)</f>
        <v>59.933333333333337</v>
      </c>
      <c r="AN560" s="30">
        <f>VLOOKUP($B560,Pitchers!$A1:$S251,15,FALSE)</f>
        <v>0</v>
      </c>
      <c r="AO560" s="30">
        <f>VLOOKUP($B560,Pitchers!$A1:$S251,16,FALSE)</f>
        <v>1.8</v>
      </c>
      <c r="AP560" s="30">
        <f>VLOOKUP($B560,Pitchers!$A1:$S251,17,FALSE)</f>
        <v>0</v>
      </c>
      <c r="AQ560" s="30">
        <f>VLOOKUP($B560,Pitchers!$A1:$S251,18,FALSE)</f>
        <v>18</v>
      </c>
      <c r="AR560" s="30">
        <f>VLOOKUP($B560,Pitchers!$A1:$S251,19,FALSE)</f>
        <v>1</v>
      </c>
    </row>
    <row r="561" spans="1:44" ht="18.600000000000001" customHeight="1">
      <c r="A561" s="24">
        <f ca="1">RANK(I561,I$2:I$651)</f>
        <v>566</v>
      </c>
      <c r="B561" s="25" t="s">
        <v>663</v>
      </c>
      <c r="C561" s="26" t="s">
        <v>158</v>
      </c>
      <c r="D561" s="26" t="s">
        <v>70</v>
      </c>
      <c r="E561" s="41" t="s">
        <v>34</v>
      </c>
      <c r="F561" s="42">
        <f ca="1">VLOOKUP(B561,RP!A1:I91,IF(Settings!$J$13="points",4,7),FALSE)</f>
        <v>89</v>
      </c>
      <c r="G561" s="29">
        <f>(AC561*Settings!$F$2)+(AF561*Settings!$F$5)+(AG561*Settings!$F$6)+(AH561*Settings!$F$7)+(AI561*Settings!$F$8)+(AJ561*Settings!$F$9)+(AK561*Settings!$F$10)+(AL561*Settings!$F$11)+(AM561*Settings!$F$12)+(AN561*Settings!$F$13)+(AO561*Settings!$F$14)+(AP561*Settings!$F$15)+(AQ561*Settings!$F$16)+(AR561*Settings!$F$17)</f>
        <v>147.83333333333334</v>
      </c>
      <c r="H561" s="30">
        <f>VLOOKUP(B561,'Standard Deviations'!$A1:$D651,4,FALSE)</f>
        <v>-3.0716632006596778</v>
      </c>
      <c r="I561" s="31">
        <f ca="1">IF(Settings!$J$16="no",VLOOKUP(B561,RP!A1:I91,IF(Settings!$J$13="points",6,9),FALSE),VLOOKUP(B561,'SP+RP'!$A1:$I251,IF(Settings!$J$13="points",6,9),FALSE))</f>
        <v>-4.6427328388416766</v>
      </c>
      <c r="J561" s="30"/>
      <c r="K561" s="30">
        <f ca="1">J561-A561</f>
        <v>-566</v>
      </c>
      <c r="L561" s="30"/>
      <c r="M561" s="30"/>
      <c r="N561" s="30"/>
      <c r="O561" s="30"/>
      <c r="P561" s="30"/>
      <c r="Q561" s="30"/>
      <c r="R561" s="32"/>
      <c r="S561" s="32"/>
      <c r="T561" s="30"/>
      <c r="U561" s="30"/>
      <c r="V561" s="30"/>
      <c r="W561" s="30"/>
      <c r="X561" s="30"/>
      <c r="Y561" s="32"/>
      <c r="Z561" s="32"/>
      <c r="AA561" s="30"/>
      <c r="AB561" s="30"/>
      <c r="AC561" s="30">
        <f>VLOOKUP($B561,Pitchers!$A1:$S251,4,FALSE)</f>
        <v>65</v>
      </c>
      <c r="AD561" s="32">
        <f>VLOOKUP($B561,Pitchers!$A1:$S251,5,FALSE)</f>
        <v>4.1815384615384614</v>
      </c>
      <c r="AE561" s="32">
        <f>VLOOKUP($B561,Pitchers!$A1:$S251,6,FALSE)</f>
        <v>1.2420512820512819</v>
      </c>
      <c r="AF561" s="30">
        <f>VLOOKUP($B561,Pitchers!$A1:$S251,7,FALSE)</f>
        <v>76.2</v>
      </c>
      <c r="AG561" s="30">
        <f>VLOOKUP($B561,Pitchers!$A1:$S251,8,FALSE)</f>
        <v>3.1666666666666665</v>
      </c>
      <c r="AH561" s="30">
        <f>VLOOKUP($B561,Pitchers!$A1:$S251,9,FALSE)</f>
        <v>3</v>
      </c>
      <c r="AI561" s="30">
        <f>VLOOKUP($B561,Pitchers!$A1:$S251,10,FALSE)</f>
        <v>30.2</v>
      </c>
      <c r="AJ561" s="30">
        <f>VLOOKUP($B561,Pitchers!$A1:$S251,11,FALSE)</f>
        <v>57.733333333333327</v>
      </c>
      <c r="AK561" s="30">
        <f>VLOOKUP($B561,Pitchers!$A1:$S251,12,FALSE)</f>
        <v>23</v>
      </c>
      <c r="AL561" s="30">
        <f>VLOOKUP($B561,Pitchers!$A1:$S251,13,FALSE)</f>
        <v>9</v>
      </c>
      <c r="AM561" s="30">
        <f>VLOOKUP($B561,Pitchers!$A1:$S251,14,FALSE)</f>
        <v>62.6</v>
      </c>
      <c r="AN561" s="30">
        <f>VLOOKUP($B561,Pitchers!$A1:$S251,15,FALSE)</f>
        <v>0</v>
      </c>
      <c r="AO561" s="30">
        <f>VLOOKUP($B561,Pitchers!$A1:$S251,16,FALSE)</f>
        <v>3.5</v>
      </c>
      <c r="AP561" s="30">
        <f>VLOOKUP($B561,Pitchers!$A1:$S251,17,FALSE)</f>
        <v>0</v>
      </c>
      <c r="AQ561" s="30">
        <f>VLOOKUP($B561,Pitchers!$A1:$S251,18,FALSE)</f>
        <v>14</v>
      </c>
      <c r="AR561" s="30">
        <f>VLOOKUP($B561,Pitchers!$A1:$S251,19,FALSE)</f>
        <v>1</v>
      </c>
    </row>
    <row r="562" spans="1:44" ht="18.600000000000001" customHeight="1">
      <c r="A562" s="24">
        <f ca="1">RANK(I562,I$2:I$651)</f>
        <v>624</v>
      </c>
      <c r="B562" s="25" t="s">
        <v>720</v>
      </c>
      <c r="C562" s="26" t="s">
        <v>116</v>
      </c>
      <c r="D562" s="26" t="s">
        <v>70</v>
      </c>
      <c r="E562" s="47" t="s">
        <v>11</v>
      </c>
      <c r="F562" s="48">
        <f ca="1">VLOOKUP(B562,'2B'!A1:I50,IF(Settings!$J$13="points",4,7),FALSE)</f>
        <v>43</v>
      </c>
      <c r="G562" s="29">
        <f>(M562*Settings!$B$2)+(N562*Settings!$B$3)+(O562*Settings!$B$4)+(P562*Settings!$B$5)+(Q562*Settings!$B$6)+(T562*Settings!$B$9)+(U562*Settings!$B$10)+(V562*Settings!$B$11)+(W562*Settings!$B$12)+(X562*Settings!$B$13)+(AA562*Settings!$B$16)</f>
        <v>147.61666666666662</v>
      </c>
      <c r="H562" s="30">
        <f>VLOOKUP(B562,'Standard Deviations'!$A1:$D651,4,FALSE)</f>
        <v>-4.0789681038829873</v>
      </c>
      <c r="I562" s="31">
        <f ca="1">IF(Settings!$J$16="no",VLOOKUP(B562,'2B'!A1:I50,IF(Settings!$J$13="points",6,9),FALSE),VLOOKUP(B562,'2B+SS'!$A1:$I94,IF(Settings!$J$13="points",6,9),FALSE))</f>
        <v>-6.3866970652947073</v>
      </c>
      <c r="J562" s="30"/>
      <c r="K562" s="30">
        <f ca="1">J562-A562</f>
        <v>-624</v>
      </c>
      <c r="L562" s="30"/>
      <c r="M562" s="30">
        <f>VLOOKUP($B562,Hitters!$A1:$R401,4,FALSE)</f>
        <v>239</v>
      </c>
      <c r="N562" s="30">
        <f>VLOOKUP($B562,Hitters!$A1:$R401,5,FALSE)</f>
        <v>30.233333333333299</v>
      </c>
      <c r="O562" s="30">
        <f>VLOOKUP($B562,Hitters!$A1:$R401,6,FALSE)</f>
        <v>6.3333333333333304</v>
      </c>
      <c r="P562" s="30">
        <f>VLOOKUP($B562,Hitters!$A1:$R401,7,FALSE)</f>
        <v>26</v>
      </c>
      <c r="Q562" s="30">
        <f>VLOOKUP($B562,Hitters!$A1:$R401,8,FALSE)</f>
        <v>3.8333333333333299</v>
      </c>
      <c r="R562" s="32">
        <f>VLOOKUP($B562,Hitters!$A1:$R401,9,FALSE)</f>
        <v>0.23765690376568999</v>
      </c>
      <c r="S562" s="32">
        <f>VLOOKUP($B562,Hitters!$A1:$R401,10,FALSE)</f>
        <v>0.274571963792132</v>
      </c>
      <c r="T562" s="30">
        <f>VLOOKUP($B562,Hitters!$A1:$R401,11,FALSE)</f>
        <v>56.8</v>
      </c>
      <c r="U562" s="30">
        <f>VLOOKUP($B562,Hitters!$A1:$R401,12,FALSE)</f>
        <v>12.5</v>
      </c>
      <c r="V562" s="30">
        <f>VLOOKUP($B562,Hitters!$A1:$R401,13,FALSE)</f>
        <v>1.2333333333333301</v>
      </c>
      <c r="W562" s="30">
        <f>VLOOKUP($B562,Hitters!$A1:$R401,14,FALSE)</f>
        <v>13.0666666666667</v>
      </c>
      <c r="X562" s="30">
        <f>VLOOKUP($B562,Hitters!$A1:$R401,15,FALSE)</f>
        <v>80.366666666666703</v>
      </c>
      <c r="Y562" s="32">
        <f>VLOOKUP($B562,Hitters!$A1:$R401,16,FALSE)</f>
        <v>0.37977684797768502</v>
      </c>
      <c r="Z562" s="32">
        <f>VLOOKUP($B562,Hitters!$A1:$R401,17,FALSE)</f>
        <v>0.65434881176981696</v>
      </c>
      <c r="AA562" s="30">
        <f>VLOOKUP($B562,Hitters!$A1:$R401,18,FALSE)</f>
        <v>0</v>
      </c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</row>
    <row r="563" spans="1:44" ht="20.100000000000001" customHeight="1">
      <c r="A563" s="24">
        <f ca="1">RANK(I563,I$2:I$651)</f>
        <v>476</v>
      </c>
      <c r="B563" s="25" t="s">
        <v>573</v>
      </c>
      <c r="C563" s="26" t="s">
        <v>142</v>
      </c>
      <c r="D563" s="26" t="s">
        <v>70</v>
      </c>
      <c r="E563" s="41" t="s">
        <v>34</v>
      </c>
      <c r="F563" s="42">
        <f ca="1">VLOOKUP(B563,RP!A1:I91,IF(Settings!$J$13="points",4,7),FALSE)</f>
        <v>66</v>
      </c>
      <c r="G563" s="29">
        <f>(AC563*Settings!$F$2)+(AF563*Settings!$F$5)+(AG563*Settings!$F$6)+(AH563*Settings!$F$7)+(AI563*Settings!$F$8)+(AJ563*Settings!$F$9)+(AK563*Settings!$F$10)+(AL563*Settings!$F$11)+(AM563*Settings!$F$12)+(AN563*Settings!$F$13)+(AO563*Settings!$F$14)+(AP563*Settings!$F$15)+(AQ563*Settings!$F$16)+(AR563*Settings!$F$17)</f>
        <v>147.54999999999995</v>
      </c>
      <c r="H563" s="30">
        <f>VLOOKUP(B563,'Standard Deviations'!$A1:$D651,4,FALSE)</f>
        <v>-1.7764779657884477</v>
      </c>
      <c r="I563" s="31">
        <f ca="1">IF(Settings!$J$16="no",VLOOKUP(B563,RP!A1:I91,IF(Settings!$J$13="points",6,9),FALSE),VLOOKUP(B563,'SP+RP'!$A1:$I251,IF(Settings!$J$13="points",6,9),FALSE))</f>
        <v>-3.3475414329824731</v>
      </c>
      <c r="J563" s="30"/>
      <c r="K563" s="30">
        <f ca="1">J563-A563</f>
        <v>-476</v>
      </c>
      <c r="L563" s="30"/>
      <c r="M563" s="30"/>
      <c r="N563" s="30"/>
      <c r="O563" s="30"/>
      <c r="P563" s="30"/>
      <c r="Q563" s="30"/>
      <c r="R563" s="32"/>
      <c r="S563" s="32"/>
      <c r="T563" s="30"/>
      <c r="U563" s="30"/>
      <c r="V563" s="30"/>
      <c r="W563" s="30"/>
      <c r="X563" s="30"/>
      <c r="Y563" s="32"/>
      <c r="Z563" s="32"/>
      <c r="AA563" s="30"/>
      <c r="AB563" s="30"/>
      <c r="AC563" s="30">
        <f>VLOOKUP($B563,Pitchers!$A1:$S251,4,FALSE)</f>
        <v>58.066666666666663</v>
      </c>
      <c r="AD563" s="32">
        <f>VLOOKUP($B563,Pitchers!$A1:$S251,5,FALSE)</f>
        <v>3.4615384615384617</v>
      </c>
      <c r="AE563" s="32">
        <f>VLOOKUP($B563,Pitchers!$A1:$S251,6,FALSE)</f>
        <v>1.2370838117106773</v>
      </c>
      <c r="AF563" s="30">
        <f>VLOOKUP($B563,Pitchers!$A1:$S251,7,FALSE)</f>
        <v>64.166666666666671</v>
      </c>
      <c r="AG563" s="30">
        <f>VLOOKUP($B563,Pitchers!$A1:$S251,8,FALSE)</f>
        <v>3.3000000000000003</v>
      </c>
      <c r="AH563" s="30">
        <f>VLOOKUP($B563,Pitchers!$A1:$S251,9,FALSE)</f>
        <v>3.6666666666666665</v>
      </c>
      <c r="AI563" s="30">
        <f>VLOOKUP($B563,Pitchers!$A1:$S251,10,FALSE)</f>
        <v>22.333333333333332</v>
      </c>
      <c r="AJ563" s="30">
        <f>VLOOKUP($B563,Pitchers!$A1:$S251,11,FALSE)</f>
        <v>50.4</v>
      </c>
      <c r="AK563" s="30">
        <f>VLOOKUP($B563,Pitchers!$A1:$S251,12,FALSE)</f>
        <v>21.433333333333334</v>
      </c>
      <c r="AL563" s="30">
        <f>VLOOKUP($B563,Pitchers!$A1:$S251,13,FALSE)</f>
        <v>6</v>
      </c>
      <c r="AM563" s="30">
        <f>VLOOKUP($B563,Pitchers!$A1:$S251,14,FALSE)</f>
        <v>54.633333333333333</v>
      </c>
      <c r="AN563" s="30">
        <f>VLOOKUP($B563,Pitchers!$A1:$S251,15,FALSE)</f>
        <v>0.33333333333333331</v>
      </c>
      <c r="AO563" s="30">
        <f>VLOOKUP($B563,Pitchers!$A1:$S251,16,FALSE)</f>
        <v>2.6666666666666665</v>
      </c>
      <c r="AP563" s="30">
        <f>VLOOKUP($B563,Pitchers!$A1:$S251,17,FALSE)</f>
        <v>0</v>
      </c>
      <c r="AQ563" s="30">
        <f>VLOOKUP($B563,Pitchers!$A1:$S251,18,FALSE)</f>
        <v>13.5</v>
      </c>
      <c r="AR563" s="30">
        <f>VLOOKUP($B563,Pitchers!$A1:$S251,19,FALSE)</f>
        <v>0</v>
      </c>
    </row>
    <row r="564" spans="1:44" ht="18.600000000000001" customHeight="1">
      <c r="A564" s="24">
        <f ca="1">RANK(I564,I$2:I$651)</f>
        <v>553</v>
      </c>
      <c r="B564" s="25" t="s">
        <v>650</v>
      </c>
      <c r="C564" s="26" t="s">
        <v>72</v>
      </c>
      <c r="D564" s="26" t="s">
        <v>70</v>
      </c>
      <c r="E564" s="45" t="s">
        <v>19</v>
      </c>
      <c r="F564" s="46">
        <f ca="1">VLOOKUP(B564,'C'!A1:I54,IF(Settings!$J$13="points",4,7),FALSE)</f>
        <v>39</v>
      </c>
      <c r="G564" s="29">
        <f>(M564*Settings!$B$2)+(N564*Settings!$B$3)+(O564*Settings!$B$4)+(P564*Settings!$B$5)+(Q564*Settings!$B$6)+(T564*Settings!$B$9)+(U564*Settings!$B$10)+(V564*Settings!$B$11)+(W564*Settings!$B$12)+(X564*Settings!$B$13)+(AA564*Settings!$B$16)</f>
        <v>147.31666666666675</v>
      </c>
      <c r="H564" s="30">
        <f>VLOOKUP(B564,'Standard Deviations'!$A1:$D651,4,FALSE)</f>
        <v>-4.6551339276489943</v>
      </c>
      <c r="I564" s="31">
        <f ca="1">VLOOKUP(B564,'C'!A1:I54,IF(Settings!$J$13="points",6,9),FALSE)</f>
        <v>-4.3380399497574942</v>
      </c>
      <c r="J564" s="30"/>
      <c r="K564" s="30">
        <f ca="1">J564-A564</f>
        <v>-553</v>
      </c>
      <c r="L564" s="30"/>
      <c r="M564" s="30">
        <f>VLOOKUP($B564,Hitters!$A1:$R401,4,FALSE)</f>
        <v>207</v>
      </c>
      <c r="N564" s="30">
        <f>VLOOKUP($B564,Hitters!$A1:$R401,5,FALSE)</f>
        <v>26.966666666666701</v>
      </c>
      <c r="O564" s="30">
        <f>VLOOKUP($B564,Hitters!$A1:$R401,6,FALSE)</f>
        <v>9.4</v>
      </c>
      <c r="P564" s="30">
        <f>VLOOKUP($B564,Hitters!$A1:$R401,7,FALSE)</f>
        <v>26.766666666666701</v>
      </c>
      <c r="Q564" s="30">
        <f>VLOOKUP($B564,Hitters!$A1:$R401,8,FALSE)</f>
        <v>0.96666666666666701</v>
      </c>
      <c r="R564" s="32">
        <f>VLOOKUP($B564,Hitters!$A1:$R401,9,FALSE)</f>
        <v>0.22914653784219</v>
      </c>
      <c r="S564" s="32">
        <f>VLOOKUP($B564,Hitters!$A1:$R401,10,FALSE)</f>
        <v>0.30370040636981099</v>
      </c>
      <c r="T564" s="30">
        <f>VLOOKUP($B564,Hitters!$A1:$R401,11,FALSE)</f>
        <v>47.433333333333302</v>
      </c>
      <c r="U564" s="30">
        <f>VLOOKUP($B564,Hitters!$A1:$R401,12,FALSE)</f>
        <v>8.6999999999999993</v>
      </c>
      <c r="V564" s="30">
        <f>VLOOKUP($B564,Hitters!$A1:$R401,13,FALSE)</f>
        <v>0.46666666666666701</v>
      </c>
      <c r="W564" s="30">
        <f>VLOOKUP($B564,Hitters!$A1:$R401,14,FALSE)</f>
        <v>23.066666666666698</v>
      </c>
      <c r="X564" s="30">
        <f>VLOOKUP($B564,Hitters!$A1:$R401,15,FALSE)</f>
        <v>70.5</v>
      </c>
      <c r="Y564" s="32">
        <f>VLOOKUP($B564,Hitters!$A1:$R401,16,FALSE)</f>
        <v>0.41191626409017701</v>
      </c>
      <c r="Z564" s="32">
        <f>VLOOKUP($B564,Hitters!$A1:$R401,17,FALSE)</f>
        <v>0.715616670459988</v>
      </c>
      <c r="AA564" s="30">
        <f>VLOOKUP($B564,Hitters!$A1:$R401,18,FALSE)</f>
        <v>0</v>
      </c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</row>
    <row r="565" spans="1:44" ht="18.600000000000001" customHeight="1">
      <c r="A565" s="24">
        <f ca="1">RANK(I565,I$2:I$651)</f>
        <v>467</v>
      </c>
      <c r="B565" s="25" t="s">
        <v>564</v>
      </c>
      <c r="C565" s="26" t="s">
        <v>95</v>
      </c>
      <c r="D565" s="26" t="s">
        <v>70</v>
      </c>
      <c r="E565" s="41" t="s">
        <v>34</v>
      </c>
      <c r="F565" s="42">
        <f ca="1">VLOOKUP(B565,RP!A1:I91,IF(Settings!$J$13="points",4,7),FALSE)</f>
        <v>64</v>
      </c>
      <c r="G565" s="29">
        <f>(AC565*Settings!$F$2)+(AF565*Settings!$F$5)+(AG565*Settings!$F$6)+(AH565*Settings!$F$7)+(AI565*Settings!$F$8)+(AJ565*Settings!$F$9)+(AK565*Settings!$F$10)+(AL565*Settings!$F$11)+(AM565*Settings!$F$12)+(AN565*Settings!$F$13)+(AO565*Settings!$F$14)+(AP565*Settings!$F$15)+(AQ565*Settings!$F$16)+(AR565*Settings!$F$17)</f>
        <v>146.62333333333333</v>
      </c>
      <c r="H565" s="30">
        <f>VLOOKUP(B565,'Standard Deviations'!$A1:$D651,4,FALSE)</f>
        <v>-1.5931320618027587</v>
      </c>
      <c r="I565" s="31">
        <f ca="1">IF(Settings!$J$16="no",VLOOKUP(B565,RP!A1:I91,IF(Settings!$J$13="points",6,9),FALSE),VLOOKUP(B565,'SP+RP'!$A1:$I251,IF(Settings!$J$13="points",6,9),FALSE))</f>
        <v>-3.1641986042744019</v>
      </c>
      <c r="J565" s="30"/>
      <c r="K565" s="30">
        <f ca="1">J565-A565</f>
        <v>-467</v>
      </c>
      <c r="L565" s="30"/>
      <c r="M565" s="30"/>
      <c r="N565" s="30"/>
      <c r="O565" s="30"/>
      <c r="P565" s="30"/>
      <c r="Q565" s="30"/>
      <c r="R565" s="32"/>
      <c r="S565" s="32"/>
      <c r="T565" s="30"/>
      <c r="U565" s="30"/>
      <c r="V565" s="30"/>
      <c r="W565" s="30"/>
      <c r="X565" s="30"/>
      <c r="Y565" s="32"/>
      <c r="Z565" s="32"/>
      <c r="AA565" s="30"/>
      <c r="AB565" s="30"/>
      <c r="AC565" s="30">
        <f>VLOOKUP($B565,Pitchers!$A1:$S251,4,FALSE)</f>
        <v>61.333333333333336</v>
      </c>
      <c r="AD565" s="32">
        <f>VLOOKUP($B565,Pitchers!$A1:$S251,5,FALSE)</f>
        <v>3.7946739130434781</v>
      </c>
      <c r="AE565" s="32">
        <f>VLOOKUP($B565,Pitchers!$A1:$S251,6,FALSE)</f>
        <v>1.1624999999999999</v>
      </c>
      <c r="AF565" s="30">
        <f>VLOOKUP($B565,Pitchers!$A1:$S251,7,FALSE)</f>
        <v>60.166666666666664</v>
      </c>
      <c r="AG565" s="30">
        <f>VLOOKUP($B565,Pitchers!$A1:$S251,8,FALSE)</f>
        <v>4.1000000000000005</v>
      </c>
      <c r="AH565" s="30">
        <f>VLOOKUP($B565,Pitchers!$A1:$S251,9,FALSE)</f>
        <v>3</v>
      </c>
      <c r="AI565" s="30">
        <f>VLOOKUP($B565,Pitchers!$A1:$S251,10,FALSE)</f>
        <v>25.86</v>
      </c>
      <c r="AJ565" s="30">
        <f>VLOOKUP($B565,Pitchers!$A1:$S251,11,FALSE)</f>
        <v>53.333333333333336</v>
      </c>
      <c r="AK565" s="30">
        <f>VLOOKUP($B565,Pitchers!$A1:$S251,12,FALSE)</f>
        <v>17.966666666666665</v>
      </c>
      <c r="AL565" s="30">
        <f>VLOOKUP($B565,Pitchers!$A1:$S251,13,FALSE)</f>
        <v>11</v>
      </c>
      <c r="AM565" s="30">
        <f>VLOOKUP($B565,Pitchers!$A1:$S251,14,FALSE)</f>
        <v>62.6</v>
      </c>
      <c r="AN565" s="30">
        <f>VLOOKUP($B565,Pitchers!$A1:$S251,15,FALSE)</f>
        <v>0</v>
      </c>
      <c r="AO565" s="30">
        <f>VLOOKUP($B565,Pitchers!$A1:$S251,16,FALSE)</f>
        <v>4</v>
      </c>
      <c r="AP565" s="30">
        <f>VLOOKUP($B565,Pitchers!$A1:$S251,17,FALSE)</f>
        <v>0</v>
      </c>
      <c r="AQ565" s="30">
        <f>VLOOKUP($B565,Pitchers!$A1:$S251,18,FALSE)</f>
        <v>17</v>
      </c>
      <c r="AR565" s="30">
        <f>VLOOKUP($B565,Pitchers!$A1:$S251,19,FALSE)</f>
        <v>1</v>
      </c>
    </row>
    <row r="566" spans="1:44" ht="18.600000000000001" customHeight="1">
      <c r="A566" s="24">
        <f ca="1">RANK(I566,I$2:I$651)</f>
        <v>412</v>
      </c>
      <c r="B566" s="25" t="s">
        <v>509</v>
      </c>
      <c r="C566" s="26" t="s">
        <v>116</v>
      </c>
      <c r="D566" s="26" t="s">
        <v>70</v>
      </c>
      <c r="E566" s="41" t="s">
        <v>34</v>
      </c>
      <c r="F566" s="42">
        <f ca="1">VLOOKUP(B566,RP!A1:I91,IF(Settings!$J$13="points",4,7),FALSE)</f>
        <v>44</v>
      </c>
      <c r="G566" s="29">
        <f>(AC566*Settings!$F$2)+(AF566*Settings!$F$5)+(AG566*Settings!$F$6)+(AH566*Settings!$F$7)+(AI566*Settings!$F$8)+(AJ566*Settings!$F$9)+(AK566*Settings!$F$10)+(AL566*Settings!$F$11)+(AM566*Settings!$F$12)+(AN566*Settings!$F$13)+(AO566*Settings!$F$14)+(AP566*Settings!$F$15)+(AQ566*Settings!$F$16)+(AR566*Settings!$F$17)</f>
        <v>146.45000000000002</v>
      </c>
      <c r="H566" s="30">
        <f>VLOOKUP(B566,'Standard Deviations'!$A1:$D651,4,FALSE)</f>
        <v>-1.0500395673230944</v>
      </c>
      <c r="I566" s="31">
        <f ca="1">IF(Settings!$J$16="no",VLOOKUP(B566,RP!A1:I91,IF(Settings!$J$13="points",6,9),FALSE),VLOOKUP(B566,'SP+RP'!$A1:$I251,IF(Settings!$J$13="points",6,9),FALSE))</f>
        <v>-2.6211099482795412</v>
      </c>
      <c r="J566" s="30"/>
      <c r="K566" s="30">
        <f ca="1">J566-A566</f>
        <v>-412</v>
      </c>
      <c r="L566" s="30"/>
      <c r="M566" s="30"/>
      <c r="N566" s="30"/>
      <c r="O566" s="30"/>
      <c r="P566" s="30"/>
      <c r="Q566" s="30"/>
      <c r="R566" s="32"/>
      <c r="S566" s="32"/>
      <c r="T566" s="30"/>
      <c r="U566" s="30"/>
      <c r="V566" s="30"/>
      <c r="W566" s="30"/>
      <c r="X566" s="30"/>
      <c r="Y566" s="32"/>
      <c r="Z566" s="32"/>
      <c r="AA566" s="30"/>
      <c r="AB566" s="30"/>
      <c r="AC566" s="30">
        <f>VLOOKUP($B566,Pitchers!$A1:$S251,4,FALSE)</f>
        <v>63.066666666666663</v>
      </c>
      <c r="AD566" s="32">
        <f>VLOOKUP($B566,Pitchers!$A1:$S251,5,FALSE)</f>
        <v>3.677061310782241</v>
      </c>
      <c r="AE566" s="32">
        <f>VLOOKUP($B566,Pitchers!$A1:$S251,6,FALSE)</f>
        <v>1.1199788583509513</v>
      </c>
      <c r="AF566" s="30">
        <f>VLOOKUP($B566,Pitchers!$A1:$S251,7,FALSE)</f>
        <v>62.766666666666673</v>
      </c>
      <c r="AG566" s="30">
        <f>VLOOKUP($B566,Pitchers!$A1:$S251,8,FALSE)</f>
        <v>4.1333333333333337</v>
      </c>
      <c r="AH566" s="30">
        <f>VLOOKUP($B566,Pitchers!$A1:$S251,9,FALSE)</f>
        <v>1.6666666666666667</v>
      </c>
      <c r="AI566" s="30">
        <f>VLOOKUP($B566,Pitchers!$A1:$S251,10,FALSE)</f>
        <v>25.766666666666666</v>
      </c>
      <c r="AJ566" s="30">
        <f>VLOOKUP($B566,Pitchers!$A1:$S251,11,FALSE)</f>
        <v>54.366666666666667</v>
      </c>
      <c r="AK566" s="30">
        <f>VLOOKUP($B566,Pitchers!$A1:$S251,12,FALSE)</f>
        <v>16.266666666666666</v>
      </c>
      <c r="AL566" s="30">
        <f>VLOOKUP($B566,Pitchers!$A1:$S251,13,FALSE)</f>
        <v>9</v>
      </c>
      <c r="AM566" s="30">
        <f>VLOOKUP($B566,Pitchers!$A1:$S251,14,FALSE)</f>
        <v>52.266666666666673</v>
      </c>
      <c r="AN566" s="30">
        <f>VLOOKUP($B566,Pitchers!$A1:$S251,15,FALSE)</f>
        <v>2.6666666666666665</v>
      </c>
      <c r="AO566" s="30">
        <f>VLOOKUP($B566,Pitchers!$A1:$S251,16,FALSE)</f>
        <v>3.6666666666666665</v>
      </c>
      <c r="AP566" s="30">
        <f>VLOOKUP($B566,Pitchers!$A1:$S251,17,FALSE)</f>
        <v>0</v>
      </c>
      <c r="AQ566" s="30">
        <f>VLOOKUP($B566,Pitchers!$A1:$S251,18,FALSE)</f>
        <v>10.5</v>
      </c>
      <c r="AR566" s="30">
        <f>VLOOKUP($B566,Pitchers!$A1:$S251,19,FALSE)</f>
        <v>1</v>
      </c>
    </row>
    <row r="567" spans="1:44" ht="18.600000000000001" customHeight="1">
      <c r="A567" s="24">
        <f ca="1">RANK(I567,I$2:I$651)</f>
        <v>503</v>
      </c>
      <c r="B567" s="25" t="s">
        <v>600</v>
      </c>
      <c r="C567" s="26" t="s">
        <v>69</v>
      </c>
      <c r="D567" s="26" t="s">
        <v>70</v>
      </c>
      <c r="E567" s="41" t="s">
        <v>34</v>
      </c>
      <c r="F567" s="42">
        <f ca="1">VLOOKUP(B567,RP!A1:I91,IF(Settings!$J$13="points",4,7),FALSE)</f>
        <v>75</v>
      </c>
      <c r="G567" s="29">
        <f>(AC567*Settings!$F$2)+(AF567*Settings!$F$5)+(AG567*Settings!$F$6)+(AH567*Settings!$F$7)+(AI567*Settings!$F$8)+(AJ567*Settings!$F$9)+(AK567*Settings!$F$10)+(AL567*Settings!$F$11)+(AM567*Settings!$F$12)+(AN567*Settings!$F$13)+(AO567*Settings!$F$14)+(AP567*Settings!$F$15)+(AQ567*Settings!$F$16)+(AR567*Settings!$F$17)</f>
        <v>146.06266666666664</v>
      </c>
      <c r="H567" s="30">
        <f>VLOOKUP(B567,'Standard Deviations'!$A1:$D651,4,FALSE)</f>
        <v>-2.0020642089875058</v>
      </c>
      <c r="I567" s="31">
        <f ca="1">IF(Settings!$J$16="no",VLOOKUP(B567,RP!A1:I91,IF(Settings!$J$13="points",6,9),FALSE),VLOOKUP(B567,'SP+RP'!$A1:$I251,IF(Settings!$J$13="points",6,9),FALSE))</f>
        <v>-3.5731322992719825</v>
      </c>
      <c r="J567" s="30"/>
      <c r="K567" s="30">
        <f ca="1">J567-A567</f>
        <v>-503</v>
      </c>
      <c r="L567" s="30"/>
      <c r="M567" s="30"/>
      <c r="N567" s="30"/>
      <c r="O567" s="30"/>
      <c r="P567" s="30"/>
      <c r="Q567" s="30"/>
      <c r="R567" s="32"/>
      <c r="S567" s="32"/>
      <c r="T567" s="30"/>
      <c r="U567" s="30"/>
      <c r="V567" s="30"/>
      <c r="W567" s="30"/>
      <c r="X567" s="30"/>
      <c r="Y567" s="32"/>
      <c r="Z567" s="32"/>
      <c r="AA567" s="30"/>
      <c r="AB567" s="30"/>
      <c r="AC567" s="30">
        <f>VLOOKUP($B567,Pitchers!$A1:$S251,4,FALSE)</f>
        <v>61.033333333333331</v>
      </c>
      <c r="AD567" s="32">
        <f>VLOOKUP($B567,Pitchers!$A1:$S251,5,FALSE)</f>
        <v>3.4954014199890771</v>
      </c>
      <c r="AE567" s="32">
        <f>VLOOKUP($B567,Pitchers!$A1:$S251,6,FALSE)</f>
        <v>1.243582741671218</v>
      </c>
      <c r="AF567" s="30">
        <f>VLOOKUP($B567,Pitchers!$A1:$S251,7,FALSE)</f>
        <v>54.933333333333337</v>
      </c>
      <c r="AG567" s="30">
        <f>VLOOKUP($B567,Pitchers!$A1:$S251,8,FALSE)</f>
        <v>3.8000000000000003</v>
      </c>
      <c r="AH567" s="30">
        <f>VLOOKUP($B567,Pitchers!$A1:$S251,9,FALSE)</f>
        <v>3.3333333333333335</v>
      </c>
      <c r="AI567" s="30">
        <f>VLOOKUP($B567,Pitchers!$A1:$S251,10,FALSE)</f>
        <v>23.703999999999997</v>
      </c>
      <c r="AJ567" s="30">
        <f>VLOOKUP($B567,Pitchers!$A1:$S251,11,FALSE)</f>
        <v>56.1</v>
      </c>
      <c r="AK567" s="30">
        <f>VLOOKUP($B567,Pitchers!$A1:$S251,12,FALSE)</f>
        <v>19.8</v>
      </c>
      <c r="AL567" s="30">
        <f>VLOOKUP($B567,Pitchers!$A1:$S251,13,FALSE)</f>
        <v>7</v>
      </c>
      <c r="AM567" s="30">
        <f>VLOOKUP($B567,Pitchers!$A1:$S251,14,FALSE)</f>
        <v>57.6</v>
      </c>
      <c r="AN567" s="30">
        <f>VLOOKUP($B567,Pitchers!$A1:$S251,15,FALSE)</f>
        <v>0.33333333333333331</v>
      </c>
      <c r="AO567" s="30">
        <f>VLOOKUP($B567,Pitchers!$A1:$S251,16,FALSE)</f>
        <v>2.9666666666666668</v>
      </c>
      <c r="AP567" s="30">
        <f>VLOOKUP($B567,Pitchers!$A1:$S251,17,FALSE)</f>
        <v>0</v>
      </c>
      <c r="AQ567" s="30">
        <f>VLOOKUP($B567,Pitchers!$A1:$S251,18,FALSE)</f>
        <v>15.5</v>
      </c>
      <c r="AR567" s="30">
        <f>VLOOKUP($B567,Pitchers!$A1:$S251,19,FALSE)</f>
        <v>0</v>
      </c>
    </row>
    <row r="568" spans="1:44" ht="20.100000000000001" customHeight="1">
      <c r="A568" s="24">
        <f ca="1">RANK(I568,I$2:I$651)</f>
        <v>402</v>
      </c>
      <c r="B568" s="25" t="s">
        <v>499</v>
      </c>
      <c r="C568" s="26" t="s">
        <v>82</v>
      </c>
      <c r="D568" s="26" t="s">
        <v>75</v>
      </c>
      <c r="E568" s="41" t="s">
        <v>34</v>
      </c>
      <c r="F568" s="42">
        <f ca="1">VLOOKUP(B568,RP!A1:I91,IF(Settings!$J$13="points",4,7),FALSE)</f>
        <v>41</v>
      </c>
      <c r="G568" s="29">
        <f>(AC568*Settings!$F$2)+(AF568*Settings!$F$5)+(AG568*Settings!$F$6)+(AH568*Settings!$F$7)+(AI568*Settings!$F$8)+(AJ568*Settings!$F$9)+(AK568*Settings!$F$10)+(AL568*Settings!$F$11)+(AM568*Settings!$F$12)+(AN568*Settings!$F$13)+(AO568*Settings!$F$14)+(AP568*Settings!$F$15)+(AQ568*Settings!$F$16)+(AR568*Settings!$F$17)</f>
        <v>145.81666666666666</v>
      </c>
      <c r="H568" s="30">
        <f>VLOOKUP(B568,'Standard Deviations'!$A1:$D651,4,FALSE)</f>
        <v>-0.87960848601856556</v>
      </c>
      <c r="I568" s="31">
        <f ca="1">IF(Settings!$J$16="no",VLOOKUP(B568,RP!A1:I91,IF(Settings!$J$13="points",6,9),FALSE),VLOOKUP(B568,'SP+RP'!$A1:$I251,IF(Settings!$J$13="points",6,9),FALSE))</f>
        <v>-2.4506764927500919</v>
      </c>
      <c r="J568" s="30"/>
      <c r="K568" s="30">
        <f ca="1">J568-A568</f>
        <v>-402</v>
      </c>
      <c r="L568" s="30"/>
      <c r="M568" s="30"/>
      <c r="N568" s="30"/>
      <c r="O568" s="30"/>
      <c r="P568" s="30"/>
      <c r="Q568" s="30"/>
      <c r="R568" s="32"/>
      <c r="S568" s="32"/>
      <c r="T568" s="30"/>
      <c r="U568" s="30"/>
      <c r="V568" s="30"/>
      <c r="W568" s="30"/>
      <c r="X568" s="30"/>
      <c r="Y568" s="32"/>
      <c r="Z568" s="32"/>
      <c r="AA568" s="30"/>
      <c r="AB568" s="30"/>
      <c r="AC568" s="30">
        <f>VLOOKUP($B568,Pitchers!$A1:$S251,4,FALSE)</f>
        <v>53.133333333333326</v>
      </c>
      <c r="AD568" s="32">
        <f>VLOOKUP($B568,Pitchers!$A1:$S251,5,FALSE)</f>
        <v>3.2296110414052701</v>
      </c>
      <c r="AE568" s="32">
        <f>VLOOKUP($B568,Pitchers!$A1:$S251,6,FALSE)</f>
        <v>1.1982434127979926</v>
      </c>
      <c r="AF568" s="30">
        <f>VLOOKUP($B568,Pitchers!$A1:$S251,7,FALSE)</f>
        <v>71.7</v>
      </c>
      <c r="AG568" s="30">
        <f>VLOOKUP($B568,Pitchers!$A1:$S251,8,FALSE)</f>
        <v>3.4</v>
      </c>
      <c r="AH568" s="30">
        <f>VLOOKUP($B568,Pitchers!$A1:$S251,9,FALSE)</f>
        <v>2.6666666666666665</v>
      </c>
      <c r="AI568" s="30">
        <f>VLOOKUP($B568,Pitchers!$A1:$S251,10,FALSE)</f>
        <v>19.066666666666666</v>
      </c>
      <c r="AJ568" s="30">
        <f>VLOOKUP($B568,Pitchers!$A1:$S251,11,FALSE)</f>
        <v>39.199999999999996</v>
      </c>
      <c r="AK568" s="30">
        <f>VLOOKUP($B568,Pitchers!$A1:$S251,12,FALSE)</f>
        <v>24.466666666666669</v>
      </c>
      <c r="AL568" s="30">
        <f>VLOOKUP($B568,Pitchers!$A1:$S251,13,FALSE)</f>
        <v>8</v>
      </c>
      <c r="AM568" s="30">
        <f>VLOOKUP($B568,Pitchers!$A1:$S251,14,FALSE)</f>
        <v>57.6</v>
      </c>
      <c r="AN568" s="30">
        <f>VLOOKUP($B568,Pitchers!$A1:$S251,15,FALSE)</f>
        <v>0</v>
      </c>
      <c r="AO568" s="30">
        <f>VLOOKUP($B568,Pitchers!$A1:$S251,16,FALSE)</f>
        <v>1.8333333333333333</v>
      </c>
      <c r="AP568" s="30">
        <f>VLOOKUP($B568,Pitchers!$A1:$S251,17,FALSE)</f>
        <v>0</v>
      </c>
      <c r="AQ568" s="30">
        <f>VLOOKUP($B568,Pitchers!$A1:$S251,18,FALSE)</f>
        <v>15.5</v>
      </c>
      <c r="AR568" s="30">
        <f>VLOOKUP($B568,Pitchers!$A1:$S251,19,FALSE)</f>
        <v>3</v>
      </c>
    </row>
    <row r="569" spans="1:44" ht="18.600000000000001" customHeight="1">
      <c r="A569" s="24">
        <f ca="1">RANK(I569,I$2:I$651)</f>
        <v>455</v>
      </c>
      <c r="B569" s="25" t="s">
        <v>551</v>
      </c>
      <c r="C569" s="26" t="s">
        <v>79</v>
      </c>
      <c r="D569" s="26" t="s">
        <v>70</v>
      </c>
      <c r="E569" s="41" t="s">
        <v>34</v>
      </c>
      <c r="F569" s="42">
        <f ca="1">VLOOKUP(B569,RP!A1:I91,IF(Settings!$J$13="points",4,7),FALSE)</f>
        <v>60</v>
      </c>
      <c r="G569" s="29">
        <f>(AC569*Settings!$F$2)+(AF569*Settings!$F$5)+(AG569*Settings!$F$6)+(AH569*Settings!$F$7)+(AI569*Settings!$F$8)+(AJ569*Settings!$F$9)+(AK569*Settings!$F$10)+(AL569*Settings!$F$11)+(AM569*Settings!$F$12)+(AN569*Settings!$F$13)+(AO569*Settings!$F$14)+(AP569*Settings!$F$15)+(AQ569*Settings!$F$16)+(AR569*Settings!$F$17)</f>
        <v>145.73333333333335</v>
      </c>
      <c r="H569" s="30">
        <f>VLOOKUP(B569,'Standard Deviations'!$A1:$D651,4,FALSE)</f>
        <v>-1.4453032667207504</v>
      </c>
      <c r="I569" s="31">
        <f ca="1">IF(Settings!$J$16="no",VLOOKUP(B569,RP!A1:I91,IF(Settings!$J$13="points",6,9),FALSE),VLOOKUP(B569,'SP+RP'!$A1:$I251,IF(Settings!$J$13="points",6,9),FALSE))</f>
        <v>-3.0163667065821507</v>
      </c>
      <c r="J569" s="30"/>
      <c r="K569" s="30">
        <f ca="1">J569-A569</f>
        <v>-455</v>
      </c>
      <c r="L569" s="30"/>
      <c r="M569" s="30"/>
      <c r="N569" s="30"/>
      <c r="O569" s="30"/>
      <c r="P569" s="30"/>
      <c r="Q569" s="30"/>
      <c r="R569" s="32"/>
      <c r="S569" s="32"/>
      <c r="T569" s="30"/>
      <c r="U569" s="30"/>
      <c r="V569" s="30"/>
      <c r="W569" s="30"/>
      <c r="X569" s="30"/>
      <c r="Y569" s="32"/>
      <c r="Z569" s="32"/>
      <c r="AA569" s="30"/>
      <c r="AB569" s="30"/>
      <c r="AC569" s="30">
        <f>VLOOKUP($B569,Pitchers!$A1:$S251,4,FALSE)</f>
        <v>60.033333333333331</v>
      </c>
      <c r="AD569" s="32">
        <f>VLOOKUP($B569,Pitchers!$A1:$S251,5,FALSE)</f>
        <v>3.1382565241532485</v>
      </c>
      <c r="AE569" s="32">
        <f>VLOOKUP($B569,Pitchers!$A1:$S251,6,FALSE)</f>
        <v>1.2709605774569686</v>
      </c>
      <c r="AF569" s="30">
        <f>VLOOKUP($B569,Pitchers!$A1:$S251,7,FALSE)</f>
        <v>76.533333333333331</v>
      </c>
      <c r="AG569" s="30">
        <f>VLOOKUP($B569,Pitchers!$A1:$S251,8,FALSE)</f>
        <v>3.6333333333333333</v>
      </c>
      <c r="AH569" s="30">
        <f>VLOOKUP($B569,Pitchers!$A1:$S251,9,FALSE)</f>
        <v>1.3333333333333333</v>
      </c>
      <c r="AI569" s="30">
        <f>VLOOKUP($B569,Pitchers!$A1:$S251,10,FALSE)</f>
        <v>20.933333333333334</v>
      </c>
      <c r="AJ569" s="30">
        <f>VLOOKUP($B569,Pitchers!$A1:$S251,11,FALSE)</f>
        <v>48.333333333333336</v>
      </c>
      <c r="AK569" s="30">
        <f>VLOOKUP($B569,Pitchers!$A1:$S251,12,FALSE)</f>
        <v>27.966666666666669</v>
      </c>
      <c r="AL569" s="30">
        <f>VLOOKUP($B569,Pitchers!$A1:$S251,13,FALSE)</f>
        <v>6</v>
      </c>
      <c r="AM569" s="30">
        <f>VLOOKUP($B569,Pitchers!$A1:$S251,14,FALSE)</f>
        <v>55.6</v>
      </c>
      <c r="AN569" s="30">
        <f>VLOOKUP($B569,Pitchers!$A1:$S251,15,FALSE)</f>
        <v>0</v>
      </c>
      <c r="AO569" s="30">
        <f>VLOOKUP($B569,Pitchers!$A1:$S251,16,FALSE)</f>
        <v>2.0333333333333332</v>
      </c>
      <c r="AP569" s="30">
        <f>VLOOKUP($B569,Pitchers!$A1:$S251,17,FALSE)</f>
        <v>0</v>
      </c>
      <c r="AQ569" s="30">
        <f>VLOOKUP($B569,Pitchers!$A1:$S251,18,FALSE)</f>
        <v>10.5</v>
      </c>
      <c r="AR569" s="30">
        <f>VLOOKUP($B569,Pitchers!$A1:$S251,19,FALSE)</f>
        <v>0</v>
      </c>
    </row>
    <row r="570" spans="1:44" ht="18.600000000000001" customHeight="1">
      <c r="A570" s="24">
        <f ca="1">RANK(I570,I$2:I$651)</f>
        <v>516</v>
      </c>
      <c r="B570" s="25" t="s">
        <v>611</v>
      </c>
      <c r="C570" s="26" t="s">
        <v>178</v>
      </c>
      <c r="D570" s="26" t="s">
        <v>75</v>
      </c>
      <c r="E570" s="27" t="s">
        <v>23</v>
      </c>
      <c r="F570" s="28">
        <f ca="1">VLOOKUP(B570,OF!A1:I139,IF(Settings!$J$13="points",4,7),FALSE)</f>
        <v>118</v>
      </c>
      <c r="G570" s="29">
        <f>(M570*Settings!$B$2)+(N570*Settings!$B$3)+(O570*Settings!$B$4)+(P570*Settings!$B$5)+(Q570*Settings!$B$6)+(T570*Settings!$B$9)+(U570*Settings!$B$10)+(V570*Settings!$B$11)+(W570*Settings!$B$12)+(X570*Settings!$B$13)+(AA570*Settings!$B$16)</f>
        <v>145.65000000000003</v>
      </c>
      <c r="H570" s="30">
        <f>VLOOKUP(B570,'Standard Deviations'!$A1:$D651,4,FALSE)</f>
        <v>-3.6454874937528037</v>
      </c>
      <c r="I570" s="31">
        <f ca="1">VLOOKUP(B570,OF!A1:I139,IF(Settings!$J$13="points",6,9),FALSE)</f>
        <v>-3.7641993137895984</v>
      </c>
      <c r="J570" s="30"/>
      <c r="K570" s="30">
        <f ca="1">J570-A570</f>
        <v>-516</v>
      </c>
      <c r="L570" s="30"/>
      <c r="M570" s="30">
        <f>VLOOKUP($B570,Hitters!$A1:$R401,4,FALSE)</f>
        <v>192.666666666667</v>
      </c>
      <c r="N570" s="30">
        <f>VLOOKUP($B570,Hitters!$A1:$R401,5,FALSE)</f>
        <v>26.3</v>
      </c>
      <c r="O570" s="30">
        <f>VLOOKUP($B570,Hitters!$A1:$R401,6,FALSE)</f>
        <v>6.9</v>
      </c>
      <c r="P570" s="30">
        <f>VLOOKUP($B570,Hitters!$A1:$R401,7,FALSE)</f>
        <v>27.033333333333299</v>
      </c>
      <c r="Q570" s="30">
        <f>VLOOKUP($B570,Hitters!$A1:$R401,8,FALSE)</f>
        <v>1.93333333333333</v>
      </c>
      <c r="R570" s="32">
        <f>VLOOKUP($B570,Hitters!$A1:$R401,9,FALSE)</f>
        <v>0.25363321799307997</v>
      </c>
      <c r="S570" s="32">
        <f>VLOOKUP($B570,Hitters!$A1:$R401,10,FALSE)</f>
        <v>0.32427586633280803</v>
      </c>
      <c r="T570" s="30">
        <f>VLOOKUP($B570,Hitters!$A1:$R401,11,FALSE)</f>
        <v>48.866666666666703</v>
      </c>
      <c r="U570" s="30">
        <f>VLOOKUP($B570,Hitters!$A1:$R401,12,FALSE)</f>
        <v>9.9</v>
      </c>
      <c r="V570" s="30">
        <f>VLOOKUP($B570,Hitters!$A1:$R401,13,FALSE)</f>
        <v>0.63333333333333297</v>
      </c>
      <c r="W570" s="30">
        <f>VLOOKUP($B570,Hitters!$A1:$R401,14,FALSE)</f>
        <v>21.066666666666698</v>
      </c>
      <c r="X570" s="30">
        <f>VLOOKUP($B570,Hitters!$A1:$R401,15,FALSE)</f>
        <v>61.566666666666698</v>
      </c>
      <c r="Y570" s="32">
        <f>VLOOKUP($B570,Hitters!$A1:$R401,16,FALSE)</f>
        <v>0.41903114186851198</v>
      </c>
      <c r="Z570" s="32">
        <f>VLOOKUP($B570,Hitters!$A1:$R401,17,FALSE)</f>
        <v>0.74330700820132001</v>
      </c>
      <c r="AA570" s="30">
        <f>VLOOKUP($B570,Hitters!$A1:$R401,18,FALSE)</f>
        <v>0</v>
      </c>
      <c r="AB570" s="30"/>
      <c r="AC570" s="30"/>
      <c r="AD570" s="32"/>
      <c r="AE570" s="32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</row>
    <row r="571" spans="1:44" ht="18.600000000000001" customHeight="1">
      <c r="A571" s="24">
        <f ca="1">RANK(I571,I$2:I$651)</f>
        <v>538</v>
      </c>
      <c r="B571" s="25" t="s">
        <v>635</v>
      </c>
      <c r="C571" s="26" t="s">
        <v>79</v>
      </c>
      <c r="D571" s="26" t="s">
        <v>70</v>
      </c>
      <c r="E571" s="27" t="s">
        <v>23</v>
      </c>
      <c r="F571" s="28">
        <f ca="1">VLOOKUP(B571,OF!A1:I139,IF(Settings!$J$13="points",4,7),FALSE)</f>
        <v>122</v>
      </c>
      <c r="G571" s="29">
        <f>(M571*Settings!$B$2)+(N571*Settings!$B$3)+(O571*Settings!$B$4)+(P571*Settings!$B$5)+(Q571*Settings!$B$6)+(T571*Settings!$B$9)+(U571*Settings!$B$10)+(V571*Settings!$B$11)+(W571*Settings!$B$12)+(X571*Settings!$B$13)+(AA571*Settings!$B$16)</f>
        <v>144.94999999999999</v>
      </c>
      <c r="H571" s="30">
        <f>VLOOKUP(B571,'Standard Deviations'!$A1:$D651,4,FALSE)</f>
        <v>-3.994004260585486</v>
      </c>
      <c r="I571" s="31">
        <f ca="1">VLOOKUP(B571,OF!A1:I139,IF(Settings!$J$13="points",6,9),FALSE)</f>
        <v>-4.1127208197081675</v>
      </c>
      <c r="J571" s="30"/>
      <c r="K571" s="30">
        <f ca="1">J571-A571</f>
        <v>-538</v>
      </c>
      <c r="L571" s="30"/>
      <c r="M571" s="30">
        <f>VLOOKUP($B571,Hitters!$A1:$R401,4,FALSE)</f>
        <v>214</v>
      </c>
      <c r="N571" s="30">
        <f>VLOOKUP($B571,Hitters!$A1:$R401,5,FALSE)</f>
        <v>26.9</v>
      </c>
      <c r="O571" s="30">
        <f>VLOOKUP($B571,Hitters!$A1:$R401,6,FALSE)</f>
        <v>6.06666666666667</v>
      </c>
      <c r="P571" s="30">
        <f>VLOOKUP($B571,Hitters!$A1:$R401,7,FALSE)</f>
        <v>27.8</v>
      </c>
      <c r="Q571" s="30">
        <f>VLOOKUP($B571,Hitters!$A1:$R401,8,FALSE)</f>
        <v>3.8</v>
      </c>
      <c r="R571" s="32">
        <f>VLOOKUP($B571,Hitters!$A1:$R401,9,FALSE)</f>
        <v>0.24158878504672901</v>
      </c>
      <c r="S571" s="32">
        <f>VLOOKUP($B571,Hitters!$A1:$R401,10,FALSE)</f>
        <v>0.29244714724190402</v>
      </c>
      <c r="T571" s="30">
        <f>VLOOKUP($B571,Hitters!$A1:$R401,11,FALSE)</f>
        <v>51.7</v>
      </c>
      <c r="U571" s="30">
        <f>VLOOKUP($B571,Hitters!$A1:$R401,12,FALSE)</f>
        <v>10.033333333333299</v>
      </c>
      <c r="V571" s="30">
        <f>VLOOKUP($B571,Hitters!$A1:$R401,13,FALSE)</f>
        <v>1.1000000000000001</v>
      </c>
      <c r="W571" s="30">
        <f>VLOOKUP($B571,Hitters!$A1:$R401,14,FALSE)</f>
        <v>16.266666666666701</v>
      </c>
      <c r="X571" s="30">
        <f>VLOOKUP($B571,Hitters!$A1:$R401,15,FALSE)</f>
        <v>65.900000000000006</v>
      </c>
      <c r="Y571" s="32">
        <f>VLOOKUP($B571,Hitters!$A1:$R401,16,FALSE)</f>
        <v>0.38380062305295898</v>
      </c>
      <c r="Z571" s="32">
        <f>VLOOKUP($B571,Hitters!$A1:$R401,17,FALSE)</f>
        <v>0.67624777029486305</v>
      </c>
      <c r="AA571" s="30">
        <f>VLOOKUP($B571,Hitters!$A1:$R401,18,FALSE)</f>
        <v>0</v>
      </c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</row>
    <row r="572" spans="1:44" ht="18.600000000000001" customHeight="1">
      <c r="A572" s="24">
        <f ca="1">RANK(I572,I$2:I$651)</f>
        <v>517</v>
      </c>
      <c r="B572" s="25" t="s">
        <v>612</v>
      </c>
      <c r="C572" s="26" t="s">
        <v>72</v>
      </c>
      <c r="D572" s="26" t="s">
        <v>70</v>
      </c>
      <c r="E572" s="41" t="s">
        <v>34</v>
      </c>
      <c r="F572" s="42">
        <f ca="1">VLOOKUP(B572,RP!A1:I91,IF(Settings!$J$13="points",4,7),FALSE)</f>
        <v>83</v>
      </c>
      <c r="G572" s="29">
        <f>(AC572*Settings!$F$2)+(AF572*Settings!$F$5)+(AG572*Settings!$F$6)+(AH572*Settings!$F$7)+(AI572*Settings!$F$8)+(AJ572*Settings!$F$9)+(AK572*Settings!$F$10)+(AL572*Settings!$F$11)+(AM572*Settings!$F$12)+(AN572*Settings!$F$13)+(AO572*Settings!$F$14)+(AP572*Settings!$F$15)+(AQ572*Settings!$F$16)+(AR572*Settings!$F$17)</f>
        <v>144.84999999999997</v>
      </c>
      <c r="H572" s="30">
        <f>VLOOKUP(B572,'Standard Deviations'!$A1:$D651,4,FALSE)</f>
        <v>-2.1987753190534045</v>
      </c>
      <c r="I572" s="31">
        <f ca="1">IF(Settings!$J$16="no",VLOOKUP(B572,RP!A1:I91,IF(Settings!$J$13="points",6,9),FALSE),VLOOKUP(B572,'SP+RP'!$A1:$I251,IF(Settings!$J$13="points",6,9),FALSE))</f>
        <v>-3.7698403146204962</v>
      </c>
      <c r="J572" s="30"/>
      <c r="K572" s="30">
        <f ca="1">J572-A572</f>
        <v>-517</v>
      </c>
      <c r="L572" s="30"/>
      <c r="M572" s="30"/>
      <c r="N572" s="30"/>
      <c r="O572" s="30"/>
      <c r="P572" s="30"/>
      <c r="Q572" s="30"/>
      <c r="R572" s="32"/>
      <c r="S572" s="32"/>
      <c r="T572" s="30"/>
      <c r="U572" s="30"/>
      <c r="V572" s="30"/>
      <c r="W572" s="30"/>
      <c r="X572" s="30"/>
      <c r="Y572" s="32"/>
      <c r="Z572" s="32"/>
      <c r="AA572" s="30"/>
      <c r="AB572" s="30"/>
      <c r="AC572" s="30">
        <f>VLOOKUP($B572,Pitchers!$A1:$S251,4,FALSE)</f>
        <v>62.633333333333326</v>
      </c>
      <c r="AD572" s="32">
        <f>VLOOKUP($B572,Pitchers!$A1:$S251,5,FALSE)</f>
        <v>3.6785524215007985</v>
      </c>
      <c r="AE572" s="32">
        <f>VLOOKUP($B572,Pitchers!$A1:$S251,6,FALSE)</f>
        <v>1.2937732836615221</v>
      </c>
      <c r="AF572" s="30">
        <f>VLOOKUP($B572,Pitchers!$A1:$S251,7,FALSE)</f>
        <v>76.63333333333334</v>
      </c>
      <c r="AG572" s="30">
        <f>VLOOKUP($B572,Pitchers!$A1:$S251,8,FALSE)</f>
        <v>5.4666666666666659</v>
      </c>
      <c r="AH572" s="30">
        <f>VLOOKUP($B572,Pitchers!$A1:$S251,9,FALSE)</f>
        <v>1</v>
      </c>
      <c r="AI572" s="30">
        <f>VLOOKUP($B572,Pitchers!$A1:$S251,10,FALSE)</f>
        <v>25.599999999999998</v>
      </c>
      <c r="AJ572" s="30">
        <f>VLOOKUP($B572,Pitchers!$A1:$S251,11,FALSE)</f>
        <v>49.699999999999996</v>
      </c>
      <c r="AK572" s="30">
        <f>VLOOKUP($B572,Pitchers!$A1:$S251,12,FALSE)</f>
        <v>31.333333333333332</v>
      </c>
      <c r="AL572" s="30">
        <f>VLOOKUP($B572,Pitchers!$A1:$S251,13,FALSE)</f>
        <v>6</v>
      </c>
      <c r="AM572" s="30">
        <f>VLOOKUP($B572,Pitchers!$A1:$S251,14,FALSE)</f>
        <v>55.6</v>
      </c>
      <c r="AN572" s="30">
        <f>VLOOKUP($B572,Pitchers!$A1:$S251,15,FALSE)</f>
        <v>2</v>
      </c>
      <c r="AO572" s="30">
        <f>VLOOKUP($B572,Pitchers!$A1:$S251,16,FALSE)</f>
        <v>4</v>
      </c>
      <c r="AP572" s="30">
        <f>VLOOKUP($B572,Pitchers!$A1:$S251,17,FALSE)</f>
        <v>0</v>
      </c>
      <c r="AQ572" s="30">
        <f>VLOOKUP($B572,Pitchers!$A1:$S251,18,FALSE)</f>
        <v>12</v>
      </c>
      <c r="AR572" s="30">
        <f>VLOOKUP($B572,Pitchers!$A1:$S251,19,FALSE)</f>
        <v>1</v>
      </c>
    </row>
    <row r="573" spans="1:44" ht="18.600000000000001" customHeight="1">
      <c r="A573" s="24">
        <f ca="1">RANK(I573,I$2:I$651)</f>
        <v>646</v>
      </c>
      <c r="B573" s="25" t="s">
        <v>742</v>
      </c>
      <c r="C573" s="26" t="s">
        <v>125</v>
      </c>
      <c r="D573" s="26" t="s">
        <v>75</v>
      </c>
      <c r="E573" s="37" t="s">
        <v>27</v>
      </c>
      <c r="F573" s="38">
        <f ca="1">VLOOKUP(B573,SS!A1:I45,IF(Settings!$J$13="points",4,7),FALSE)</f>
        <v>40</v>
      </c>
      <c r="G573" s="29">
        <f>(M573*Settings!$B$2)+(N573*Settings!$B$3)+(O573*Settings!$B$4)+(P573*Settings!$B$5)+(Q573*Settings!$B$6)+(T573*Settings!$B$9)+(U573*Settings!$B$10)+(V573*Settings!$B$11)+(W573*Settings!$B$12)+(X573*Settings!$B$13)+(AA573*Settings!$B$16)</f>
        <v>144.83333333333343</v>
      </c>
      <c r="H573" s="30">
        <f>VLOOKUP(B573,'Standard Deviations'!$A1:$D651,4,FALSE)</f>
        <v>-5.6346917461495467</v>
      </c>
      <c r="I573" s="31">
        <f ca="1">IF(Settings!$J$16="no",VLOOKUP(B573,SS!A1:I45,IF(Settings!$J$13="points",6,9),FALSE),VLOOKUP(B573,'2B+SS'!$A1:$I94,IF(Settings!$J$13="points",6,9),FALSE))</f>
        <v>-8.6391145419696453</v>
      </c>
      <c r="J573" s="30"/>
      <c r="K573" s="30">
        <f ca="1">J573-A573</f>
        <v>-646</v>
      </c>
      <c r="L573" s="30"/>
      <c r="M573" s="30">
        <f>VLOOKUP($B573,Hitters!$A1:$R401,4,FALSE)</f>
        <v>218.666666666667</v>
      </c>
      <c r="N573" s="30">
        <f>VLOOKUP($B573,Hitters!$A1:$R401,5,FALSE)</f>
        <v>26.266666666666701</v>
      </c>
      <c r="O573" s="30">
        <f>VLOOKUP($B573,Hitters!$A1:$R401,6,FALSE)</f>
        <v>8.7666666666666693</v>
      </c>
      <c r="P573" s="30">
        <f>VLOOKUP($B573,Hitters!$A1:$R401,7,FALSE)</f>
        <v>28.933333333333302</v>
      </c>
      <c r="Q573" s="30">
        <f>VLOOKUP($B573,Hitters!$A1:$R401,8,FALSE)</f>
        <v>2.6</v>
      </c>
      <c r="R573" s="32">
        <f>VLOOKUP($B573,Hitters!$A1:$R401,9,FALSE)</f>
        <v>0.20426829268292701</v>
      </c>
      <c r="S573" s="32">
        <f>VLOOKUP($B573,Hitters!$A1:$R401,10,FALSE)</f>
        <v>0.27241692591471001</v>
      </c>
      <c r="T573" s="30">
        <f>VLOOKUP($B573,Hitters!$A1:$R401,11,FALSE)</f>
        <v>44.6666666666667</v>
      </c>
      <c r="U573" s="30">
        <f>VLOOKUP($B573,Hitters!$A1:$R401,12,FALSE)</f>
        <v>8.9</v>
      </c>
      <c r="V573" s="30">
        <f>VLOOKUP($B573,Hitters!$A1:$R401,13,FALSE)</f>
        <v>0.1</v>
      </c>
      <c r="W573" s="30">
        <f>VLOOKUP($B573,Hitters!$A1:$R401,14,FALSE)</f>
        <v>21.3</v>
      </c>
      <c r="X573" s="30">
        <f>VLOOKUP($B573,Hitters!$A1:$R401,15,FALSE)</f>
        <v>69.400000000000006</v>
      </c>
      <c r="Y573" s="32">
        <f>VLOOKUP($B573,Hitters!$A1:$R401,16,FALSE)</f>
        <v>0.36615853658536601</v>
      </c>
      <c r="Z573" s="32">
        <f>VLOOKUP($B573,Hitters!$A1:$R401,17,FALSE)</f>
        <v>0.63857546250007502</v>
      </c>
      <c r="AA573" s="30">
        <f>VLOOKUP($B573,Hitters!$A1:$R401,18,FALSE)</f>
        <v>0</v>
      </c>
      <c r="AB573" s="30"/>
      <c r="AC573" s="30"/>
      <c r="AD573" s="32"/>
      <c r="AE573" s="32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</row>
    <row r="574" spans="1:44" ht="18.600000000000001" customHeight="1">
      <c r="A574" s="24">
        <f ca="1">RANK(I574,I$2:I$651)</f>
        <v>641</v>
      </c>
      <c r="B574" s="25" t="s">
        <v>737</v>
      </c>
      <c r="C574" s="26" t="s">
        <v>142</v>
      </c>
      <c r="D574" s="26" t="s">
        <v>70</v>
      </c>
      <c r="E574" s="39" t="s">
        <v>7</v>
      </c>
      <c r="F574" s="40">
        <f ca="1">VLOOKUP(B574,'1B'!A1:I63,IF(Settings!$J$13="points",4,7),FALSE)</f>
        <v>61</v>
      </c>
      <c r="G574" s="29">
        <f>(M574*Settings!$B$2)+(N574*Settings!$B$3)+(O574*Settings!$B$4)+(P574*Settings!$B$5)+(Q574*Settings!$B$6)+(T574*Settings!$B$9)+(U574*Settings!$B$10)+(V574*Settings!$B$11)+(W574*Settings!$B$12)+(X574*Settings!$B$13)+(AA574*Settings!$B$16)</f>
        <v>144.79999999999998</v>
      </c>
      <c r="H574" s="30">
        <f>VLOOKUP(B574,'Standard Deviations'!$A1:$D651,4,FALSE)</f>
        <v>-5.3427213446241497</v>
      </c>
      <c r="I574" s="31">
        <f ca="1">IF(Settings!$J$15="no",VLOOKUP(B574,'1B'!A1:I63,IF(Settings!$J$13="points",6,9),FALSE),VLOOKUP(B574,'1B+3B'!$A1:$I104,IF(Settings!$J$13="points",6,9),FALSE))</f>
        <v>-7.9222531818875677</v>
      </c>
      <c r="J574" s="30"/>
      <c r="K574" s="30">
        <f ca="1">J574-A574</f>
        <v>-641</v>
      </c>
      <c r="L574" s="30"/>
      <c r="M574" s="30">
        <f>VLOOKUP($B574,Hitters!$A1:$R401,4,FALSE)</f>
        <v>200</v>
      </c>
      <c r="N574" s="30">
        <f>VLOOKUP($B574,Hitters!$A1:$R401,5,FALSE)</f>
        <v>25.6</v>
      </c>
      <c r="O574" s="30">
        <f>VLOOKUP($B574,Hitters!$A1:$R401,6,FALSE)</f>
        <v>8.25</v>
      </c>
      <c r="P574" s="30">
        <f>VLOOKUP($B574,Hitters!$A1:$R401,7,FALSE)</f>
        <v>25.2</v>
      </c>
      <c r="Q574" s="30">
        <f>VLOOKUP($B574,Hitters!$A1:$R401,8,FALSE)</f>
        <v>3</v>
      </c>
      <c r="R574" s="32">
        <f>VLOOKUP($B574,Hitters!$A1:$R401,9,FALSE)</f>
        <v>0.2145</v>
      </c>
      <c r="S574" s="32">
        <f>VLOOKUP($B574,Hitters!$A1:$R401,10,FALSE)</f>
        <v>0.30554343081623703</v>
      </c>
      <c r="T574" s="30">
        <f>VLOOKUP($B574,Hitters!$A1:$R401,11,FALSE)</f>
        <v>42.9</v>
      </c>
      <c r="U574" s="30">
        <f>VLOOKUP($B574,Hitters!$A1:$R401,12,FALSE)</f>
        <v>9.25</v>
      </c>
      <c r="V574" s="30">
        <f>VLOOKUP($B574,Hitters!$A1:$R401,13,FALSE)</f>
        <v>0.7</v>
      </c>
      <c r="W574" s="30">
        <f>VLOOKUP($B574,Hitters!$A1:$R401,14,FALSE)</f>
        <v>27.1</v>
      </c>
      <c r="X574" s="30">
        <f>VLOOKUP($B574,Hitters!$A1:$R401,15,FALSE)</f>
        <v>71.2</v>
      </c>
      <c r="Y574" s="32">
        <f>VLOOKUP($B574,Hitters!$A1:$R401,16,FALSE)</f>
        <v>0.39150000000000001</v>
      </c>
      <c r="Z574" s="32">
        <f>VLOOKUP($B574,Hitters!$A1:$R401,17,FALSE)</f>
        <v>0.69704343081623699</v>
      </c>
      <c r="AA574" s="30">
        <f>VLOOKUP($B574,Hitters!$A1:$R401,18,FALSE)</f>
        <v>0</v>
      </c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</row>
    <row r="575" spans="1:44" ht="18.600000000000001" customHeight="1">
      <c r="A575" s="24">
        <f ca="1">RANK(I575,I$2:I$651)</f>
        <v>571</v>
      </c>
      <c r="B575" s="25" t="s">
        <v>668</v>
      </c>
      <c r="C575" s="26" t="s">
        <v>178</v>
      </c>
      <c r="D575" s="26" t="s">
        <v>75</v>
      </c>
      <c r="E575" s="33" t="s">
        <v>15</v>
      </c>
      <c r="F575" s="34">
        <f ca="1">VLOOKUP(B575,'3B'!A1:I55,IF(Settings!$J$13="points",4,7),FALSE)</f>
        <v>43</v>
      </c>
      <c r="G575" s="29">
        <f>(M575*Settings!$B$2)+(N575*Settings!$B$3)+(O575*Settings!$B$4)+(P575*Settings!$B$5)+(Q575*Settings!$B$6)+(T575*Settings!$B$9)+(U575*Settings!$B$10)+(V575*Settings!$B$11)+(W575*Settings!$B$12)+(X575*Settings!$B$13)+(AA575*Settings!$B$16)</f>
        <v>144.44999999999999</v>
      </c>
      <c r="H575" s="30">
        <f>VLOOKUP(B575,'Standard Deviations'!$A1:$D651,4,FALSE)</f>
        <v>-3.9932981099865592</v>
      </c>
      <c r="I575" s="31">
        <f ca="1">IF(Settings!$J$15="no",VLOOKUP(B575,'3B'!A1:I55,IF(Settings!$J$13="points",6,9),FALSE),VLOOKUP(B575,'1B+3B'!$A1:$I104,IF(Settings!$J$13="points",6,9),FALSE))</f>
        <v>-4.7209743700194267</v>
      </c>
      <c r="J575" s="30"/>
      <c r="K575" s="30">
        <f ca="1">J575-A575</f>
        <v>-571</v>
      </c>
      <c r="L575" s="30"/>
      <c r="M575" s="30">
        <f>VLOOKUP($B575,Hitters!$A1:$R401,4,FALSE)</f>
        <v>195.333333333333</v>
      </c>
      <c r="N575" s="30">
        <f>VLOOKUP($B575,Hitters!$A1:$R401,5,FALSE)</f>
        <v>25.6</v>
      </c>
      <c r="O575" s="30">
        <f>VLOOKUP($B575,Hitters!$A1:$R401,6,FALSE)</f>
        <v>7.8333333333333304</v>
      </c>
      <c r="P575" s="30">
        <f>VLOOKUP($B575,Hitters!$A1:$R401,7,FALSE)</f>
        <v>26.533333333333299</v>
      </c>
      <c r="Q575" s="30">
        <f>VLOOKUP($B575,Hitters!$A1:$R401,8,FALSE)</f>
        <v>0.66666666666666696</v>
      </c>
      <c r="R575" s="32">
        <f>VLOOKUP($B575,Hitters!$A1:$R401,9,FALSE)</f>
        <v>0.24914675767918101</v>
      </c>
      <c r="S575" s="32">
        <f>VLOOKUP($B575,Hitters!$A1:$R401,10,FALSE)</f>
        <v>0.29156603533748598</v>
      </c>
      <c r="T575" s="30">
        <f>VLOOKUP($B575,Hitters!$A1:$R401,11,FALSE)</f>
        <v>48.6666666666667</v>
      </c>
      <c r="U575" s="30">
        <f>VLOOKUP($B575,Hitters!$A1:$R401,12,FALSE)</f>
        <v>12.3</v>
      </c>
      <c r="V575" s="30">
        <f>VLOOKUP($B575,Hitters!$A1:$R401,13,FALSE)</f>
        <v>0.93333333333333302</v>
      </c>
      <c r="W575" s="30">
        <f>VLOOKUP($B575,Hitters!$A1:$R401,14,FALSE)</f>
        <v>12.5</v>
      </c>
      <c r="X575" s="30">
        <f>VLOOKUP($B575,Hitters!$A1:$R401,15,FALSE)</f>
        <v>57.8333333333333</v>
      </c>
      <c r="Y575" s="32">
        <f>VLOOKUP($B575,Hitters!$A1:$R401,16,FALSE)</f>
        <v>0.44197952218429998</v>
      </c>
      <c r="Z575" s="32">
        <f>VLOOKUP($B575,Hitters!$A1:$R401,17,FALSE)</f>
        <v>0.73354555752178596</v>
      </c>
      <c r="AA575" s="30">
        <f>VLOOKUP($B575,Hitters!$A1:$R401,18,FALSE)</f>
        <v>0</v>
      </c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</row>
    <row r="576" spans="1:44" ht="18.600000000000001" customHeight="1">
      <c r="A576" s="24">
        <f ca="1">RANK(I576,I$2:I$651)</f>
        <v>458</v>
      </c>
      <c r="B576" s="25" t="s">
        <v>555</v>
      </c>
      <c r="C576" s="26" t="s">
        <v>105</v>
      </c>
      <c r="D576" s="26" t="s">
        <v>70</v>
      </c>
      <c r="E576" s="41" t="s">
        <v>34</v>
      </c>
      <c r="F576" s="42">
        <f ca="1">VLOOKUP(B576,RP!A1:I91,IF(Settings!$J$13="points",4,7),FALSE)</f>
        <v>61</v>
      </c>
      <c r="G576" s="29">
        <f>(AC576*Settings!$F$2)+(AF576*Settings!$F$5)+(AG576*Settings!$F$6)+(AH576*Settings!$F$7)+(AI576*Settings!$F$8)+(AJ576*Settings!$F$9)+(AK576*Settings!$F$10)+(AL576*Settings!$F$11)+(AM576*Settings!$F$12)+(AN576*Settings!$F$13)+(AO576*Settings!$F$14)+(AP576*Settings!$F$15)+(AQ576*Settings!$F$16)+(AR576*Settings!$F$17)</f>
        <v>143.94999999999999</v>
      </c>
      <c r="H576" s="30">
        <f>VLOOKUP(B576,'Standard Deviations'!$A1:$D651,4,FALSE)</f>
        <v>-1.4793870350010283</v>
      </c>
      <c r="I576" s="31">
        <f ca="1">IF(Settings!$J$16="no",VLOOKUP(B576,RP!A1:I91,IF(Settings!$J$13="points",6,9),FALSE),VLOOKUP(B576,'SP+RP'!$A1:$I251,IF(Settings!$J$13="points",6,9),FALSE))</f>
        <v>-3.0504573428778352</v>
      </c>
      <c r="J576" s="30"/>
      <c r="K576" s="30">
        <f ca="1">J576-A576</f>
        <v>-458</v>
      </c>
      <c r="L576" s="30"/>
      <c r="M576" s="30"/>
      <c r="N576" s="30"/>
      <c r="O576" s="30"/>
      <c r="P576" s="30"/>
      <c r="Q576" s="30"/>
      <c r="R576" s="32"/>
      <c r="S576" s="32"/>
      <c r="T576" s="30"/>
      <c r="U576" s="30"/>
      <c r="V576" s="30"/>
      <c r="W576" s="30"/>
      <c r="X576" s="30"/>
      <c r="Y576" s="32"/>
      <c r="Z576" s="32"/>
      <c r="AA576" s="30"/>
      <c r="AB576" s="30"/>
      <c r="AC576" s="30">
        <f>VLOOKUP($B576,Pitchers!$A1:$S251,4,FALSE)</f>
        <v>57.233333333333327</v>
      </c>
      <c r="AD576" s="32">
        <f>VLOOKUP($B576,Pitchers!$A1:$S251,5,FALSE)</f>
        <v>3.4071054164239958</v>
      </c>
      <c r="AE576" s="32">
        <f>VLOOKUP($B576,Pitchers!$A1:$S251,6,FALSE)</f>
        <v>1.1951077460687247</v>
      </c>
      <c r="AF576" s="30">
        <f>VLOOKUP($B576,Pitchers!$A1:$S251,7,FALSE)</f>
        <v>60.433333333333337</v>
      </c>
      <c r="AG576" s="30">
        <f>VLOOKUP($B576,Pitchers!$A1:$S251,8,FALSE)</f>
        <v>2.8000000000000003</v>
      </c>
      <c r="AH576" s="30">
        <f>VLOOKUP($B576,Pitchers!$A1:$S251,9,FALSE)</f>
        <v>3.6666666666666665</v>
      </c>
      <c r="AI576" s="30">
        <f>VLOOKUP($B576,Pitchers!$A1:$S251,10,FALSE)</f>
        <v>21.666666666666668</v>
      </c>
      <c r="AJ576" s="30">
        <f>VLOOKUP($B576,Pitchers!$A1:$S251,11,FALSE)</f>
        <v>49.866666666666667</v>
      </c>
      <c r="AK576" s="30">
        <f>VLOOKUP($B576,Pitchers!$A1:$S251,12,FALSE)</f>
        <v>18.533333333333335</v>
      </c>
      <c r="AL576" s="30">
        <f>VLOOKUP($B576,Pitchers!$A1:$S251,13,FALSE)</f>
        <v>7</v>
      </c>
      <c r="AM576" s="30">
        <f>VLOOKUP($B576,Pitchers!$A1:$S251,14,FALSE)</f>
        <v>56.933333333333337</v>
      </c>
      <c r="AN576" s="30">
        <f>VLOOKUP($B576,Pitchers!$A1:$S251,15,FALSE)</f>
        <v>0</v>
      </c>
      <c r="AO576" s="30">
        <f>VLOOKUP($B576,Pitchers!$A1:$S251,16,FALSE)</f>
        <v>2.6333333333333333</v>
      </c>
      <c r="AP576" s="30">
        <f>VLOOKUP($B576,Pitchers!$A1:$S251,17,FALSE)</f>
        <v>0</v>
      </c>
      <c r="AQ576" s="30">
        <f>VLOOKUP($B576,Pitchers!$A1:$S251,18,FALSE)</f>
        <v>16</v>
      </c>
      <c r="AR576" s="30">
        <f>VLOOKUP($B576,Pitchers!$A1:$S251,19,FALSE)</f>
        <v>0</v>
      </c>
    </row>
    <row r="577" spans="1:44" ht="18.600000000000001" customHeight="1">
      <c r="A577" s="24">
        <f ca="1">RANK(I577,I$2:I$651)</f>
        <v>643</v>
      </c>
      <c r="B577" s="49" t="s">
        <v>739</v>
      </c>
      <c r="C577" s="49" t="s">
        <v>119</v>
      </c>
      <c r="D577" s="26" t="s">
        <v>70</v>
      </c>
      <c r="E577" s="39" t="s">
        <v>7</v>
      </c>
      <c r="F577" s="40">
        <f ca="1">VLOOKUP(B577,'1B'!A1:I63,IF(Settings!$J$13="points",4,7),FALSE)</f>
        <v>62</v>
      </c>
      <c r="G577" s="29">
        <f>(M577*Settings!$B$2)+(N577*Settings!$B$3)+(O577*Settings!$B$4)+(P577*Settings!$B$5)+(Q577*Settings!$B$6)+(T577*Settings!$B$9)+(U577*Settings!$B$10)+(V577*Settings!$B$11)+(W577*Settings!$B$12)+(X577*Settings!$B$13)+(AA577*Settings!$B$16)</f>
        <v>143.85000000000008</v>
      </c>
      <c r="H577" s="30">
        <f>VLOOKUP(B577,'Standard Deviations'!$A1:$D651,4,FALSE)</f>
        <v>-5.5089391493800903</v>
      </c>
      <c r="I577" s="31">
        <f ca="1">IF(Settings!$J$15="no",VLOOKUP(B577,'1B'!A1:I63,IF(Settings!$J$13="points",6,9),FALSE),VLOOKUP(B577,'1B+3B'!$A1:$I104,IF(Settings!$J$13="points",6,9),FALSE))</f>
        <v>-8.088469516552351</v>
      </c>
      <c r="J577" s="30"/>
      <c r="K577" s="30">
        <f ca="1">J577-A577</f>
        <v>-643</v>
      </c>
      <c r="L577" s="30"/>
      <c r="M577" s="30">
        <f>VLOOKUP($B577,Hitters!$A1:$R401,4,FALSE)</f>
        <v>194.666666666667</v>
      </c>
      <c r="N577" s="30">
        <f>VLOOKUP($B577,Hitters!$A1:$R401,5,FALSE)</f>
        <v>25.233333333333299</v>
      </c>
      <c r="O577" s="30">
        <f>VLOOKUP($B577,Hitters!$A1:$R401,6,FALSE)</f>
        <v>8.9</v>
      </c>
      <c r="P577" s="30">
        <f>VLOOKUP($B577,Hitters!$A1:$R401,7,FALSE)</f>
        <v>26.766666666666701</v>
      </c>
      <c r="Q577" s="30">
        <f>VLOOKUP($B577,Hitters!$A1:$R401,8,FALSE)</f>
        <v>1.8</v>
      </c>
      <c r="R577" s="32">
        <f>VLOOKUP($B577,Hitters!$A1:$R401,9,FALSE)</f>
        <v>0.21198630136986299</v>
      </c>
      <c r="S577" s="32">
        <f>VLOOKUP($B577,Hitters!$A1:$R401,10,FALSE)</f>
        <v>0.29669201979958998</v>
      </c>
      <c r="T577" s="30">
        <f>VLOOKUP($B577,Hitters!$A1:$R401,11,FALSE)</f>
        <v>41.266666666666701</v>
      </c>
      <c r="U577" s="30">
        <f>VLOOKUP($B577,Hitters!$A1:$R401,12,FALSE)</f>
        <v>9.2666666666666693</v>
      </c>
      <c r="V577" s="30">
        <f>VLOOKUP($B577,Hitters!$A1:$R401,13,FALSE)</f>
        <v>1.5333333333333301</v>
      </c>
      <c r="W577" s="30">
        <f>VLOOKUP($B577,Hitters!$A1:$R401,14,FALSE)</f>
        <v>24.266666666666701</v>
      </c>
      <c r="X577" s="30">
        <f>VLOOKUP($B577,Hitters!$A1:$R401,15,FALSE)</f>
        <v>72.033333333333303</v>
      </c>
      <c r="Y577" s="32">
        <f>VLOOKUP($B577,Hitters!$A1:$R401,16,FALSE)</f>
        <v>0.41249999999999998</v>
      </c>
      <c r="Z577" s="32">
        <f>VLOOKUP($B577,Hitters!$A1:$R401,17,FALSE)</f>
        <v>0.70919201979959001</v>
      </c>
      <c r="AA577" s="30">
        <f>VLOOKUP($B577,Hitters!$A1:$R401,18,FALSE)</f>
        <v>0</v>
      </c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</row>
    <row r="578" spans="1:44" ht="18.600000000000001" customHeight="1">
      <c r="A578" s="24">
        <f ca="1">RANK(I578,I$2:I$651)</f>
        <v>400</v>
      </c>
      <c r="B578" s="25" t="s">
        <v>497</v>
      </c>
      <c r="C578" s="26" t="s">
        <v>158</v>
      </c>
      <c r="D578" s="26" t="s">
        <v>70</v>
      </c>
      <c r="E578" s="41" t="s">
        <v>34</v>
      </c>
      <c r="F578" s="42">
        <f ca="1">VLOOKUP(B578,RP!A1:I91,IF(Settings!$J$13="points",4,7),FALSE)</f>
        <v>40</v>
      </c>
      <c r="G578" s="29">
        <f>(AC578*Settings!$F$2)+(AF578*Settings!$F$5)+(AG578*Settings!$F$6)+(AH578*Settings!$F$7)+(AI578*Settings!$F$8)+(AJ578*Settings!$F$9)+(AK578*Settings!$F$10)+(AL578*Settings!$F$11)+(AM578*Settings!$F$12)+(AN578*Settings!$F$13)+(AO578*Settings!$F$14)+(AP578*Settings!$F$15)+(AQ578*Settings!$F$16)+(AR578*Settings!$F$17)</f>
        <v>143.18333333333337</v>
      </c>
      <c r="H578" s="30">
        <f>VLOOKUP(B578,'Standard Deviations'!$A1:$D651,4,FALSE)</f>
        <v>-0.85538197128627713</v>
      </c>
      <c r="I578" s="31">
        <f ca="1">IF(Settings!$J$16="no",VLOOKUP(B578,RP!A1:I91,IF(Settings!$J$13="points",6,9),FALSE),VLOOKUP(B578,'SP+RP'!$A1:$I251,IF(Settings!$J$13="points",6,9),FALSE))</f>
        <v>-2.4264508945378234</v>
      </c>
      <c r="J578" s="30"/>
      <c r="K578" s="30">
        <f ca="1">J578-A578</f>
        <v>-400</v>
      </c>
      <c r="L578" s="30"/>
      <c r="M578" s="30"/>
      <c r="N578" s="30"/>
      <c r="O578" s="30"/>
      <c r="P578" s="30"/>
      <c r="Q578" s="30"/>
      <c r="R578" s="32"/>
      <c r="S578" s="32"/>
      <c r="T578" s="30"/>
      <c r="U578" s="30"/>
      <c r="V578" s="30"/>
      <c r="W578" s="30"/>
      <c r="X578" s="30"/>
      <c r="Y578" s="32"/>
      <c r="Z578" s="32"/>
      <c r="AA578" s="30"/>
      <c r="AB578" s="30"/>
      <c r="AC578" s="30">
        <f>VLOOKUP($B578,Pitchers!$A1:$S251,4,FALSE)</f>
        <v>59.433333333333337</v>
      </c>
      <c r="AD578" s="32">
        <f>VLOOKUP($B578,Pitchers!$A1:$S251,5,FALSE)</f>
        <v>3.3264161525518787</v>
      </c>
      <c r="AE578" s="32">
        <f>VLOOKUP($B578,Pitchers!$A1:$S251,6,FALSE)</f>
        <v>1.1716208637128434</v>
      </c>
      <c r="AF578" s="30">
        <f>VLOOKUP($B578,Pitchers!$A1:$S251,7,FALSE)</f>
        <v>72.5</v>
      </c>
      <c r="AG578" s="30">
        <f>VLOOKUP($B578,Pitchers!$A1:$S251,8,FALSE)</f>
        <v>4.0333333333333332</v>
      </c>
      <c r="AH578" s="30">
        <f>VLOOKUP($B578,Pitchers!$A1:$S251,9,FALSE)</f>
        <v>0.66666666666666663</v>
      </c>
      <c r="AI578" s="30">
        <f>VLOOKUP($B578,Pitchers!$A1:$S251,10,FALSE)</f>
        <v>21.966666666666669</v>
      </c>
      <c r="AJ578" s="30">
        <f>VLOOKUP($B578,Pitchers!$A1:$S251,11,FALSE)</f>
        <v>50.133333333333333</v>
      </c>
      <c r="AK578" s="30">
        <f>VLOOKUP($B578,Pitchers!$A1:$S251,12,FALSE)</f>
        <v>19.5</v>
      </c>
      <c r="AL578" s="30">
        <f>VLOOKUP($B578,Pitchers!$A1:$S251,13,FALSE)</f>
        <v>8</v>
      </c>
      <c r="AM578" s="30">
        <f>VLOOKUP($B578,Pitchers!$A1:$S251,14,FALSE)</f>
        <v>61.933333333333337</v>
      </c>
      <c r="AN578" s="30">
        <f>VLOOKUP($B578,Pitchers!$A1:$S251,15,FALSE)</f>
        <v>0</v>
      </c>
      <c r="AO578" s="30">
        <f>VLOOKUP($B578,Pitchers!$A1:$S251,16,FALSE)</f>
        <v>2.5333333333333332</v>
      </c>
      <c r="AP578" s="30">
        <f>VLOOKUP($B578,Pitchers!$A1:$S251,17,FALSE)</f>
        <v>0</v>
      </c>
      <c r="AQ578" s="30">
        <f>VLOOKUP($B578,Pitchers!$A1:$S251,18,FALSE)</f>
        <v>16</v>
      </c>
      <c r="AR578" s="30">
        <f>VLOOKUP($B578,Pitchers!$A1:$S251,19,FALSE)</f>
        <v>4</v>
      </c>
    </row>
    <row r="579" spans="1:44" ht="18.600000000000001" customHeight="1">
      <c r="A579" s="24">
        <f ca="1">RANK(I579,I$2:I$651)</f>
        <v>592</v>
      </c>
      <c r="B579" s="25" t="s">
        <v>688</v>
      </c>
      <c r="C579" s="26" t="s">
        <v>158</v>
      </c>
      <c r="D579" s="26" t="s">
        <v>70</v>
      </c>
      <c r="E579" s="45" t="s">
        <v>19</v>
      </c>
      <c r="F579" s="46">
        <f ca="1">VLOOKUP(B579,'C'!A1:I54,IF(Settings!$J$13="points",4,7),FALSE)</f>
        <v>48</v>
      </c>
      <c r="G579" s="29">
        <f>(M579*Settings!$B$2)+(N579*Settings!$B$3)+(O579*Settings!$B$4)+(P579*Settings!$B$5)+(Q579*Settings!$B$6)+(T579*Settings!$B$9)+(U579*Settings!$B$10)+(V579*Settings!$B$11)+(W579*Settings!$B$12)+(X579*Settings!$B$13)+(AA579*Settings!$B$16)</f>
        <v>142.55000000000001</v>
      </c>
      <c r="H579" s="30">
        <f>VLOOKUP(B579,'Standard Deviations'!$A1:$D651,4,FALSE)</f>
        <v>-5.504131789312158</v>
      </c>
      <c r="I579" s="31">
        <f ca="1">VLOOKUP(B579,'C'!A1:I54,IF(Settings!$J$13="points",6,9),FALSE)</f>
        <v>-5.1870333077110979</v>
      </c>
      <c r="J579" s="30"/>
      <c r="K579" s="30">
        <f ca="1">J579-A579</f>
        <v>-592</v>
      </c>
      <c r="L579" s="30"/>
      <c r="M579" s="30">
        <f>VLOOKUP($B579,Hitters!$A1:$R401,4,FALSE)</f>
        <v>216.666666666667</v>
      </c>
      <c r="N579" s="30">
        <f>VLOOKUP($B579,Hitters!$A1:$R401,5,FALSE)</f>
        <v>25.6666666666667</v>
      </c>
      <c r="O579" s="30">
        <f>VLOOKUP($B579,Hitters!$A1:$R401,6,FALSE)</f>
        <v>8.6666666666666696</v>
      </c>
      <c r="P579" s="30">
        <f>VLOOKUP($B579,Hitters!$A1:$R401,7,FALSE)</f>
        <v>27.233333333333299</v>
      </c>
      <c r="Q579" s="30">
        <f>VLOOKUP($B579,Hitters!$A1:$R401,8,FALSE)</f>
        <v>0.7</v>
      </c>
      <c r="R579" s="32">
        <f>VLOOKUP($B579,Hitters!$A1:$R401,9,FALSE)</f>
        <v>0.215230769230769</v>
      </c>
      <c r="S579" s="32">
        <f>VLOOKUP($B579,Hitters!$A1:$R401,10,FALSE)</f>
        <v>0.28220091704876998</v>
      </c>
      <c r="T579" s="30">
        <f>VLOOKUP($B579,Hitters!$A1:$R401,11,FALSE)</f>
        <v>46.633333333333297</v>
      </c>
      <c r="U579" s="30">
        <f>VLOOKUP($B579,Hitters!$A1:$R401,12,FALSE)</f>
        <v>8.9</v>
      </c>
      <c r="V579" s="30">
        <f>VLOOKUP($B579,Hitters!$A1:$R401,13,FALSE)</f>
        <v>0.9</v>
      </c>
      <c r="W579" s="30">
        <f>VLOOKUP($B579,Hitters!$A1:$R401,14,FALSE)</f>
        <v>21.066666666666698</v>
      </c>
      <c r="X579" s="30">
        <f>VLOOKUP($B579,Hitters!$A1:$R401,15,FALSE)</f>
        <v>69.233333333333306</v>
      </c>
      <c r="Y579" s="32">
        <f>VLOOKUP($B579,Hitters!$A1:$R401,16,FALSE)</f>
        <v>0.38461538461538503</v>
      </c>
      <c r="Z579" s="32">
        <f>VLOOKUP($B579,Hitters!$A1:$R401,17,FALSE)</f>
        <v>0.66681630166415495</v>
      </c>
      <c r="AA579" s="30">
        <f>VLOOKUP($B579,Hitters!$A1:$R401,18,FALSE)</f>
        <v>0</v>
      </c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</row>
    <row r="580" spans="1:44" ht="18.600000000000001" customHeight="1">
      <c r="A580" s="24">
        <f ca="1">RANK(I580,I$2:I$651)</f>
        <v>567</v>
      </c>
      <c r="B580" s="25" t="s">
        <v>664</v>
      </c>
      <c r="C580" s="26" t="s">
        <v>103</v>
      </c>
      <c r="D580" s="26" t="s">
        <v>70</v>
      </c>
      <c r="E580" s="27" t="s">
        <v>23</v>
      </c>
      <c r="F580" s="28">
        <f ca="1">VLOOKUP(B580,OF!A1:I139,IF(Settings!$J$13="points",4,7),FALSE)</f>
        <v>125</v>
      </c>
      <c r="G580" s="29">
        <f>(M580*Settings!$B$2)+(N580*Settings!$B$3)+(O580*Settings!$B$4)+(P580*Settings!$B$5)+(Q580*Settings!$B$6)+(T580*Settings!$B$9)+(U580*Settings!$B$10)+(V580*Settings!$B$11)+(W580*Settings!$B$12)+(X580*Settings!$B$13)+(AA580*Settings!$B$16)</f>
        <v>141.56666666666646</v>
      </c>
      <c r="H580" s="30">
        <f>VLOOKUP(B580,'Standard Deviations'!$A1:$D651,4,FALSE)</f>
        <v>-4.527167921125077</v>
      </c>
      <c r="I580" s="31">
        <f ca="1">VLOOKUP(B580,OF!A1:I139,IF(Settings!$J$13="points",6,9),FALSE)</f>
        <v>-4.6458863716705316</v>
      </c>
      <c r="J580" s="30"/>
      <c r="K580" s="30">
        <f ca="1">J580-A580</f>
        <v>-567</v>
      </c>
      <c r="L580" s="30"/>
      <c r="M580" s="30">
        <f>VLOOKUP($B580,Hitters!$A1:$R401,4,FALSE)</f>
        <v>202.333333333333</v>
      </c>
      <c r="N580" s="30">
        <f>VLOOKUP($B580,Hitters!$A1:$R401,5,FALSE)</f>
        <v>25.7</v>
      </c>
      <c r="O580" s="30">
        <f>VLOOKUP($B580,Hitters!$A1:$R401,6,FALSE)</f>
        <v>5.8333333333333304</v>
      </c>
      <c r="P580" s="30">
        <f>VLOOKUP($B580,Hitters!$A1:$R401,7,FALSE)</f>
        <v>22.933333333333302</v>
      </c>
      <c r="Q580" s="30">
        <f>VLOOKUP($B580,Hitters!$A1:$R401,8,FALSE)</f>
        <v>6.2333333333333298</v>
      </c>
      <c r="R580" s="32">
        <f>VLOOKUP($B580,Hitters!$A1:$R401,9,FALSE)</f>
        <v>0.229489291598023</v>
      </c>
      <c r="S580" s="32">
        <f>VLOOKUP($B580,Hitters!$A1:$R401,10,FALSE)</f>
        <v>0.29839915885497698</v>
      </c>
      <c r="T580" s="30">
        <f>VLOOKUP($B580,Hitters!$A1:$R401,11,FALSE)</f>
        <v>46.433333333333302</v>
      </c>
      <c r="U580" s="30">
        <f>VLOOKUP($B580,Hitters!$A1:$R401,12,FALSE)</f>
        <v>11.4333333333333</v>
      </c>
      <c r="V580" s="30">
        <f>VLOOKUP($B580,Hitters!$A1:$R401,13,FALSE)</f>
        <v>1.06666666666667</v>
      </c>
      <c r="W580" s="30">
        <f>VLOOKUP($B580,Hitters!$A1:$R401,14,FALSE)</f>
        <v>20.733333333333299</v>
      </c>
      <c r="X580" s="30">
        <f>VLOOKUP($B580,Hitters!$A1:$R401,15,FALSE)</f>
        <v>72.2</v>
      </c>
      <c r="Y580" s="32">
        <f>VLOOKUP($B580,Hitters!$A1:$R401,16,FALSE)</f>
        <v>0.38303130148270198</v>
      </c>
      <c r="Z580" s="32">
        <f>VLOOKUP($B580,Hitters!$A1:$R401,17,FALSE)</f>
        <v>0.68143046033767796</v>
      </c>
      <c r="AA580" s="30">
        <f>VLOOKUP($B580,Hitters!$A1:$R401,18,FALSE)</f>
        <v>0</v>
      </c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</row>
    <row r="581" spans="1:44" ht="18.600000000000001" customHeight="1">
      <c r="A581" s="24">
        <f ca="1">RANK(I581,I$2:I$651)</f>
        <v>529</v>
      </c>
      <c r="B581" s="25" t="s">
        <v>626</v>
      </c>
      <c r="C581" s="26" t="s">
        <v>309</v>
      </c>
      <c r="D581" s="26" t="s">
        <v>75</v>
      </c>
      <c r="E581" s="27" t="s">
        <v>23</v>
      </c>
      <c r="F581" s="28">
        <f ca="1">VLOOKUP(B581,OF!A1:I139,IF(Settings!$J$13="points",4,7),FALSE)</f>
        <v>120</v>
      </c>
      <c r="G581" s="29">
        <f>(M581*Settings!$B$2)+(N581*Settings!$B$3)+(O581*Settings!$B$4)+(P581*Settings!$B$5)+(Q581*Settings!$B$6)+(T581*Settings!$B$9)+(U581*Settings!$B$10)+(V581*Settings!$B$11)+(W581*Settings!$B$12)+(X581*Settings!$B$13)+(AA581*Settings!$B$16)</f>
        <v>140.75000000000006</v>
      </c>
      <c r="H581" s="30">
        <f>VLOOKUP(B581,'Standard Deviations'!$A1:$D651,4,FALSE)</f>
        <v>-3.7660850654840958</v>
      </c>
      <c r="I581" s="31">
        <f ca="1">VLOOKUP(B581,OF!A1:I139,IF(Settings!$J$13="points",6,9),FALSE)</f>
        <v>-3.8847999468857366</v>
      </c>
      <c r="J581" s="30"/>
      <c r="K581" s="30">
        <f ca="1">J581-A581</f>
        <v>-529</v>
      </c>
      <c r="L581" s="30"/>
      <c r="M581" s="30">
        <f>VLOOKUP($B581,Hitters!$A1:$R401,4,FALSE)</f>
        <v>177</v>
      </c>
      <c r="N581" s="30">
        <f>VLOOKUP($B581,Hitters!$A1:$R401,5,FALSE)</f>
        <v>24</v>
      </c>
      <c r="O581" s="30">
        <f>VLOOKUP($B581,Hitters!$A1:$R401,6,FALSE)</f>
        <v>8.6</v>
      </c>
      <c r="P581" s="30">
        <f>VLOOKUP($B581,Hitters!$A1:$R401,7,FALSE)</f>
        <v>24.6</v>
      </c>
      <c r="Q581" s="30">
        <f>VLOOKUP($B581,Hitters!$A1:$R401,8,FALSE)</f>
        <v>4.56666666666667</v>
      </c>
      <c r="R581" s="32">
        <f>VLOOKUP($B581,Hitters!$A1:$R401,9,FALSE)</f>
        <v>0.243126177024482</v>
      </c>
      <c r="S581" s="32">
        <f>VLOOKUP($B581,Hitters!$A1:$R401,10,FALSE)</f>
        <v>0.27813724273634599</v>
      </c>
      <c r="T581" s="30">
        <f>VLOOKUP($B581,Hitters!$A1:$R401,11,FALSE)</f>
        <v>43.033333333333303</v>
      </c>
      <c r="U581" s="30">
        <f>VLOOKUP($B581,Hitters!$A1:$R401,12,FALSE)</f>
        <v>10.866666666666699</v>
      </c>
      <c r="V581" s="30">
        <f>VLOOKUP($B581,Hitters!$A1:$R401,13,FALSE)</f>
        <v>0.63333333333333297</v>
      </c>
      <c r="W581" s="30">
        <f>VLOOKUP($B581,Hitters!$A1:$R401,14,FALSE)</f>
        <v>9.2666666666666693</v>
      </c>
      <c r="X581" s="30">
        <f>VLOOKUP($B581,Hitters!$A1:$R401,15,FALSE)</f>
        <v>54.633333333333297</v>
      </c>
      <c r="Y581" s="32">
        <f>VLOOKUP($B581,Hitters!$A1:$R401,16,FALSE)</f>
        <v>0.45743879472693</v>
      </c>
      <c r="Z581" s="32">
        <f>VLOOKUP($B581,Hitters!$A1:$R401,17,FALSE)</f>
        <v>0.73557603746327604</v>
      </c>
      <c r="AA581" s="30">
        <f>VLOOKUP($B581,Hitters!$A1:$R401,18,FALSE)</f>
        <v>0</v>
      </c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</row>
    <row r="582" spans="1:44" ht="18.600000000000001" customHeight="1">
      <c r="A582" s="24">
        <f ca="1">RANK(I582,I$2:I$651)</f>
        <v>441</v>
      </c>
      <c r="B582" s="25" t="s">
        <v>537</v>
      </c>
      <c r="C582" s="26" t="s">
        <v>95</v>
      </c>
      <c r="D582" s="26" t="s">
        <v>70</v>
      </c>
      <c r="E582" s="41" t="s">
        <v>34</v>
      </c>
      <c r="F582" s="42">
        <f ca="1">VLOOKUP(B582,RP!A1:I91,IF(Settings!$J$13="points",4,7),FALSE)</f>
        <v>57</v>
      </c>
      <c r="G582" s="29">
        <f>(AC582*Settings!$F$2)+(AF582*Settings!$F$5)+(AG582*Settings!$F$6)+(AH582*Settings!$F$7)+(AI582*Settings!$F$8)+(AJ582*Settings!$F$9)+(AK582*Settings!$F$10)+(AL582*Settings!$F$11)+(AM582*Settings!$F$12)+(AN582*Settings!$F$13)+(AO582*Settings!$F$14)+(AP582*Settings!$F$15)+(AQ582*Settings!$F$16)+(AR582*Settings!$F$17)</f>
        <v>139.83266666666674</v>
      </c>
      <c r="H582" s="30">
        <f>VLOOKUP(B582,'Standard Deviations'!$A1:$D651,4,FALSE)</f>
        <v>-1.3127694558494534</v>
      </c>
      <c r="I582" s="31">
        <f ca="1">IF(Settings!$J$16="no",VLOOKUP(B582,RP!A1:I91,IF(Settings!$J$13="points",6,9),FALSE),VLOOKUP(B582,'SP+RP'!$A1:$I251,IF(Settings!$J$13="points",6,9),FALSE))</f>
        <v>-2.8838360518135828</v>
      </c>
      <c r="J582" s="30"/>
      <c r="K582" s="30">
        <f ca="1">J582-A582</f>
        <v>-441</v>
      </c>
      <c r="L582" s="30"/>
      <c r="M582" s="30"/>
      <c r="N582" s="30"/>
      <c r="O582" s="30"/>
      <c r="P582" s="30"/>
      <c r="Q582" s="30"/>
      <c r="R582" s="32"/>
      <c r="S582" s="32"/>
      <c r="T582" s="30"/>
      <c r="U582" s="30"/>
      <c r="V582" s="30"/>
      <c r="W582" s="30"/>
      <c r="X582" s="30"/>
      <c r="Y582" s="32"/>
      <c r="Z582" s="32"/>
      <c r="AA582" s="30"/>
      <c r="AB582" s="30"/>
      <c r="AC582" s="30">
        <f>VLOOKUP($B582,Pitchers!$A1:$S251,4,FALSE)</f>
        <v>64.2</v>
      </c>
      <c r="AD582" s="32">
        <f>VLOOKUP($B582,Pitchers!$A1:$S251,5,FALSE)</f>
        <v>3.324859813084112</v>
      </c>
      <c r="AE582" s="32">
        <f>VLOOKUP($B582,Pitchers!$A1:$S251,6,FALSE)</f>
        <v>1.1936656282450673</v>
      </c>
      <c r="AF582" s="30">
        <f>VLOOKUP($B582,Pitchers!$A1:$S251,7,FALSE)</f>
        <v>63.300000000000004</v>
      </c>
      <c r="AG582" s="30">
        <f>VLOOKUP($B582,Pitchers!$A1:$S251,8,FALSE)</f>
        <v>3.4666666666666668</v>
      </c>
      <c r="AH582" s="30">
        <f>VLOOKUP($B582,Pitchers!$A1:$S251,9,FALSE)</f>
        <v>1.6666666666666667</v>
      </c>
      <c r="AI582" s="30">
        <f>VLOOKUP($B582,Pitchers!$A1:$S251,10,FALSE)</f>
        <v>23.717333333333332</v>
      </c>
      <c r="AJ582" s="30">
        <f>VLOOKUP($B582,Pitchers!$A1:$S251,11,FALSE)</f>
        <v>55.066666666666663</v>
      </c>
      <c r="AK582" s="30">
        <f>VLOOKUP($B582,Pitchers!$A1:$S251,12,FALSE)</f>
        <v>21.566666666666666</v>
      </c>
      <c r="AL582" s="30">
        <f>VLOOKUP($B582,Pitchers!$A1:$S251,13,FALSE)</f>
        <v>8</v>
      </c>
      <c r="AM582" s="30">
        <f>VLOOKUP($B582,Pitchers!$A1:$S251,14,FALSE)</f>
        <v>65.933333333333337</v>
      </c>
      <c r="AN582" s="30">
        <f>VLOOKUP($B582,Pitchers!$A1:$S251,15,FALSE)</f>
        <v>0</v>
      </c>
      <c r="AO582" s="30">
        <f>VLOOKUP($B582,Pitchers!$A1:$S251,16,FALSE)</f>
        <v>4</v>
      </c>
      <c r="AP582" s="30">
        <f>VLOOKUP($B582,Pitchers!$A1:$S251,17,FALSE)</f>
        <v>0</v>
      </c>
      <c r="AQ582" s="30">
        <f>VLOOKUP($B582,Pitchers!$A1:$S251,18,FALSE)</f>
        <v>19.5</v>
      </c>
      <c r="AR582" s="30">
        <f>VLOOKUP($B582,Pitchers!$A1:$S251,19,FALSE)</f>
        <v>1</v>
      </c>
    </row>
    <row r="583" spans="1:44" ht="18.600000000000001" customHeight="1">
      <c r="A583" s="24">
        <f ca="1">RANK(I583,I$2:I$651)</f>
        <v>425</v>
      </c>
      <c r="B583" s="25" t="s">
        <v>521</v>
      </c>
      <c r="C583" s="26" t="s">
        <v>69</v>
      </c>
      <c r="D583" s="26" t="s">
        <v>70</v>
      </c>
      <c r="E583" s="41" t="s">
        <v>34</v>
      </c>
      <c r="F583" s="42">
        <f ca="1">VLOOKUP(B583,RP!A1:I91,IF(Settings!$J$13="points",4,7),FALSE)</f>
        <v>50</v>
      </c>
      <c r="G583" s="29">
        <f>(AC583*Settings!$F$2)+(AF583*Settings!$F$5)+(AG583*Settings!$F$6)+(AH583*Settings!$F$7)+(AI583*Settings!$F$8)+(AJ583*Settings!$F$9)+(AK583*Settings!$F$10)+(AL583*Settings!$F$11)+(AM583*Settings!$F$12)+(AN583*Settings!$F$13)+(AO583*Settings!$F$14)+(AP583*Settings!$F$15)+(AQ583*Settings!$F$16)+(AR583*Settings!$F$17)</f>
        <v>138.68333333333334</v>
      </c>
      <c r="H583" s="30">
        <f>VLOOKUP(B583,'Standard Deviations'!$A1:$D651,4,FALSE)</f>
        <v>-1.178628164843319</v>
      </c>
      <c r="I583" s="31">
        <f ca="1">IF(Settings!$J$16="no",VLOOKUP(B583,RP!A1:I91,IF(Settings!$J$13="points",6,9),FALSE),VLOOKUP(B583,'SP+RP'!$A1:$I251,IF(Settings!$J$13="points",6,9),FALSE))</f>
        <v>-2.7496990852077561</v>
      </c>
      <c r="J583" s="30"/>
      <c r="K583" s="30">
        <f ca="1">J583-A583</f>
        <v>-425</v>
      </c>
      <c r="L583" s="30"/>
      <c r="M583" s="30"/>
      <c r="N583" s="30"/>
      <c r="O583" s="30"/>
      <c r="P583" s="30"/>
      <c r="Q583" s="30"/>
      <c r="R583" s="32"/>
      <c r="S583" s="32"/>
      <c r="T583" s="30"/>
      <c r="U583" s="30"/>
      <c r="V583" s="30"/>
      <c r="W583" s="30"/>
      <c r="X583" s="30"/>
      <c r="Y583" s="32"/>
      <c r="Z583" s="32"/>
      <c r="AA583" s="30"/>
      <c r="AB583" s="30"/>
      <c r="AC583" s="30">
        <f>VLOOKUP($B583,Pitchers!$A1:$S251,4,FALSE)</f>
        <v>58.233333333333327</v>
      </c>
      <c r="AD583" s="32">
        <f>VLOOKUP($B583,Pitchers!$A1:$S251,5,FALSE)</f>
        <v>3.3949627933600466</v>
      </c>
      <c r="AE583" s="32">
        <f>VLOOKUP($B583,Pitchers!$A1:$S251,6,FALSE)</f>
        <v>1.1785918717801946</v>
      </c>
      <c r="AF583" s="30">
        <f>VLOOKUP($B583,Pitchers!$A1:$S251,7,FALSE)</f>
        <v>65.36666666666666</v>
      </c>
      <c r="AG583" s="30">
        <f>VLOOKUP($B583,Pitchers!$A1:$S251,8,FALSE)</f>
        <v>3.6999999999999997</v>
      </c>
      <c r="AH583" s="30">
        <f>VLOOKUP($B583,Pitchers!$A1:$S251,9,FALSE)</f>
        <v>1.6666666666666667</v>
      </c>
      <c r="AI583" s="30">
        <f>VLOOKUP($B583,Pitchers!$A1:$S251,10,FALSE)</f>
        <v>21.966666666666669</v>
      </c>
      <c r="AJ583" s="30">
        <f>VLOOKUP($B583,Pitchers!$A1:$S251,11,FALSE)</f>
        <v>49.199999999999996</v>
      </c>
      <c r="AK583" s="30">
        <f>VLOOKUP($B583,Pitchers!$A1:$S251,12,FALSE)</f>
        <v>19.433333333333334</v>
      </c>
      <c r="AL583" s="30">
        <f>VLOOKUP($B583,Pitchers!$A1:$S251,13,FALSE)</f>
        <v>7</v>
      </c>
      <c r="AM583" s="30">
        <f>VLOOKUP($B583,Pitchers!$A1:$S251,14,FALSE)</f>
        <v>42.166666666666664</v>
      </c>
      <c r="AN583" s="30">
        <f>VLOOKUP($B583,Pitchers!$A1:$S251,15,FALSE)</f>
        <v>1.3333333333333333</v>
      </c>
      <c r="AO583" s="30">
        <f>VLOOKUP($B583,Pitchers!$A1:$S251,16,FALSE)</f>
        <v>3.1333333333333333</v>
      </c>
      <c r="AP583" s="30">
        <f>VLOOKUP($B583,Pitchers!$A1:$S251,17,FALSE)</f>
        <v>0</v>
      </c>
      <c r="AQ583" s="30">
        <f>VLOOKUP($B583,Pitchers!$A1:$S251,18,FALSE)</f>
        <v>12</v>
      </c>
      <c r="AR583" s="30">
        <f>VLOOKUP($B583,Pitchers!$A1:$S251,19,FALSE)</f>
        <v>0</v>
      </c>
    </row>
    <row r="584" spans="1:44" ht="18.600000000000001" customHeight="1">
      <c r="A584" s="24">
        <f ca="1">RANK(I584,I$2:I$651)</f>
        <v>484</v>
      </c>
      <c r="B584" s="25" t="s">
        <v>581</v>
      </c>
      <c r="C584" s="26" t="s">
        <v>160</v>
      </c>
      <c r="D584" s="26" t="s">
        <v>75</v>
      </c>
      <c r="E584" s="41" t="s">
        <v>34</v>
      </c>
      <c r="F584" s="42">
        <f ca="1">VLOOKUP(B584,RP!A1:I91,IF(Settings!$J$13="points",4,7),FALSE)</f>
        <v>71</v>
      </c>
      <c r="G584" s="29">
        <f>(AC584*Settings!$F$2)+(AF584*Settings!$F$5)+(AG584*Settings!$F$6)+(AH584*Settings!$F$7)+(AI584*Settings!$F$8)+(AJ584*Settings!$F$9)+(AK584*Settings!$F$10)+(AL584*Settings!$F$11)+(AM584*Settings!$F$12)+(AN584*Settings!$F$13)+(AO584*Settings!$F$14)+(AP584*Settings!$F$15)+(AQ584*Settings!$F$16)+(AR584*Settings!$F$17)</f>
        <v>138.64999999999998</v>
      </c>
      <c r="H584" s="30">
        <f>VLOOKUP(B584,'Standard Deviations'!$A1:$D651,4,FALSE)</f>
        <v>-1.8717202443202354</v>
      </c>
      <c r="I584" s="31">
        <f ca="1">IF(Settings!$J$16="no",VLOOKUP(B584,RP!A1:I91,IF(Settings!$J$13="points",6,9),FALSE),VLOOKUP(B584,'SP+RP'!$A1:$I251,IF(Settings!$J$13="points",6,9),FALSE))</f>
        <v>-3.4427859356682102</v>
      </c>
      <c r="J584" s="30"/>
      <c r="K584" s="30">
        <f ca="1">J584-A584</f>
        <v>-484</v>
      </c>
      <c r="L584" s="30"/>
      <c r="M584" s="30"/>
      <c r="N584" s="30"/>
      <c r="O584" s="30"/>
      <c r="P584" s="30"/>
      <c r="Q584" s="30"/>
      <c r="R584" s="32"/>
      <c r="S584" s="32"/>
      <c r="T584" s="30"/>
      <c r="U584" s="30"/>
      <c r="V584" s="30"/>
      <c r="W584" s="30"/>
      <c r="X584" s="30"/>
      <c r="Y584" s="32"/>
      <c r="Z584" s="32"/>
      <c r="AA584" s="30"/>
      <c r="AB584" s="30"/>
      <c r="AC584" s="30">
        <f>VLOOKUP($B584,Pitchers!$A1:$S251,4,FALSE)</f>
        <v>61.6</v>
      </c>
      <c r="AD584" s="32">
        <f>VLOOKUP($B584,Pitchers!$A1:$S251,5,FALSE)</f>
        <v>3.8133116883116878</v>
      </c>
      <c r="AE584" s="32">
        <f>VLOOKUP($B584,Pitchers!$A1:$S251,6,FALSE)</f>
        <v>1.1634199134199135</v>
      </c>
      <c r="AF584" s="30">
        <f>VLOOKUP($B584,Pitchers!$A1:$S251,7,FALSE)</f>
        <v>67.63333333333334</v>
      </c>
      <c r="AG584" s="30">
        <f>VLOOKUP($B584,Pitchers!$A1:$S251,8,FALSE)</f>
        <v>3.2333333333333329</v>
      </c>
      <c r="AH584" s="30">
        <f>VLOOKUP($B584,Pitchers!$A1:$S251,9,FALSE)</f>
        <v>2</v>
      </c>
      <c r="AI584" s="30">
        <f>VLOOKUP($B584,Pitchers!$A1:$S251,10,FALSE)</f>
        <v>26.099999999999998</v>
      </c>
      <c r="AJ584" s="30">
        <f>VLOOKUP($B584,Pitchers!$A1:$S251,11,FALSE)</f>
        <v>52.833333333333336</v>
      </c>
      <c r="AK584" s="30">
        <f>VLOOKUP($B584,Pitchers!$A1:$S251,12,FALSE)</f>
        <v>18.833333333333332</v>
      </c>
      <c r="AL584" s="30">
        <f>VLOOKUP($B584,Pitchers!$A1:$S251,13,FALSE)</f>
        <v>8</v>
      </c>
      <c r="AM584" s="30">
        <f>VLOOKUP($B584,Pitchers!$A1:$S251,14,FALSE)</f>
        <v>43.266666666666673</v>
      </c>
      <c r="AN584" s="30">
        <f>VLOOKUP($B584,Pitchers!$A1:$S251,15,FALSE)</f>
        <v>3.3333333333333335</v>
      </c>
      <c r="AO584" s="30">
        <f>VLOOKUP($B584,Pitchers!$A1:$S251,16,FALSE)</f>
        <v>3.7666666666666671</v>
      </c>
      <c r="AP584" s="30">
        <f>VLOOKUP($B584,Pitchers!$A1:$S251,17,FALSE)</f>
        <v>0</v>
      </c>
      <c r="AQ584" s="30">
        <f>VLOOKUP($B584,Pitchers!$A1:$S251,18,FALSE)</f>
        <v>10</v>
      </c>
      <c r="AR584" s="30">
        <f>VLOOKUP($B584,Pitchers!$A1:$S251,19,FALSE)</f>
        <v>1</v>
      </c>
    </row>
    <row r="585" spans="1:44" ht="18.600000000000001" customHeight="1">
      <c r="A585" s="24">
        <f ca="1">RANK(I585,I$2:I$651)</f>
        <v>584</v>
      </c>
      <c r="B585" s="25" t="s">
        <v>680</v>
      </c>
      <c r="C585" s="26" t="s">
        <v>225</v>
      </c>
      <c r="D585" s="26" t="s">
        <v>75</v>
      </c>
      <c r="E585" s="27" t="s">
        <v>23</v>
      </c>
      <c r="F585" s="28">
        <f ca="1">VLOOKUP(B585,OF!A1:I139,IF(Settings!$J$13="points",4,7),FALSE)</f>
        <v>130</v>
      </c>
      <c r="G585" s="29">
        <f>(M585*Settings!$B$2)+(N585*Settings!$B$3)+(O585*Settings!$B$4)+(P585*Settings!$B$5)+(Q585*Settings!$B$6)+(T585*Settings!$B$9)+(U585*Settings!$B$10)+(V585*Settings!$B$11)+(W585*Settings!$B$12)+(X585*Settings!$B$13)+(AA585*Settings!$B$16)</f>
        <v>138.51666666666671</v>
      </c>
      <c r="H585" s="30">
        <f>VLOOKUP(B585,'Standard Deviations'!$A1:$D651,4,FALSE)</f>
        <v>-4.7566357700985922</v>
      </c>
      <c r="I585" s="31">
        <f ca="1">VLOOKUP(B585,OF!A1:I139,IF(Settings!$J$13="points",6,9),FALSE)</f>
        <v>-4.8753539940144393</v>
      </c>
      <c r="J585" s="30"/>
      <c r="K585" s="30">
        <f ca="1">J585-A585</f>
        <v>-584</v>
      </c>
      <c r="L585" s="30"/>
      <c r="M585" s="30">
        <f>VLOOKUP($B585,Hitters!$A1:$R401,4,FALSE)</f>
        <v>194.666666666667</v>
      </c>
      <c r="N585" s="30">
        <f>VLOOKUP($B585,Hitters!$A1:$R401,5,FALSE)</f>
        <v>26.266666666666701</v>
      </c>
      <c r="O585" s="30">
        <f>VLOOKUP($B585,Hitters!$A1:$R401,6,FALSE)</f>
        <v>7.6666666666666696</v>
      </c>
      <c r="P585" s="30">
        <f>VLOOKUP($B585,Hitters!$A1:$R401,7,FALSE)</f>
        <v>22.4</v>
      </c>
      <c r="Q585" s="30">
        <f>VLOOKUP($B585,Hitters!$A1:$R401,8,FALSE)</f>
        <v>2.8</v>
      </c>
      <c r="R585" s="32">
        <f>VLOOKUP($B585,Hitters!$A1:$R401,9,FALSE)</f>
        <v>0.23065068493150701</v>
      </c>
      <c r="S585" s="32">
        <f>VLOOKUP($B585,Hitters!$A1:$R401,10,FALSE)</f>
        <v>0.29032962235319798</v>
      </c>
      <c r="T585" s="30">
        <f>VLOOKUP($B585,Hitters!$A1:$R401,11,FALSE)</f>
        <v>44.9</v>
      </c>
      <c r="U585" s="30">
        <f>VLOOKUP($B585,Hitters!$A1:$R401,12,FALSE)</f>
        <v>9.8333333333333304</v>
      </c>
      <c r="V585" s="30">
        <f>VLOOKUP($B585,Hitters!$A1:$R401,13,FALSE)</f>
        <v>1.0333333333333301</v>
      </c>
      <c r="W585" s="30">
        <f>VLOOKUP($B585,Hitters!$A1:$R401,14,FALSE)</f>
        <v>17.1666666666667</v>
      </c>
      <c r="X585" s="30">
        <f>VLOOKUP($B585,Hitters!$A1:$R401,15,FALSE)</f>
        <v>62.5</v>
      </c>
      <c r="Y585" s="32">
        <f>VLOOKUP($B585,Hitters!$A1:$R401,16,FALSE)</f>
        <v>0.40993150684931501</v>
      </c>
      <c r="Z585" s="32">
        <f>VLOOKUP($B585,Hitters!$A1:$R401,17,FALSE)</f>
        <v>0.70026112920251304</v>
      </c>
      <c r="AA585" s="30">
        <f>VLOOKUP($B585,Hitters!$A1:$R401,18,FALSE)</f>
        <v>0</v>
      </c>
      <c r="AB585" s="30"/>
      <c r="AC585" s="30"/>
      <c r="AD585" s="32"/>
      <c r="AE585" s="32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</row>
    <row r="586" spans="1:44" ht="18.600000000000001" customHeight="1">
      <c r="A586" s="24">
        <f ca="1">RANK(I586,I$2:I$651)</f>
        <v>348</v>
      </c>
      <c r="B586" s="25" t="s">
        <v>443</v>
      </c>
      <c r="C586" s="26" t="s">
        <v>95</v>
      </c>
      <c r="D586" s="26" t="s">
        <v>70</v>
      </c>
      <c r="E586" s="41" t="s">
        <v>34</v>
      </c>
      <c r="F586" s="42">
        <f ca="1">VLOOKUP(B586,RP!A1:I91,IF(Settings!$J$13="points",4,7),FALSE)</f>
        <v>30</v>
      </c>
      <c r="G586" s="29">
        <f>(AC586*Settings!$F$2)+(AF586*Settings!$F$5)+(AG586*Settings!$F$6)+(AH586*Settings!$F$7)+(AI586*Settings!$F$8)+(AJ586*Settings!$F$9)+(AK586*Settings!$F$10)+(AL586*Settings!$F$11)+(AM586*Settings!$F$12)+(AN586*Settings!$F$13)+(AO586*Settings!$F$14)+(AP586*Settings!$F$15)+(AQ586*Settings!$F$16)+(AR586*Settings!$F$17)</f>
        <v>138.46666666666667</v>
      </c>
      <c r="H586" s="30">
        <f>VLOOKUP(B586,'Standard Deviations'!$A1:$D651,4,FALSE)</f>
        <v>-0.25366665928263554</v>
      </c>
      <c r="I586" s="31">
        <f ca="1">IF(Settings!$J$16="no",VLOOKUP(B586,RP!A1:I91,IF(Settings!$J$13="points",6,9),FALSE),VLOOKUP(B586,'SP+RP'!$A1:$I251,IF(Settings!$J$13="points",6,9),FALSE))</f>
        <v>-1.8247318221583715</v>
      </c>
      <c r="J586" s="30"/>
      <c r="K586" s="30">
        <f ca="1">J586-A586</f>
        <v>-348</v>
      </c>
      <c r="L586" s="30"/>
      <c r="M586" s="30"/>
      <c r="N586" s="30"/>
      <c r="O586" s="30"/>
      <c r="P586" s="30"/>
      <c r="Q586" s="30"/>
      <c r="R586" s="32"/>
      <c r="S586" s="32"/>
      <c r="T586" s="30"/>
      <c r="U586" s="30"/>
      <c r="V586" s="30"/>
      <c r="W586" s="30"/>
      <c r="X586" s="30"/>
      <c r="Y586" s="32"/>
      <c r="Z586" s="32"/>
      <c r="AA586" s="30"/>
      <c r="AB586" s="30"/>
      <c r="AC586" s="30">
        <f>VLOOKUP($B586,Pitchers!$A1:$S251,4,FALSE)</f>
        <v>55.733333333333327</v>
      </c>
      <c r="AD586" s="32">
        <f>VLOOKUP($B586,Pitchers!$A1:$S251,5,FALSE)</f>
        <v>3.2996411483253594</v>
      </c>
      <c r="AE586" s="32">
        <f>VLOOKUP($B586,Pitchers!$A1:$S251,6,FALSE)</f>
        <v>1.0813397129186606</v>
      </c>
      <c r="AF586" s="30">
        <f>VLOOKUP($B586,Pitchers!$A1:$S251,7,FALSE)</f>
        <v>63.466666666666669</v>
      </c>
      <c r="AG586" s="30">
        <f>VLOOKUP($B586,Pitchers!$A1:$S251,8,FALSE)</f>
        <v>3.0333333333333332</v>
      </c>
      <c r="AH586" s="30">
        <f>VLOOKUP($B586,Pitchers!$A1:$S251,9,FALSE)</f>
        <v>1.6666666666666667</v>
      </c>
      <c r="AI586" s="30">
        <f>VLOOKUP($B586,Pitchers!$A1:$S251,10,FALSE)</f>
        <v>20.433333333333334</v>
      </c>
      <c r="AJ586" s="30">
        <f>VLOOKUP($B586,Pitchers!$A1:$S251,11,FALSE)</f>
        <v>47.300000000000004</v>
      </c>
      <c r="AK586" s="30">
        <f>VLOOKUP($B586,Pitchers!$A1:$S251,12,FALSE)</f>
        <v>12.966666666666667</v>
      </c>
      <c r="AL586" s="30">
        <f>VLOOKUP($B586,Pitchers!$A1:$S251,13,FALSE)</f>
        <v>10</v>
      </c>
      <c r="AM586" s="30">
        <f>VLOOKUP($B586,Pitchers!$A1:$S251,14,FALSE)</f>
        <v>57.6</v>
      </c>
      <c r="AN586" s="30">
        <f>VLOOKUP($B586,Pitchers!$A1:$S251,15,FALSE)</f>
        <v>1.3333333333333333</v>
      </c>
      <c r="AO586" s="30">
        <f>VLOOKUP($B586,Pitchers!$A1:$S251,16,FALSE)</f>
        <v>2.5333333333333332</v>
      </c>
      <c r="AP586" s="30">
        <f>VLOOKUP($B586,Pitchers!$A1:$S251,17,FALSE)</f>
        <v>0</v>
      </c>
      <c r="AQ586" s="30">
        <f>VLOOKUP($B586,Pitchers!$A1:$S251,18,FALSE)</f>
        <v>14</v>
      </c>
      <c r="AR586" s="30">
        <f>VLOOKUP($B586,Pitchers!$A1:$S251,19,FALSE)</f>
        <v>0</v>
      </c>
    </row>
    <row r="587" spans="1:44" ht="18.600000000000001" customHeight="1">
      <c r="A587" s="24">
        <f ca="1">RANK(I587,I$2:I$651)</f>
        <v>551</v>
      </c>
      <c r="B587" s="25" t="s">
        <v>648</v>
      </c>
      <c r="C587" s="26" t="s">
        <v>122</v>
      </c>
      <c r="D587" s="26" t="s">
        <v>75</v>
      </c>
      <c r="E587" s="27" t="s">
        <v>23</v>
      </c>
      <c r="F587" s="28">
        <f ca="1">VLOOKUP(B587,OF!A1:I139,IF(Settings!$J$13="points",4,7),FALSE)</f>
        <v>123</v>
      </c>
      <c r="G587" s="29">
        <f>(M587*Settings!$B$2)+(N587*Settings!$B$3)+(O587*Settings!$B$4)+(P587*Settings!$B$5)+(Q587*Settings!$B$6)+(T587*Settings!$B$9)+(U587*Settings!$B$10)+(V587*Settings!$B$11)+(W587*Settings!$B$12)+(X587*Settings!$B$13)+(AA587*Settings!$B$16)</f>
        <v>138.44999999999996</v>
      </c>
      <c r="H587" s="30">
        <f>VLOOKUP(B587,'Standard Deviations'!$A1:$D651,4,FALSE)</f>
        <v>-4.2069171973057733</v>
      </c>
      <c r="I587" s="31">
        <f ca="1">VLOOKUP(B587,OF!A1:I139,IF(Settings!$J$13="points",6,9),FALSE)</f>
        <v>-4.3256374930277905</v>
      </c>
      <c r="J587" s="30"/>
      <c r="K587" s="30">
        <f ca="1">J587-A587</f>
        <v>-551</v>
      </c>
      <c r="L587" s="30"/>
      <c r="M587" s="30">
        <f>VLOOKUP($B587,Hitters!$A1:$R401,4,FALSE)</f>
        <v>199</v>
      </c>
      <c r="N587" s="30">
        <f>VLOOKUP($B587,Hitters!$A1:$R401,5,FALSE)</f>
        <v>25</v>
      </c>
      <c r="O587" s="30">
        <f>VLOOKUP($B587,Hitters!$A1:$R401,6,FALSE)</f>
        <v>4.9000000000000004</v>
      </c>
      <c r="P587" s="30">
        <f>VLOOKUP($B587,Hitters!$A1:$R401,7,FALSE)</f>
        <v>21.5</v>
      </c>
      <c r="Q587" s="30">
        <f>VLOOKUP($B587,Hitters!$A1:$R401,8,FALSE)</f>
        <v>3.1666666666666701</v>
      </c>
      <c r="R587" s="32">
        <f>VLOOKUP($B587,Hitters!$A1:$R401,9,FALSE)</f>
        <v>0.24991624790619801</v>
      </c>
      <c r="S587" s="32">
        <f>VLOOKUP($B587,Hitters!$A1:$R401,10,FALSE)</f>
        <v>0.293490276674919</v>
      </c>
      <c r="T587" s="30">
        <f>VLOOKUP($B587,Hitters!$A1:$R401,11,FALSE)</f>
        <v>49.733333333333299</v>
      </c>
      <c r="U587" s="30">
        <f>VLOOKUP($B587,Hitters!$A1:$R401,12,FALSE)</f>
        <v>9.6666666666666696</v>
      </c>
      <c r="V587" s="30">
        <f>VLOOKUP($B587,Hitters!$A1:$R401,13,FALSE)</f>
        <v>1.3333333333333299</v>
      </c>
      <c r="W587" s="30">
        <f>VLOOKUP($B587,Hitters!$A1:$R401,14,FALSE)</f>
        <v>13.1</v>
      </c>
      <c r="X587" s="30">
        <f>VLOOKUP($B587,Hitters!$A1:$R401,15,FALSE)</f>
        <v>40.299999999999997</v>
      </c>
      <c r="Y587" s="32">
        <f>VLOOKUP($B587,Hitters!$A1:$R401,16,FALSE)</f>
        <v>0.38576214405360099</v>
      </c>
      <c r="Z587" s="32">
        <f>VLOOKUP($B587,Hitters!$A1:$R401,17,FALSE)</f>
        <v>0.67925242072851999</v>
      </c>
      <c r="AA587" s="30">
        <f>VLOOKUP($B587,Hitters!$A1:$R401,18,FALSE)</f>
        <v>0</v>
      </c>
      <c r="AB587" s="30"/>
      <c r="AC587" s="30"/>
      <c r="AD587" s="32"/>
      <c r="AE587" s="32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</row>
    <row r="588" spans="1:44" ht="18.600000000000001" customHeight="1">
      <c r="A588" s="24">
        <f ca="1">RANK(I588,I$2:I$651)</f>
        <v>443</v>
      </c>
      <c r="B588" s="25" t="s">
        <v>541</v>
      </c>
      <c r="C588" s="26" t="s">
        <v>87</v>
      </c>
      <c r="D588" s="26" t="s">
        <v>70</v>
      </c>
      <c r="E588" s="35" t="s">
        <v>31</v>
      </c>
      <c r="F588" s="36">
        <f ca="1">VLOOKUP(B588,SP!A1:I161,IF(Settings!$J$13="points",4,7),FALSE)</f>
        <v>127</v>
      </c>
      <c r="G588" s="29">
        <f>(AC588*Settings!$F$2)+(AF588*Settings!$F$5)+(AG588*Settings!$F$6)+(AH588*Settings!$F$7)+(AI588*Settings!$F$8)+(AJ588*Settings!$F$9)+(AK588*Settings!$F$10)+(AL588*Settings!$F$11)+(AM588*Settings!$F$12)+(AN588*Settings!$F$13)+(AO588*Settings!$F$14)+(AP588*Settings!$F$15)+(AQ588*Settings!$F$16)+(AR588*Settings!$F$17)</f>
        <v>138.12499999999994</v>
      </c>
      <c r="H588" s="30">
        <f>VLOOKUP(B588,'Standard Deviations'!$A1:$D651,4,FALSE)</f>
        <v>-2.778317231797621</v>
      </c>
      <c r="I588" s="31">
        <f ca="1">IF(Settings!$J$16="no",VLOOKUP(B588,SP!A1:I161,IF(Settings!$J$13="points",6,9),FALSE),VLOOKUP(B588,'SP+RP'!$A1:$I251,IF(Settings!$J$13="points",6,9),FALSE))</f>
        <v>-2.9142977575962887</v>
      </c>
      <c r="J588" s="30"/>
      <c r="K588" s="30">
        <f ca="1">J588-A588</f>
        <v>-443</v>
      </c>
      <c r="L588" s="30"/>
      <c r="M588" s="30"/>
      <c r="N588" s="30"/>
      <c r="O588" s="30"/>
      <c r="P588" s="30"/>
      <c r="Q588" s="30"/>
      <c r="R588" s="32"/>
      <c r="S588" s="32"/>
      <c r="T588" s="30"/>
      <c r="U588" s="30"/>
      <c r="V588" s="30"/>
      <c r="W588" s="30"/>
      <c r="X588" s="30"/>
      <c r="Y588" s="32"/>
      <c r="Z588" s="32"/>
      <c r="AA588" s="30"/>
      <c r="AB588" s="30"/>
      <c r="AC588" s="30">
        <f>VLOOKUP($B588,Pitchers!$A1:$S251,4,FALSE)</f>
        <v>72.099999999999994</v>
      </c>
      <c r="AD588" s="32">
        <f>VLOOKUP($B588,Pitchers!$A1:$S251,5,FALSE)</f>
        <v>3.9507628294036059</v>
      </c>
      <c r="AE588" s="32">
        <f>VLOOKUP($B588,Pitchers!$A1:$S251,6,FALSE)</f>
        <v>1.230235783633842</v>
      </c>
      <c r="AF588" s="30">
        <f>VLOOKUP($B588,Pitchers!$A1:$S251,7,FALSE)</f>
        <v>74.349999999999994</v>
      </c>
      <c r="AG588" s="30">
        <f>VLOOKUP($B588,Pitchers!$A1:$S251,8,FALSE)</f>
        <v>3.75</v>
      </c>
      <c r="AH588" s="30">
        <f>VLOOKUP($B588,Pitchers!$A1:$S251,9,FALSE)</f>
        <v>0</v>
      </c>
      <c r="AI588" s="30">
        <f>VLOOKUP($B588,Pitchers!$A1:$S251,10,FALSE)</f>
        <v>31.65</v>
      </c>
      <c r="AJ588" s="30">
        <f>VLOOKUP($B588,Pitchers!$A1:$S251,11,FALSE)</f>
        <v>64.900000000000006</v>
      </c>
      <c r="AK588" s="30">
        <f>VLOOKUP($B588,Pitchers!$A1:$S251,12,FALSE)</f>
        <v>23.8</v>
      </c>
      <c r="AL588" s="30">
        <f>VLOOKUP($B588,Pitchers!$A1:$S251,13,FALSE)</f>
        <v>7</v>
      </c>
      <c r="AM588" s="30">
        <f>VLOOKUP($B588,Pitchers!$A1:$S251,14,FALSE)</f>
        <v>34.35</v>
      </c>
      <c r="AN588" s="30">
        <f>VLOOKUP($B588,Pitchers!$A1:$S251,15,FALSE)</f>
        <v>12.25</v>
      </c>
      <c r="AO588" s="30">
        <f>VLOOKUP($B588,Pitchers!$A1:$S251,16,FALSE)</f>
        <v>4.8499999999999996</v>
      </c>
      <c r="AP588" s="30">
        <f>VLOOKUP($B588,Pitchers!$A1:$S251,17,FALSE)</f>
        <v>1</v>
      </c>
      <c r="AQ588" s="30">
        <f>VLOOKUP($B588,Pitchers!$A1:$S251,18,FALSE)</f>
        <v>2</v>
      </c>
      <c r="AR588" s="30">
        <f>VLOOKUP($B588,Pitchers!$A1:$S251,19,FALSE)</f>
        <v>0</v>
      </c>
    </row>
    <row r="589" spans="1:44" ht="18.600000000000001" customHeight="1">
      <c r="A589" s="24">
        <f ca="1">RANK(I589,I$2:I$651)</f>
        <v>384</v>
      </c>
      <c r="B589" s="25" t="s">
        <v>482</v>
      </c>
      <c r="C589" s="26" t="s">
        <v>105</v>
      </c>
      <c r="D589" s="26" t="s">
        <v>70</v>
      </c>
      <c r="E589" s="41" t="s">
        <v>34</v>
      </c>
      <c r="F589" s="42">
        <f ca="1">VLOOKUP(B589,RP!A1:I91,IF(Settings!$J$13="points",4,7),FALSE)</f>
        <v>36</v>
      </c>
      <c r="G589" s="29">
        <f>(AC589*Settings!$F$2)+(AF589*Settings!$F$5)+(AG589*Settings!$F$6)+(AH589*Settings!$F$7)+(AI589*Settings!$F$8)+(AJ589*Settings!$F$9)+(AK589*Settings!$F$10)+(AL589*Settings!$F$11)+(AM589*Settings!$F$12)+(AN589*Settings!$F$13)+(AO589*Settings!$F$14)+(AP589*Settings!$F$15)+(AQ589*Settings!$F$16)+(AR589*Settings!$F$17)</f>
        <v>137.01666666666671</v>
      </c>
      <c r="H589" s="30">
        <f>VLOOKUP(B589,'Standard Deviations'!$A1:$D651,4,FALSE)</f>
        <v>-0.66612874258707255</v>
      </c>
      <c r="I589" s="31">
        <f ca="1">IF(Settings!$J$16="no",VLOOKUP(B589,RP!A1:I91,IF(Settings!$J$13="points",6,9),FALSE),VLOOKUP(B589,'SP+RP'!$A1:$I251,IF(Settings!$J$13="points",6,9),FALSE))</f>
        <v>-2.2371986272029707</v>
      </c>
      <c r="J589" s="30"/>
      <c r="K589" s="30">
        <f ca="1">J589-A589</f>
        <v>-384</v>
      </c>
      <c r="L589" s="30"/>
      <c r="M589" s="30"/>
      <c r="N589" s="30"/>
      <c r="O589" s="30"/>
      <c r="P589" s="30"/>
      <c r="Q589" s="30"/>
      <c r="R589" s="32"/>
      <c r="S589" s="32"/>
      <c r="T589" s="30"/>
      <c r="U589" s="30"/>
      <c r="V589" s="30"/>
      <c r="W589" s="30"/>
      <c r="X589" s="30"/>
      <c r="Y589" s="32"/>
      <c r="Z589" s="32"/>
      <c r="AA589" s="30"/>
      <c r="AB589" s="30"/>
      <c r="AC589" s="30">
        <f>VLOOKUP($B589,Pitchers!$A1:$S251,4,FALSE)</f>
        <v>55.433333333333337</v>
      </c>
      <c r="AD589" s="32">
        <f>VLOOKUP($B589,Pitchers!$A1:$S251,5,FALSE)</f>
        <v>3.3607937462417312</v>
      </c>
      <c r="AE589" s="32">
        <f>VLOOKUP($B589,Pitchers!$A1:$S251,6,FALSE)</f>
        <v>1.1088394467829223</v>
      </c>
      <c r="AF589" s="30">
        <f>VLOOKUP($B589,Pitchers!$A1:$S251,7,FALSE)</f>
        <v>60.633333333333333</v>
      </c>
      <c r="AG589" s="30">
        <f>VLOOKUP($B589,Pitchers!$A1:$S251,8,FALSE)</f>
        <v>3.0333333333333332</v>
      </c>
      <c r="AH589" s="30">
        <f>VLOOKUP($B589,Pitchers!$A1:$S251,9,FALSE)</f>
        <v>2</v>
      </c>
      <c r="AI589" s="30">
        <f>VLOOKUP($B589,Pitchers!$A1:$S251,10,FALSE)</f>
        <v>20.7</v>
      </c>
      <c r="AJ589" s="30">
        <f>VLOOKUP($B589,Pitchers!$A1:$S251,11,FALSE)</f>
        <v>52.333333333333336</v>
      </c>
      <c r="AK589" s="30">
        <f>VLOOKUP($B589,Pitchers!$A1:$S251,12,FALSE)</f>
        <v>9.1333333333333329</v>
      </c>
      <c r="AL589" s="30">
        <f>VLOOKUP($B589,Pitchers!$A1:$S251,13,FALSE)</f>
        <v>7</v>
      </c>
      <c r="AM589" s="30">
        <f>VLOOKUP($B589,Pitchers!$A1:$S251,14,FALSE)</f>
        <v>59.933333333333337</v>
      </c>
      <c r="AN589" s="30">
        <f>VLOOKUP($B589,Pitchers!$A1:$S251,15,FALSE)</f>
        <v>0</v>
      </c>
      <c r="AO589" s="30">
        <f>VLOOKUP($B589,Pitchers!$A1:$S251,16,FALSE)</f>
        <v>2.5333333333333332</v>
      </c>
      <c r="AP589" s="30">
        <f>VLOOKUP($B589,Pitchers!$A1:$S251,17,FALSE)</f>
        <v>0</v>
      </c>
      <c r="AQ589" s="30">
        <f>VLOOKUP($B589,Pitchers!$A1:$S251,18,FALSE)</f>
        <v>14</v>
      </c>
      <c r="AR589" s="30">
        <f>VLOOKUP($B589,Pitchers!$A1:$S251,19,FALSE)</f>
        <v>1</v>
      </c>
    </row>
    <row r="590" spans="1:44" ht="20.100000000000001" customHeight="1">
      <c r="A590" s="24">
        <f ca="1">RANK(I590,I$2:I$651)</f>
        <v>572</v>
      </c>
      <c r="B590" s="25" t="s">
        <v>669</v>
      </c>
      <c r="C590" s="26" t="s">
        <v>97</v>
      </c>
      <c r="D590" s="26" t="s">
        <v>75</v>
      </c>
      <c r="E590" s="33" t="s">
        <v>15</v>
      </c>
      <c r="F590" s="34">
        <f ca="1">VLOOKUP(B590,'3B'!A1:I55,IF(Settings!$J$13="points",4,7),FALSE)</f>
        <v>44</v>
      </c>
      <c r="G590" s="29">
        <f>(M590*Settings!$B$2)+(N590*Settings!$B$3)+(O590*Settings!$B$4)+(P590*Settings!$B$5)+(Q590*Settings!$B$6)+(T590*Settings!$B$9)+(U590*Settings!$B$10)+(V590*Settings!$B$11)+(W590*Settings!$B$12)+(X590*Settings!$B$13)+(AA590*Settings!$B$16)</f>
        <v>137</v>
      </c>
      <c r="H590" s="30">
        <f>VLOOKUP(B590,'Standard Deviations'!$A1:$D651,4,FALSE)</f>
        <v>-4.0172545644116138</v>
      </c>
      <c r="I590" s="31">
        <f ca="1">IF(Settings!$J$15="no",VLOOKUP(B590,'3B'!A1:I55,IF(Settings!$J$13="points",6,9),FALSE),VLOOKUP(B590,'1B+3B'!$A1:$I104,IF(Settings!$J$13="points",6,9),FALSE))</f>
        <v>-4.7449362129904706</v>
      </c>
      <c r="J590" s="30"/>
      <c r="K590" s="30">
        <f ca="1">J590-A590</f>
        <v>-572</v>
      </c>
      <c r="L590" s="30"/>
      <c r="M590" s="30">
        <f>VLOOKUP($B590,Hitters!$A1:$R401,4,FALSE)</f>
        <v>204.333333333333</v>
      </c>
      <c r="N590" s="30">
        <f>VLOOKUP($B590,Hitters!$A1:$R401,5,FALSE)</f>
        <v>24.266666666666701</v>
      </c>
      <c r="O590" s="30">
        <f>VLOOKUP($B590,Hitters!$A1:$R401,6,FALSE)</f>
        <v>1.7666666666666699</v>
      </c>
      <c r="P590" s="30">
        <f>VLOOKUP($B590,Hitters!$A1:$R401,7,FALSE)</f>
        <v>17.8333333333333</v>
      </c>
      <c r="Q590" s="30">
        <f>VLOOKUP($B590,Hitters!$A1:$R401,8,FALSE)</f>
        <v>1.4</v>
      </c>
      <c r="R590" s="32">
        <f>VLOOKUP($B590,Hitters!$A1:$R401,9,FALSE)</f>
        <v>0.27145187601957599</v>
      </c>
      <c r="S590" s="32">
        <f>VLOOKUP($B590,Hitters!$A1:$R401,10,FALSE)</f>
        <v>0.34974074659236198</v>
      </c>
      <c r="T590" s="30">
        <f>VLOOKUP($B590,Hitters!$A1:$R401,11,FALSE)</f>
        <v>55.466666666666697</v>
      </c>
      <c r="U590" s="30">
        <f>VLOOKUP($B590,Hitters!$A1:$R401,12,FALSE)</f>
        <v>9.4</v>
      </c>
      <c r="V590" s="30">
        <f>VLOOKUP($B590,Hitters!$A1:$R401,13,FALSE)</f>
        <v>0.9</v>
      </c>
      <c r="W590" s="30">
        <f>VLOOKUP($B590,Hitters!$A1:$R401,14,FALSE)</f>
        <v>25.7</v>
      </c>
      <c r="X590" s="30">
        <f>VLOOKUP($B590,Hitters!$A1:$R401,15,FALSE)</f>
        <v>35.266666666666701</v>
      </c>
      <c r="Y590" s="32">
        <f>VLOOKUP($B590,Hitters!$A1:$R401,16,FALSE)</f>
        <v>0.35220228384991797</v>
      </c>
      <c r="Z590" s="32">
        <f>VLOOKUP($B590,Hitters!$A1:$R401,17,FALSE)</f>
        <v>0.70194303044228001</v>
      </c>
      <c r="AA590" s="30">
        <f>VLOOKUP($B590,Hitters!$A1:$R401,18,FALSE)</f>
        <v>0</v>
      </c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</row>
    <row r="591" spans="1:44" ht="18.600000000000001" customHeight="1">
      <c r="A591" s="24">
        <f ca="1">RANK(I591,I$2:I$651)</f>
        <v>474</v>
      </c>
      <c r="B591" s="25" t="s">
        <v>571</v>
      </c>
      <c r="C591" s="26" t="s">
        <v>64</v>
      </c>
      <c r="D591" s="26" t="s">
        <v>75</v>
      </c>
      <c r="E591" s="41" t="s">
        <v>34</v>
      </c>
      <c r="F591" s="42">
        <f ca="1">VLOOKUP(B591,RP!A1:I91,IF(Settings!$J$13="points",4,7),FALSE)</f>
        <v>65</v>
      </c>
      <c r="G591" s="29">
        <f>(AC591*Settings!$F$2)+(AF591*Settings!$F$5)+(AG591*Settings!$F$6)+(AH591*Settings!$F$7)+(AI591*Settings!$F$8)+(AJ591*Settings!$F$9)+(AK591*Settings!$F$10)+(AL591*Settings!$F$11)+(AM591*Settings!$F$12)+(AN591*Settings!$F$13)+(AO591*Settings!$F$14)+(AP591*Settings!$F$15)+(AQ591*Settings!$F$16)+(AR591*Settings!$F$17)</f>
        <v>136.41666666666674</v>
      </c>
      <c r="H591" s="30">
        <f>VLOOKUP(B591,'Standard Deviations'!$A1:$D651,4,FALSE)</f>
        <v>-1.727816381729286</v>
      </c>
      <c r="I591" s="31">
        <f ca="1">IF(Settings!$J$16="no",VLOOKUP(B591,RP!A1:I91,IF(Settings!$J$13="points",6,9),FALSE),VLOOKUP(B591,'SP+RP'!$A1:$I251,IF(Settings!$J$13="points",6,9),FALSE))</f>
        <v>-3.2988816526085989</v>
      </c>
      <c r="J591" s="30"/>
      <c r="K591" s="30">
        <f ca="1">J591-A591</f>
        <v>-474</v>
      </c>
      <c r="L591" s="30"/>
      <c r="M591" s="30"/>
      <c r="N591" s="30"/>
      <c r="O591" s="30"/>
      <c r="P591" s="30"/>
      <c r="Q591" s="30"/>
      <c r="R591" s="32"/>
      <c r="S591" s="32"/>
      <c r="T591" s="30"/>
      <c r="U591" s="30"/>
      <c r="V591" s="30"/>
      <c r="W591" s="30"/>
      <c r="X591" s="30"/>
      <c r="Y591" s="32"/>
      <c r="Z591" s="32"/>
      <c r="AA591" s="30"/>
      <c r="AB591" s="30"/>
      <c r="AC591" s="30">
        <f>VLOOKUP($B591,Pitchers!$A1:$S251,4,FALSE)</f>
        <v>63.1</v>
      </c>
      <c r="AD591" s="32">
        <f>VLOOKUP($B591,Pitchers!$A1:$S251,5,FALSE)</f>
        <v>3.646592709984152</v>
      </c>
      <c r="AE591" s="32">
        <f>VLOOKUP($B591,Pitchers!$A1:$S251,6,FALSE)</f>
        <v>1.1711568938193342</v>
      </c>
      <c r="AF591" s="30">
        <f>VLOOKUP($B591,Pitchers!$A1:$S251,7,FALSE)</f>
        <v>66.100000000000009</v>
      </c>
      <c r="AG591" s="30">
        <f>VLOOKUP($B591,Pitchers!$A1:$S251,8,FALSE)</f>
        <v>3.7666666666666671</v>
      </c>
      <c r="AH591" s="30">
        <f>VLOOKUP($B591,Pitchers!$A1:$S251,9,FALSE)</f>
        <v>0.33333333333333331</v>
      </c>
      <c r="AI591" s="30">
        <f>VLOOKUP($B591,Pitchers!$A1:$S251,10,FALSE)</f>
        <v>25.566666666666666</v>
      </c>
      <c r="AJ591" s="30">
        <f>VLOOKUP($B591,Pitchers!$A1:$S251,11,FALSE)</f>
        <v>49.233333333333327</v>
      </c>
      <c r="AK591" s="30">
        <f>VLOOKUP($B591,Pitchers!$A1:$S251,12,FALSE)</f>
        <v>24.666666666666668</v>
      </c>
      <c r="AL591" s="30">
        <f>VLOOKUP($B591,Pitchers!$A1:$S251,13,FALSE)</f>
        <v>9</v>
      </c>
      <c r="AM591" s="30">
        <f>VLOOKUP($B591,Pitchers!$A1:$S251,14,FALSE)</f>
        <v>61.933333333333337</v>
      </c>
      <c r="AN591" s="30">
        <f>VLOOKUP($B591,Pitchers!$A1:$S251,15,FALSE)</f>
        <v>0.33333333333333331</v>
      </c>
      <c r="AO591" s="30">
        <f>VLOOKUP($B591,Pitchers!$A1:$S251,16,FALSE)</f>
        <v>3.0333333333333332</v>
      </c>
      <c r="AP591" s="30">
        <f>VLOOKUP($B591,Pitchers!$A1:$S251,17,FALSE)</f>
        <v>0</v>
      </c>
      <c r="AQ591" s="30">
        <f>VLOOKUP($B591,Pitchers!$A1:$S251,18,FALSE)</f>
        <v>6</v>
      </c>
      <c r="AR591" s="30">
        <f>VLOOKUP($B591,Pitchers!$A1:$S251,19,FALSE)</f>
        <v>0</v>
      </c>
    </row>
    <row r="592" spans="1:44" ht="18.600000000000001" customHeight="1">
      <c r="A592" s="24">
        <f ca="1">RANK(I592,I$2:I$651)</f>
        <v>614</v>
      </c>
      <c r="B592" s="25" t="s">
        <v>710</v>
      </c>
      <c r="C592" s="26" t="s">
        <v>74</v>
      </c>
      <c r="D592" s="26" t="s">
        <v>75</v>
      </c>
      <c r="E592" s="27" t="s">
        <v>23</v>
      </c>
      <c r="F592" s="28">
        <f ca="1">VLOOKUP(B592,OF!A1:I139,IF(Settings!$J$13="points",4,7),FALSE)</f>
        <v>135</v>
      </c>
      <c r="G592" s="29">
        <f>(M592*Settings!$B$2)+(N592*Settings!$B$3)+(O592*Settings!$B$4)+(P592*Settings!$B$5)+(Q592*Settings!$B$6)+(T592*Settings!$B$9)+(U592*Settings!$B$10)+(V592*Settings!$B$11)+(W592*Settings!$B$12)+(X592*Settings!$B$13)+(AA592*Settings!$B$16)</f>
        <v>135.36666666666676</v>
      </c>
      <c r="H592" s="30">
        <f>VLOOKUP(B592,'Standard Deviations'!$A1:$D651,4,FALSE)</f>
        <v>-5.7940175276223513</v>
      </c>
      <c r="I592" s="31">
        <f ca="1">VLOOKUP(B592,OF!A1:I139,IF(Settings!$J$13="points",6,9),FALSE)</f>
        <v>-5.912737058611051</v>
      </c>
      <c r="J592" s="30"/>
      <c r="K592" s="30">
        <f ca="1">J592-A592</f>
        <v>-614</v>
      </c>
      <c r="L592" s="30"/>
      <c r="M592" s="30">
        <f>VLOOKUP($B592,Hitters!$A1:$R401,4,FALSE)</f>
        <v>171.666666666667</v>
      </c>
      <c r="N592" s="30">
        <f>VLOOKUP($B592,Hitters!$A1:$R401,5,FALSE)</f>
        <v>23.5</v>
      </c>
      <c r="O592" s="30">
        <f>VLOOKUP($B592,Hitters!$A1:$R401,6,FALSE)</f>
        <v>8.7333333333333307</v>
      </c>
      <c r="P592" s="30">
        <f>VLOOKUP($B592,Hitters!$A1:$R401,7,FALSE)</f>
        <v>24.066666666666698</v>
      </c>
      <c r="Q592" s="30">
        <f>VLOOKUP($B592,Hitters!$A1:$R401,8,FALSE)</f>
        <v>2.7666666666666702</v>
      </c>
      <c r="R592" s="32">
        <f>VLOOKUP($B592,Hitters!$A1:$R401,9,FALSE)</f>
        <v>0.207766990291262</v>
      </c>
      <c r="S592" s="32">
        <f>VLOOKUP($B592,Hitters!$A1:$R401,10,FALSE)</f>
        <v>0.296226897197854</v>
      </c>
      <c r="T592" s="30">
        <f>VLOOKUP($B592,Hitters!$A1:$R401,11,FALSE)</f>
        <v>35.6666666666667</v>
      </c>
      <c r="U592" s="30">
        <f>VLOOKUP($B592,Hitters!$A1:$R401,12,FALSE)</f>
        <v>7.3333333333333304</v>
      </c>
      <c r="V592" s="30">
        <f>VLOOKUP($B592,Hitters!$A1:$R401,13,FALSE)</f>
        <v>0.1</v>
      </c>
      <c r="W592" s="30">
        <f>VLOOKUP($B592,Hitters!$A1:$R401,14,FALSE)</f>
        <v>22.3</v>
      </c>
      <c r="X592" s="30">
        <f>VLOOKUP($B592,Hitters!$A1:$R401,15,FALSE)</f>
        <v>51.2</v>
      </c>
      <c r="Y592" s="32">
        <f>VLOOKUP($B592,Hitters!$A1:$R401,16,FALSE)</f>
        <v>0.404271844660194</v>
      </c>
      <c r="Z592" s="32">
        <f>VLOOKUP($B592,Hitters!$A1:$R401,17,FALSE)</f>
        <v>0.70049874185804795</v>
      </c>
      <c r="AA592" s="30">
        <f>VLOOKUP($B592,Hitters!$A1:$R401,18,FALSE)</f>
        <v>0</v>
      </c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</row>
    <row r="593" spans="1:44" ht="18.600000000000001" customHeight="1">
      <c r="A593" s="24">
        <f ca="1">RANK(I593,I$2:I$651)</f>
        <v>577</v>
      </c>
      <c r="B593" s="25" t="s">
        <v>673</v>
      </c>
      <c r="C593" s="26" t="s">
        <v>82</v>
      </c>
      <c r="D593" s="26" t="s">
        <v>75</v>
      </c>
      <c r="E593" s="45" t="s">
        <v>19</v>
      </c>
      <c r="F593" s="46">
        <f ca="1">VLOOKUP(B593,'C'!A1:I54,IF(Settings!$J$13="points",4,7),FALSE)</f>
        <v>45</v>
      </c>
      <c r="G593" s="29">
        <f>(M593*Settings!$B$2)+(N593*Settings!$B$3)+(O593*Settings!$B$4)+(P593*Settings!$B$5)+(Q593*Settings!$B$6)+(T593*Settings!$B$9)+(U593*Settings!$B$10)+(V593*Settings!$B$11)+(W593*Settings!$B$12)+(X593*Settings!$B$13)+(AA593*Settings!$B$16)</f>
        <v>134.59999999999994</v>
      </c>
      <c r="H593" s="30">
        <f>VLOOKUP(B593,'Standard Deviations'!$A1:$D651,4,FALSE)</f>
        <v>-5.1209815221155113</v>
      </c>
      <c r="I593" s="31">
        <f ca="1">VLOOKUP(B593,'C'!A1:I54,IF(Settings!$J$13="points",6,9),FALSE)</f>
        <v>-4.8038840967002212</v>
      </c>
      <c r="J593" s="30"/>
      <c r="K593" s="30">
        <f ca="1">J593-A593</f>
        <v>-577</v>
      </c>
      <c r="L593" s="30"/>
      <c r="M593" s="30">
        <f>VLOOKUP($B593,Hitters!$A1:$R401,4,FALSE)</f>
        <v>181.333333333333</v>
      </c>
      <c r="N593" s="30">
        <f>VLOOKUP($B593,Hitters!$A1:$R401,5,FALSE)</f>
        <v>26.5</v>
      </c>
      <c r="O593" s="30">
        <f>VLOOKUP($B593,Hitters!$A1:$R401,6,FALSE)</f>
        <v>6.1333333333333302</v>
      </c>
      <c r="P593" s="30">
        <f>VLOOKUP($B593,Hitters!$A1:$R401,7,FALSE)</f>
        <v>23.3</v>
      </c>
      <c r="Q593" s="30">
        <f>VLOOKUP($B593,Hitters!$A1:$R401,8,FALSE)</f>
        <v>2.3666666666666698</v>
      </c>
      <c r="R593" s="32">
        <f>VLOOKUP($B593,Hitters!$A1:$R401,9,FALSE)</f>
        <v>0.22738970588235299</v>
      </c>
      <c r="S593" s="32">
        <f>VLOOKUP($B593,Hitters!$A1:$R401,10,FALSE)</f>
        <v>0.30688330294347499</v>
      </c>
      <c r="T593" s="30">
        <f>VLOOKUP($B593,Hitters!$A1:$R401,11,FALSE)</f>
        <v>41.233333333333299</v>
      </c>
      <c r="U593" s="30">
        <f>VLOOKUP($B593,Hitters!$A1:$R401,12,FALSE)</f>
        <v>7.2666666666666702</v>
      </c>
      <c r="V593" s="30">
        <f>VLOOKUP($B593,Hitters!$A1:$R401,13,FALSE)</f>
        <v>0.1</v>
      </c>
      <c r="W593" s="30">
        <f>VLOOKUP($B593,Hitters!$A1:$R401,14,FALSE)</f>
        <v>21.6</v>
      </c>
      <c r="X593" s="30">
        <f>VLOOKUP($B593,Hitters!$A1:$R401,15,FALSE)</f>
        <v>44.266666666666701</v>
      </c>
      <c r="Y593" s="32">
        <f>VLOOKUP($B593,Hitters!$A1:$R401,16,FALSE)</f>
        <v>0.37003676470588198</v>
      </c>
      <c r="Z593" s="32">
        <f>VLOOKUP($B593,Hitters!$A1:$R401,17,FALSE)</f>
        <v>0.67692006764935697</v>
      </c>
      <c r="AA593" s="30">
        <f>VLOOKUP($B593,Hitters!$A1:$R401,18,FALSE)</f>
        <v>0</v>
      </c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</row>
    <row r="594" spans="1:44" ht="18.600000000000001" customHeight="1">
      <c r="A594" s="24">
        <f ca="1">RANK(I594,I$2:I$651)</f>
        <v>594</v>
      </c>
      <c r="B594" s="25" t="s">
        <v>690</v>
      </c>
      <c r="C594" s="26" t="s">
        <v>178</v>
      </c>
      <c r="D594" s="26" t="s">
        <v>75</v>
      </c>
      <c r="E594" s="45" t="s">
        <v>19</v>
      </c>
      <c r="F594" s="46">
        <f ca="1">VLOOKUP(B594,'C'!A1:I54,IF(Settings!$J$13="points",4,7),FALSE)</f>
        <v>49</v>
      </c>
      <c r="G594" s="29">
        <f>(M594*Settings!$B$2)+(N594*Settings!$B$3)+(O594*Settings!$B$4)+(P594*Settings!$B$5)+(Q594*Settings!$B$6)+(T594*Settings!$B$9)+(U594*Settings!$B$10)+(V594*Settings!$B$11)+(W594*Settings!$B$12)+(X594*Settings!$B$13)+(AA594*Settings!$B$16)</f>
        <v>134.24999999999991</v>
      </c>
      <c r="H594" s="30">
        <f>VLOOKUP(B594,'Standard Deviations'!$A1:$D651,4,FALSE)</f>
        <v>-5.5437503939554595</v>
      </c>
      <c r="I594" s="31">
        <f ca="1">VLOOKUP(B594,'C'!A1:I54,IF(Settings!$J$13="points",6,9),FALSE)</f>
        <v>-5.2266602252877439</v>
      </c>
      <c r="J594" s="30"/>
      <c r="K594" s="30">
        <f ca="1">J594-A594</f>
        <v>-594</v>
      </c>
      <c r="L594" s="30"/>
      <c r="M594" s="30">
        <f>VLOOKUP($B594,Hitters!$A1:$R401,4,FALSE)</f>
        <v>209</v>
      </c>
      <c r="N594" s="30">
        <f>VLOOKUP($B594,Hitters!$A1:$R401,5,FALSE)</f>
        <v>24.533333333333299</v>
      </c>
      <c r="O594" s="30">
        <f>VLOOKUP($B594,Hitters!$A1:$R401,6,FALSE)</f>
        <v>7.6333333333333302</v>
      </c>
      <c r="P594" s="30">
        <f>VLOOKUP($B594,Hitters!$A1:$R401,7,FALSE)</f>
        <v>23.533333333333299</v>
      </c>
      <c r="Q594" s="30">
        <f>VLOOKUP($B594,Hitters!$A1:$R401,8,FALSE)</f>
        <v>0.73333333333333295</v>
      </c>
      <c r="R594" s="32">
        <f>VLOOKUP($B594,Hitters!$A1:$R401,9,FALSE)</f>
        <v>0.221531100478469</v>
      </c>
      <c r="S594" s="32">
        <f>VLOOKUP($B594,Hitters!$A1:$R401,10,FALSE)</f>
        <v>0.27380760021740103</v>
      </c>
      <c r="T594" s="30">
        <f>VLOOKUP($B594,Hitters!$A1:$R401,11,FALSE)</f>
        <v>46.3</v>
      </c>
      <c r="U594" s="30">
        <f>VLOOKUP($B594,Hitters!$A1:$R401,12,FALSE)</f>
        <v>7.06666666666667</v>
      </c>
      <c r="V594" s="30">
        <f>VLOOKUP($B594,Hitters!$A1:$R401,13,FALSE)</f>
        <v>1</v>
      </c>
      <c r="W594" s="30">
        <f>VLOOKUP($B594,Hitters!$A1:$R401,14,FALSE)</f>
        <v>15.8333333333333</v>
      </c>
      <c r="X594" s="30">
        <f>VLOOKUP($B594,Hitters!$A1:$R401,15,FALSE)</f>
        <v>50.1666666666667</v>
      </c>
      <c r="Y594" s="32">
        <f>VLOOKUP($B594,Hitters!$A1:$R401,16,FALSE)</f>
        <v>0.37448165869218503</v>
      </c>
      <c r="Z594" s="32">
        <f>VLOOKUP($B594,Hitters!$A1:$R401,17,FALSE)</f>
        <v>0.648289258909586</v>
      </c>
      <c r="AA594" s="30">
        <f>VLOOKUP($B594,Hitters!$A1:$R401,18,FALSE)</f>
        <v>0</v>
      </c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</row>
    <row r="595" spans="1:44" ht="18.600000000000001" customHeight="1">
      <c r="A595" s="24">
        <f ca="1">RANK(I595,I$2:I$651)</f>
        <v>437</v>
      </c>
      <c r="B595" s="25" t="s">
        <v>534</v>
      </c>
      <c r="C595" s="26" t="s">
        <v>122</v>
      </c>
      <c r="D595" s="26" t="s">
        <v>75</v>
      </c>
      <c r="E595" s="41" t="s">
        <v>34</v>
      </c>
      <c r="F595" s="42">
        <f ca="1">VLOOKUP(B595,RP!A1:I91,IF(Settings!$J$13="points",4,7),FALSE)</f>
        <v>55</v>
      </c>
      <c r="G595" s="29">
        <f>(AC595*Settings!$F$2)+(AF595*Settings!$F$5)+(AG595*Settings!$F$6)+(AH595*Settings!$F$7)+(AI595*Settings!$F$8)+(AJ595*Settings!$F$9)+(AK595*Settings!$F$10)+(AL595*Settings!$F$11)+(AM595*Settings!$F$12)+(AN595*Settings!$F$13)+(AO595*Settings!$F$14)+(AP595*Settings!$F$15)+(AQ595*Settings!$F$16)+(AR595*Settings!$F$17)</f>
        <v>134.21666666666667</v>
      </c>
      <c r="H595" s="30">
        <f>VLOOKUP(B595,'Standard Deviations'!$A1:$D651,4,FALSE)</f>
        <v>-1.2827447840849799</v>
      </c>
      <c r="I595" s="31">
        <f ca="1">IF(Settings!$J$16="no",VLOOKUP(B595,RP!A1:I91,IF(Settings!$J$13="points",6,9),FALSE),VLOOKUP(B595,'SP+RP'!$A1:$I251,IF(Settings!$J$13="points",6,9),FALSE))</f>
        <v>-2.8538149635057537</v>
      </c>
      <c r="J595" s="30"/>
      <c r="K595" s="30">
        <f ca="1">J595-A595</f>
        <v>-437</v>
      </c>
      <c r="L595" s="30"/>
      <c r="M595" s="30"/>
      <c r="N595" s="30"/>
      <c r="O595" s="30"/>
      <c r="P595" s="30"/>
      <c r="Q595" s="30"/>
      <c r="R595" s="32"/>
      <c r="S595" s="32"/>
      <c r="T595" s="30"/>
      <c r="U595" s="30"/>
      <c r="V595" s="30"/>
      <c r="W595" s="30"/>
      <c r="X595" s="30"/>
      <c r="Y595" s="32"/>
      <c r="Z595" s="32"/>
      <c r="AA595" s="30"/>
      <c r="AB595" s="30"/>
      <c r="AC595" s="30">
        <f>VLOOKUP($B595,Pitchers!$A1:$S251,4,FALSE)</f>
        <v>58.266666666666673</v>
      </c>
      <c r="AD595" s="32">
        <f>VLOOKUP($B595,Pitchers!$A1:$S251,5,FALSE)</f>
        <v>3.2282608695652173</v>
      </c>
      <c r="AE595" s="32">
        <f>VLOOKUP($B595,Pitchers!$A1:$S251,6,FALSE)</f>
        <v>1.1905034324942791</v>
      </c>
      <c r="AF595" s="30">
        <f>VLOOKUP($B595,Pitchers!$A1:$S251,7,FALSE)</f>
        <v>61.699999999999996</v>
      </c>
      <c r="AG595" s="30">
        <f>VLOOKUP($B595,Pitchers!$A1:$S251,8,FALSE)</f>
        <v>2.6666666666666665</v>
      </c>
      <c r="AH595" s="30">
        <f>VLOOKUP($B595,Pitchers!$A1:$S251,9,FALSE)</f>
        <v>2.3333333333333335</v>
      </c>
      <c r="AI595" s="30">
        <f>VLOOKUP($B595,Pitchers!$A1:$S251,10,FALSE)</f>
        <v>20.900000000000002</v>
      </c>
      <c r="AJ595" s="30">
        <f>VLOOKUP($B595,Pitchers!$A1:$S251,11,FALSE)</f>
        <v>49.866666666666667</v>
      </c>
      <c r="AK595" s="30">
        <f>VLOOKUP($B595,Pitchers!$A1:$S251,12,FALSE)</f>
        <v>19.5</v>
      </c>
      <c r="AL595" s="30">
        <f>VLOOKUP($B595,Pitchers!$A1:$S251,13,FALSE)</f>
        <v>6</v>
      </c>
      <c r="AM595" s="30">
        <f>VLOOKUP($B595,Pitchers!$A1:$S251,14,FALSE)</f>
        <v>62.933333333333337</v>
      </c>
      <c r="AN595" s="30">
        <f>VLOOKUP($B595,Pitchers!$A1:$S251,15,FALSE)</f>
        <v>0</v>
      </c>
      <c r="AO595" s="30">
        <f>VLOOKUP($B595,Pitchers!$A1:$S251,16,FALSE)</f>
        <v>3.2333333333333329</v>
      </c>
      <c r="AP595" s="30">
        <f>VLOOKUP($B595,Pitchers!$A1:$S251,17,FALSE)</f>
        <v>0</v>
      </c>
      <c r="AQ595" s="30">
        <f>VLOOKUP($B595,Pitchers!$A1:$S251,18,FALSE)</f>
        <v>18.5</v>
      </c>
      <c r="AR595" s="30">
        <f>VLOOKUP($B595,Pitchers!$A1:$S251,19,FALSE)</f>
        <v>3</v>
      </c>
    </row>
    <row r="596" spans="1:44" ht="18.600000000000001" customHeight="1">
      <c r="A596" s="24">
        <f ca="1">RANK(I596,I$2:I$651)</f>
        <v>588</v>
      </c>
      <c r="B596" s="25" t="s">
        <v>684</v>
      </c>
      <c r="C596" s="26" t="s">
        <v>69</v>
      </c>
      <c r="D596" s="26" t="s">
        <v>70</v>
      </c>
      <c r="E596" s="45" t="s">
        <v>19</v>
      </c>
      <c r="F596" s="46">
        <f ca="1">VLOOKUP(B596,'C'!A1:I54,IF(Settings!$J$13="points",4,7),FALSE)</f>
        <v>47</v>
      </c>
      <c r="G596" s="29">
        <f>(M596*Settings!$B$2)+(N596*Settings!$B$3)+(O596*Settings!$B$4)+(P596*Settings!$B$5)+(Q596*Settings!$B$6)+(T596*Settings!$B$9)+(U596*Settings!$B$10)+(V596*Settings!$B$11)+(W596*Settings!$B$12)+(X596*Settings!$B$13)+(AA596*Settings!$B$16)</f>
        <v>133.0333333333333</v>
      </c>
      <c r="H596" s="30">
        <f>VLOOKUP(B596,'Standard Deviations'!$A1:$D651,4,FALSE)</f>
        <v>-5.264422642824039</v>
      </c>
      <c r="I596" s="31">
        <f ca="1">VLOOKUP(B596,'C'!A1:I54,IF(Settings!$J$13="points",6,9),FALSE)</f>
        <v>-4.9473333791942418</v>
      </c>
      <c r="J596" s="30"/>
      <c r="K596" s="30">
        <f ca="1">J596-A596</f>
        <v>-588</v>
      </c>
      <c r="L596" s="30"/>
      <c r="M596" s="30">
        <f>VLOOKUP($B596,Hitters!$A1:$R401,4,FALSE)</f>
        <v>193</v>
      </c>
      <c r="N596" s="30">
        <f>VLOOKUP($B596,Hitters!$A1:$R401,5,FALSE)</f>
        <v>23.1666666666667</v>
      </c>
      <c r="O596" s="30">
        <f>VLOOKUP($B596,Hitters!$A1:$R401,6,FALSE)</f>
        <v>9.0333333333333297</v>
      </c>
      <c r="P596" s="30">
        <f>VLOOKUP($B596,Hitters!$A1:$R401,7,FALSE)</f>
        <v>26.8</v>
      </c>
      <c r="Q596" s="30">
        <f>VLOOKUP($B596,Hitters!$A1:$R401,8,FALSE)</f>
        <v>0.36666666666666697</v>
      </c>
      <c r="R596" s="32">
        <f>VLOOKUP($B596,Hitters!$A1:$R401,9,FALSE)</f>
        <v>0.222970639032815</v>
      </c>
      <c r="S596" s="32">
        <f>VLOOKUP($B596,Hitters!$A1:$R401,10,FALSE)</f>
        <v>0.266778226520137</v>
      </c>
      <c r="T596" s="30">
        <f>VLOOKUP($B596,Hitters!$A1:$R401,11,FALSE)</f>
        <v>43.033333333333303</v>
      </c>
      <c r="U596" s="30">
        <f>VLOOKUP($B596,Hitters!$A1:$R401,12,FALSE)</f>
        <v>7.56666666666667</v>
      </c>
      <c r="V596" s="30">
        <f>VLOOKUP($B596,Hitters!$A1:$R401,13,FALSE)</f>
        <v>0.133333333333333</v>
      </c>
      <c r="W596" s="30">
        <f>VLOOKUP($B596,Hitters!$A1:$R401,14,FALSE)</f>
        <v>12.233333333333301</v>
      </c>
      <c r="X596" s="30">
        <f>VLOOKUP($B596,Hitters!$A1:$R401,15,FALSE)</f>
        <v>49.2</v>
      </c>
      <c r="Y596" s="32">
        <f>VLOOKUP($B596,Hitters!$A1:$R401,16,FALSE)</f>
        <v>0.40397236614853199</v>
      </c>
      <c r="Z596" s="32">
        <f>VLOOKUP($B596,Hitters!$A1:$R401,17,FALSE)</f>
        <v>0.67075059266866899</v>
      </c>
      <c r="AA596" s="30">
        <f>VLOOKUP($B596,Hitters!$A1:$R401,18,FALSE)</f>
        <v>0</v>
      </c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</row>
    <row r="597" spans="1:44" ht="18.600000000000001" customHeight="1">
      <c r="A597" s="24">
        <f ca="1">RANK(I597,I$2:I$651)</f>
        <v>488</v>
      </c>
      <c r="B597" s="25" t="s">
        <v>590</v>
      </c>
      <c r="C597" s="26" t="s">
        <v>95</v>
      </c>
      <c r="D597" s="26" t="s">
        <v>70</v>
      </c>
      <c r="E597" s="35" t="s">
        <v>31</v>
      </c>
      <c r="F597" s="36">
        <f ca="1">VLOOKUP(B597,SP!A1:I161,IF(Settings!$J$13="points",4,7),FALSE)</f>
        <v>141</v>
      </c>
      <c r="G597" s="29">
        <f>(AC597*Settings!$F$2)+(AF597*Settings!$F$5)+(AG597*Settings!$F$6)+(AH597*Settings!$F$7)+(AI597*Settings!$F$8)+(AJ597*Settings!$F$9)+(AK597*Settings!$F$10)+(AL597*Settings!$F$11)+(AM597*Settings!$F$12)+(AN597*Settings!$F$13)+(AO597*Settings!$F$14)+(AP597*Settings!$F$15)+(AQ597*Settings!$F$16)+(AR597*Settings!$F$17)</f>
        <v>132.94999999999999</v>
      </c>
      <c r="H597" s="30">
        <f>VLOOKUP(B597,'Standard Deviations'!$A1:$D651,4,FALSE)</f>
        <v>-3.3676953896515629</v>
      </c>
      <c r="I597" s="31">
        <f ca="1">IF(Settings!$J$16="no",VLOOKUP(B597,SP!A1:I161,IF(Settings!$J$13="points",6,9),FALSE),VLOOKUP(B597,'SP+RP'!$A1:$I251,IF(Settings!$J$13="points",6,9),FALSE))</f>
        <v>-3.5036830166556694</v>
      </c>
      <c r="J597" s="30"/>
      <c r="K597" s="30">
        <f ca="1">J597-A597</f>
        <v>-488</v>
      </c>
      <c r="L597" s="30"/>
      <c r="M597" s="30"/>
      <c r="N597" s="30"/>
      <c r="O597" s="30"/>
      <c r="P597" s="30"/>
      <c r="Q597" s="30"/>
      <c r="R597" s="32"/>
      <c r="S597" s="32"/>
      <c r="T597" s="30"/>
      <c r="U597" s="30"/>
      <c r="V597" s="30"/>
      <c r="W597" s="30"/>
      <c r="X597" s="30"/>
      <c r="Y597" s="32"/>
      <c r="Z597" s="32"/>
      <c r="AA597" s="30"/>
      <c r="AB597" s="30"/>
      <c r="AC597" s="30">
        <f>VLOOKUP($B597,Pitchers!$A1:$S251,4,FALSE)</f>
        <v>64.900000000000006</v>
      </c>
      <c r="AD597" s="32">
        <f>VLOOKUP($B597,Pitchers!$A1:$S251,5,FALSE)</f>
        <v>3.8759630200308162</v>
      </c>
      <c r="AE597" s="32">
        <f>VLOOKUP($B597,Pitchers!$A1:$S251,6,FALSE)</f>
        <v>1.2865947611710322</v>
      </c>
      <c r="AF597" s="30">
        <f>VLOOKUP($B597,Pitchers!$A1:$S251,7,FALSE)</f>
        <v>71.099999999999994</v>
      </c>
      <c r="AG597" s="30">
        <f>VLOOKUP($B597,Pitchers!$A1:$S251,8,FALSE)</f>
        <v>3.45</v>
      </c>
      <c r="AH597" s="30">
        <f>VLOOKUP($B597,Pitchers!$A1:$S251,9,FALSE)</f>
        <v>0</v>
      </c>
      <c r="AI597" s="30">
        <f>VLOOKUP($B597,Pitchers!$A1:$S251,10,FALSE)</f>
        <v>27.95</v>
      </c>
      <c r="AJ597" s="30">
        <f>VLOOKUP($B597,Pitchers!$A1:$S251,11,FALSE)</f>
        <v>55.7</v>
      </c>
      <c r="AK597" s="30">
        <f>VLOOKUP($B597,Pitchers!$A1:$S251,12,FALSE)</f>
        <v>27.8</v>
      </c>
      <c r="AL597" s="30">
        <f>VLOOKUP($B597,Pitchers!$A1:$S251,13,FALSE)</f>
        <v>10</v>
      </c>
      <c r="AM597" s="30">
        <f>VLOOKUP($B597,Pitchers!$A1:$S251,14,FALSE)</f>
        <v>46.75</v>
      </c>
      <c r="AN597" s="30">
        <f>VLOOKUP($B597,Pitchers!$A1:$S251,15,FALSE)</f>
        <v>4.95</v>
      </c>
      <c r="AO597" s="30">
        <f>VLOOKUP($B597,Pitchers!$A1:$S251,16,FALSE)</f>
        <v>3.2</v>
      </c>
      <c r="AP597" s="30">
        <f>VLOOKUP($B597,Pitchers!$A1:$S251,17,FALSE)</f>
        <v>2</v>
      </c>
      <c r="AQ597" s="30">
        <f>VLOOKUP($B597,Pitchers!$A1:$S251,18,FALSE)</f>
        <v>10</v>
      </c>
      <c r="AR597" s="30">
        <f>VLOOKUP($B597,Pitchers!$A1:$S251,19,FALSE)</f>
        <v>0</v>
      </c>
    </row>
    <row r="598" spans="1:44" ht="18.600000000000001" customHeight="1">
      <c r="A598" s="24">
        <f ca="1">RANK(I598,I$2:I$651)</f>
        <v>608</v>
      </c>
      <c r="B598" s="49" t="s">
        <v>704</v>
      </c>
      <c r="C598" s="49" t="s">
        <v>225</v>
      </c>
      <c r="D598" s="26" t="s">
        <v>75</v>
      </c>
      <c r="E598" s="45" t="s">
        <v>19</v>
      </c>
      <c r="F598" s="46">
        <f ca="1">VLOOKUP(B598,'C'!A1:I54,IF(Settings!$J$13="points",4,7),FALSE)</f>
        <v>51</v>
      </c>
      <c r="G598" s="29">
        <f>(M598*Settings!$B$2)+(N598*Settings!$B$3)+(O598*Settings!$B$4)+(P598*Settings!$B$5)+(Q598*Settings!$B$6)+(T598*Settings!$B$9)+(U598*Settings!$B$10)+(V598*Settings!$B$11)+(W598*Settings!$B$12)+(X598*Settings!$B$13)+(AA598*Settings!$B$16)</f>
        <v>131.80000000000007</v>
      </c>
      <c r="H598" s="30">
        <f>VLOOKUP(B598,'Standard Deviations'!$A1:$D651,4,FALSE)</f>
        <v>-5.8997476292715882</v>
      </c>
      <c r="I598" s="31">
        <f ca="1">VLOOKUP(B598,'C'!A1:I54,IF(Settings!$J$13="points",6,9),FALSE)</f>
        <v>-5.5826562848421517</v>
      </c>
      <c r="J598" s="30"/>
      <c r="K598" s="30">
        <f ca="1">J598-A598</f>
        <v>-608</v>
      </c>
      <c r="L598" s="30"/>
      <c r="M598" s="30">
        <f>VLOOKUP($B598,Hitters!$A1:$R401,4,FALSE)</f>
        <v>200</v>
      </c>
      <c r="N598" s="30">
        <f>VLOOKUP($B598,Hitters!$A1:$R401,5,FALSE)</f>
        <v>24.633333333333301</v>
      </c>
      <c r="O598" s="30">
        <f>VLOOKUP($B598,Hitters!$A1:$R401,6,FALSE)</f>
        <v>7.06666666666667</v>
      </c>
      <c r="P598" s="30">
        <f>VLOOKUP($B598,Hitters!$A1:$R401,7,FALSE)</f>
        <v>24.1666666666667</v>
      </c>
      <c r="Q598" s="30">
        <f>VLOOKUP($B598,Hitters!$A1:$R401,8,FALSE)</f>
        <v>0.73333333333333295</v>
      </c>
      <c r="R598" s="32">
        <f>VLOOKUP($B598,Hitters!$A1:$R401,9,FALSE)</f>
        <v>0.215</v>
      </c>
      <c r="S598" s="32">
        <f>VLOOKUP($B598,Hitters!$A1:$R401,10,FALSE)</f>
        <v>0.30496867259216098</v>
      </c>
      <c r="T598" s="30">
        <f>VLOOKUP($B598,Hitters!$A1:$R401,11,FALSE)</f>
        <v>43</v>
      </c>
      <c r="U598" s="30">
        <f>VLOOKUP($B598,Hitters!$A1:$R401,12,FALSE)</f>
        <v>8.43333333333333</v>
      </c>
      <c r="V598" s="30">
        <f>VLOOKUP($B598,Hitters!$A1:$R401,13,FALSE)</f>
        <v>0.133333333333333</v>
      </c>
      <c r="W598" s="30">
        <f>VLOOKUP($B598,Hitters!$A1:$R401,14,FALSE)</f>
        <v>26.766666666666701</v>
      </c>
      <c r="X598" s="30">
        <f>VLOOKUP($B598,Hitters!$A1:$R401,15,FALSE)</f>
        <v>67.533333333333303</v>
      </c>
      <c r="Y598" s="32">
        <f>VLOOKUP($B598,Hitters!$A1:$R401,16,FALSE)</f>
        <v>0.36449999999999999</v>
      </c>
      <c r="Z598" s="32">
        <f>VLOOKUP($B598,Hitters!$A1:$R401,17,FALSE)</f>
        <v>0.66946867259216103</v>
      </c>
      <c r="AA598" s="30">
        <f>VLOOKUP($B598,Hitters!$A1:$R401,18,FALSE)</f>
        <v>0</v>
      </c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</row>
    <row r="599" spans="1:44" ht="18.600000000000001" customHeight="1">
      <c r="A599" s="24">
        <f ca="1">RANK(I599,I$2:I$651)</f>
        <v>626</v>
      </c>
      <c r="B599" s="25" t="s">
        <v>722</v>
      </c>
      <c r="C599" s="26" t="s">
        <v>92</v>
      </c>
      <c r="D599" s="26" t="s">
        <v>75</v>
      </c>
      <c r="E599" s="47" t="s">
        <v>11</v>
      </c>
      <c r="F599" s="48">
        <f ca="1">VLOOKUP(B599,'2B'!A1:I50,IF(Settings!$J$13="points",4,7),FALSE)</f>
        <v>44</v>
      </c>
      <c r="G599" s="29">
        <f>(M599*Settings!$B$2)+(N599*Settings!$B$3)+(O599*Settings!$B$4)+(P599*Settings!$B$5)+(Q599*Settings!$B$6)+(T599*Settings!$B$9)+(U599*Settings!$B$10)+(V599*Settings!$B$11)+(W599*Settings!$B$12)+(X599*Settings!$B$13)+(AA599*Settings!$B$16)</f>
        <v>131.66666666666669</v>
      </c>
      <c r="H599" s="30">
        <f>VLOOKUP(B599,'Standard Deviations'!$A1:$D651,4,FALSE)</f>
        <v>-4.0859832553825317</v>
      </c>
      <c r="I599" s="31">
        <f ca="1">IF(Settings!$J$16="no",VLOOKUP(B599,'2B'!A1:I50,IF(Settings!$J$13="points",6,9),FALSE),VLOOKUP(B599,'2B+SS'!$A1:$I94,IF(Settings!$J$13="points",6,9),FALSE))</f>
        <v>-6.3937213359311524</v>
      </c>
      <c r="J599" s="30"/>
      <c r="K599" s="30">
        <f ca="1">J599-A599</f>
        <v>-626</v>
      </c>
      <c r="L599" s="30"/>
      <c r="M599" s="30">
        <f>VLOOKUP($B599,Hitters!$A1:$R401,4,FALSE)</f>
        <v>197.333333333333</v>
      </c>
      <c r="N599" s="30">
        <f>VLOOKUP($B599,Hitters!$A1:$R401,5,FALSE)</f>
        <v>25.7</v>
      </c>
      <c r="O599" s="30">
        <f>VLOOKUP($B599,Hitters!$A1:$R401,6,FALSE)</f>
        <v>4.2666666666666702</v>
      </c>
      <c r="P599" s="30">
        <f>VLOOKUP($B599,Hitters!$A1:$R401,7,FALSE)</f>
        <v>21.2</v>
      </c>
      <c r="Q599" s="30">
        <f>VLOOKUP($B599,Hitters!$A1:$R401,8,FALSE)</f>
        <v>4.7333333333333298</v>
      </c>
      <c r="R599" s="32">
        <f>VLOOKUP($B599,Hitters!$A1:$R401,9,FALSE)</f>
        <v>0.24881756756756801</v>
      </c>
      <c r="S599" s="32">
        <f>VLOOKUP($B599,Hitters!$A1:$R401,10,FALSE)</f>
        <v>0.280642380511478</v>
      </c>
      <c r="T599" s="30">
        <f>VLOOKUP($B599,Hitters!$A1:$R401,11,FALSE)</f>
        <v>49.1</v>
      </c>
      <c r="U599" s="30">
        <f>VLOOKUP($B599,Hitters!$A1:$R401,12,FALSE)</f>
        <v>8.6</v>
      </c>
      <c r="V599" s="30">
        <f>VLOOKUP($B599,Hitters!$A1:$R401,13,FALSE)</f>
        <v>2.3333333333333299</v>
      </c>
      <c r="W599" s="30">
        <f>VLOOKUP($B599,Hitters!$A1:$R401,14,FALSE)</f>
        <v>9.5</v>
      </c>
      <c r="X599" s="30">
        <f>VLOOKUP($B599,Hitters!$A1:$R401,15,FALSE)</f>
        <v>49.133333333333297</v>
      </c>
      <c r="Y599" s="32">
        <f>VLOOKUP($B599,Hitters!$A1:$R401,16,FALSE)</f>
        <v>0.380912162162162</v>
      </c>
      <c r="Z599" s="32">
        <f>VLOOKUP($B599,Hitters!$A1:$R401,17,FALSE)</f>
        <v>0.66155454267364</v>
      </c>
      <c r="AA599" s="30">
        <f>VLOOKUP($B599,Hitters!$A1:$R401,18,FALSE)</f>
        <v>0</v>
      </c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</row>
    <row r="600" spans="1:44" ht="18.600000000000001" customHeight="1">
      <c r="A600" s="24">
        <f ca="1">RANK(I600,I$2:I$651)</f>
        <v>489</v>
      </c>
      <c r="B600" s="25" t="s">
        <v>584</v>
      </c>
      <c r="C600" s="26" t="s">
        <v>158</v>
      </c>
      <c r="D600" s="26" t="s">
        <v>70</v>
      </c>
      <c r="E600" s="41" t="s">
        <v>34</v>
      </c>
      <c r="F600" s="42">
        <f ca="1">VLOOKUP(B600,RP!A1:I91,IF(Settings!$J$13="points",4,7),FALSE)</f>
        <v>72</v>
      </c>
      <c r="G600" s="29">
        <f>(AC600*Settings!$F$2)+(AF600*Settings!$F$5)+(AG600*Settings!$F$6)+(AH600*Settings!$F$7)+(AI600*Settings!$F$8)+(AJ600*Settings!$F$9)+(AK600*Settings!$F$10)+(AL600*Settings!$F$11)+(AM600*Settings!$F$12)+(AN600*Settings!$F$13)+(AO600*Settings!$F$14)+(AP600*Settings!$F$15)+(AQ600*Settings!$F$16)+(AR600*Settings!$F$17)</f>
        <v>130.72499999999999</v>
      </c>
      <c r="H600" s="30">
        <f>VLOOKUP(B600,'Standard Deviations'!$A1:$D651,4,FALSE)</f>
        <v>-1.9335079063397491</v>
      </c>
      <c r="I600" s="31">
        <f ca="1">IF(Settings!$J$16="no",VLOOKUP(B600,RP!A1:I91,IF(Settings!$J$13="points",6,9),FALSE),VLOOKUP(B600,'SP+RP'!$A1:$I251,IF(Settings!$J$13="points",6,9),FALSE))</f>
        <v>-3.5045777438534116</v>
      </c>
      <c r="J600" s="30"/>
      <c r="K600" s="30">
        <f ca="1">J600-A600</f>
        <v>-489</v>
      </c>
      <c r="L600" s="30"/>
      <c r="M600" s="30"/>
      <c r="N600" s="30"/>
      <c r="O600" s="30"/>
      <c r="P600" s="30"/>
      <c r="Q600" s="30"/>
      <c r="R600" s="32"/>
      <c r="S600" s="32"/>
      <c r="T600" s="30"/>
      <c r="U600" s="30"/>
      <c r="V600" s="30"/>
      <c r="W600" s="30"/>
      <c r="X600" s="30"/>
      <c r="Y600" s="32"/>
      <c r="Z600" s="32"/>
      <c r="AA600" s="30"/>
      <c r="AB600" s="30"/>
      <c r="AC600" s="30">
        <f>VLOOKUP($B600,Pitchers!$A1:$S251,4,FALSE)</f>
        <v>60.550000000000004</v>
      </c>
      <c r="AD600" s="32">
        <f>VLOOKUP($B600,Pitchers!$A1:$S251,5,FALSE)</f>
        <v>3.180842279108175</v>
      </c>
      <c r="AE600" s="32">
        <f>VLOOKUP($B600,Pitchers!$A1:$S251,6,FALSE)</f>
        <v>1.2683732452518579</v>
      </c>
      <c r="AF600" s="30">
        <f>VLOOKUP($B600,Pitchers!$A1:$S251,7,FALSE)</f>
        <v>74.05</v>
      </c>
      <c r="AG600" s="30">
        <f>VLOOKUP($B600,Pitchers!$A1:$S251,8,FALSE)</f>
        <v>2.75</v>
      </c>
      <c r="AH600" s="30">
        <f>VLOOKUP($B600,Pitchers!$A1:$S251,9,FALSE)</f>
        <v>0.5</v>
      </c>
      <c r="AI600" s="30">
        <f>VLOOKUP($B600,Pitchers!$A1:$S251,10,FALSE)</f>
        <v>21.4</v>
      </c>
      <c r="AJ600" s="30">
        <f>VLOOKUP($B600,Pitchers!$A1:$S251,11,FALSE)</f>
        <v>48</v>
      </c>
      <c r="AK600" s="30">
        <f>VLOOKUP($B600,Pitchers!$A1:$S251,12,FALSE)</f>
        <v>28.8</v>
      </c>
      <c r="AL600" s="30">
        <f>VLOOKUP($B600,Pitchers!$A1:$S251,13,FALSE)</f>
        <v>5</v>
      </c>
      <c r="AM600" s="30">
        <f>VLOOKUP($B600,Pitchers!$A1:$S251,14,FALSE)</f>
        <v>55.45</v>
      </c>
      <c r="AN600" s="30">
        <f>VLOOKUP($B600,Pitchers!$A1:$S251,15,FALSE)</f>
        <v>0</v>
      </c>
      <c r="AO600" s="30">
        <f>VLOOKUP($B600,Pitchers!$A1:$S251,16,FALSE)</f>
        <v>2.5</v>
      </c>
      <c r="AP600" s="30">
        <f>VLOOKUP($B600,Pitchers!$A1:$S251,17,FALSE)</f>
        <v>0</v>
      </c>
      <c r="AQ600" s="30">
        <f>VLOOKUP($B600,Pitchers!$A1:$S251,18,FALSE)</f>
        <v>6</v>
      </c>
      <c r="AR600" s="30">
        <f>VLOOKUP($B600,Pitchers!$A1:$S251,19,FALSE)</f>
        <v>0</v>
      </c>
    </row>
    <row r="601" spans="1:44" ht="18.600000000000001" customHeight="1">
      <c r="A601" s="24">
        <f ca="1">RANK(I601,I$2:I$651)</f>
        <v>539</v>
      </c>
      <c r="B601" s="25" t="s">
        <v>636</v>
      </c>
      <c r="C601" s="26" t="s">
        <v>77</v>
      </c>
      <c r="D601" s="26" t="s">
        <v>70</v>
      </c>
      <c r="E601" s="41" t="s">
        <v>34</v>
      </c>
      <c r="F601" s="42">
        <f ca="1">VLOOKUP(B601,RP!A1:I91,IF(Settings!$J$13="points",4,7),FALSE)</f>
        <v>87</v>
      </c>
      <c r="G601" s="29">
        <f>(AC601*Settings!$F$2)+(AF601*Settings!$F$5)+(AG601*Settings!$F$6)+(AH601*Settings!$F$7)+(AI601*Settings!$F$8)+(AJ601*Settings!$F$9)+(AK601*Settings!$F$10)+(AL601*Settings!$F$11)+(AM601*Settings!$F$12)+(AN601*Settings!$F$13)+(AO601*Settings!$F$14)+(AP601*Settings!$F$15)+(AQ601*Settings!$F$16)+(AR601*Settings!$F$17)</f>
        <v>130.15</v>
      </c>
      <c r="H601" s="30">
        <f>VLOOKUP(B601,'Standard Deviations'!$A1:$D651,4,FALSE)</f>
        <v>-2.5520981322658454</v>
      </c>
      <c r="I601" s="31">
        <f ca="1">IF(Settings!$J$16="no",VLOOKUP(B601,RP!A1:I91,IF(Settings!$J$13="points",6,9),FALSE),VLOOKUP(B601,'SP+RP'!$A1:$I251,IF(Settings!$J$13="points",6,9),FALSE))</f>
        <v>-4.1231644399129355</v>
      </c>
      <c r="J601" s="30"/>
      <c r="K601" s="30">
        <f ca="1">J601-A601</f>
        <v>-539</v>
      </c>
      <c r="L601" s="30"/>
      <c r="M601" s="30"/>
      <c r="N601" s="30"/>
      <c r="O601" s="30"/>
      <c r="P601" s="30"/>
      <c r="Q601" s="30"/>
      <c r="R601" s="32"/>
      <c r="S601" s="32"/>
      <c r="T601" s="30"/>
      <c r="U601" s="30"/>
      <c r="V601" s="30"/>
      <c r="W601" s="30"/>
      <c r="X601" s="30"/>
      <c r="Y601" s="32"/>
      <c r="Z601" s="32"/>
      <c r="AA601" s="30"/>
      <c r="AB601" s="30"/>
      <c r="AC601" s="30">
        <f>VLOOKUP($B601,Pitchers!$A1:$S251,4,FALSE)</f>
        <v>62.75</v>
      </c>
      <c r="AD601" s="32">
        <f>VLOOKUP($B601,Pitchers!$A1:$S251,5,FALSE)</f>
        <v>3.6717131474103586</v>
      </c>
      <c r="AE601" s="32">
        <f>VLOOKUP($B601,Pitchers!$A1:$S251,6,FALSE)</f>
        <v>1.2382470119521913</v>
      </c>
      <c r="AF601" s="30">
        <f>VLOOKUP($B601,Pitchers!$A1:$S251,7,FALSE)</f>
        <v>70.2</v>
      </c>
      <c r="AG601" s="30">
        <f>VLOOKUP($B601,Pitchers!$A1:$S251,8,FALSE)</f>
        <v>3.3</v>
      </c>
      <c r="AH601" s="30">
        <f>VLOOKUP($B601,Pitchers!$A1:$S251,9,FALSE)</f>
        <v>0</v>
      </c>
      <c r="AI601" s="30">
        <f>VLOOKUP($B601,Pitchers!$A1:$S251,10,FALSE)</f>
        <v>25.6</v>
      </c>
      <c r="AJ601" s="30">
        <f>VLOOKUP($B601,Pitchers!$A1:$S251,11,FALSE)</f>
        <v>54.5</v>
      </c>
      <c r="AK601" s="30">
        <f>VLOOKUP($B601,Pitchers!$A1:$S251,12,FALSE)</f>
        <v>23.2</v>
      </c>
      <c r="AL601" s="30">
        <f>VLOOKUP($B601,Pitchers!$A1:$S251,13,FALSE)</f>
        <v>7</v>
      </c>
      <c r="AM601" s="30">
        <f>VLOOKUP($B601,Pitchers!$A1:$S251,14,FALSE)</f>
        <v>57.6</v>
      </c>
      <c r="AN601" s="30">
        <f>VLOOKUP($B601,Pitchers!$A1:$S251,15,FALSE)</f>
        <v>1</v>
      </c>
      <c r="AO601" s="30">
        <f>VLOOKUP($B601,Pitchers!$A1:$S251,16,FALSE)</f>
        <v>2.6</v>
      </c>
      <c r="AP601" s="30">
        <f>VLOOKUP($B601,Pitchers!$A1:$S251,17,FALSE)</f>
        <v>0</v>
      </c>
      <c r="AQ601" s="30">
        <f>VLOOKUP($B601,Pitchers!$A1:$S251,18,FALSE)</f>
        <v>6</v>
      </c>
      <c r="AR601" s="30">
        <f>VLOOKUP($B601,Pitchers!$A1:$S251,19,FALSE)</f>
        <v>1</v>
      </c>
    </row>
    <row r="602" spans="1:44" ht="18.600000000000001" customHeight="1">
      <c r="A602" s="24">
        <f ca="1">RANK(I602,I$2:I$651)</f>
        <v>568</v>
      </c>
      <c r="B602" s="25" t="s">
        <v>665</v>
      </c>
      <c r="C602" s="26" t="s">
        <v>101</v>
      </c>
      <c r="D602" s="26" t="s">
        <v>70</v>
      </c>
      <c r="E602" s="45" t="s">
        <v>19</v>
      </c>
      <c r="F602" s="46">
        <f ca="1">VLOOKUP(B602,'C'!A1:I54,IF(Settings!$J$13="points",4,7),FALSE)</f>
        <v>43</v>
      </c>
      <c r="G602" s="29">
        <f>(M602*Settings!$B$2)+(N602*Settings!$B$3)+(O602*Settings!$B$4)+(P602*Settings!$B$5)+(Q602*Settings!$B$6)+(T602*Settings!$B$9)+(U602*Settings!$B$10)+(V602*Settings!$B$11)+(W602*Settings!$B$12)+(X602*Settings!$B$13)+(AA602*Settings!$B$16)</f>
        <v>129.6333333333333</v>
      </c>
      <c r="H602" s="30">
        <f>VLOOKUP(B602,'Standard Deviations'!$A1:$D651,4,FALSE)</f>
        <v>-5.0183110501721115</v>
      </c>
      <c r="I602" s="31">
        <f ca="1">VLOOKUP(B602,'C'!A1:I54,IF(Settings!$J$13="points",6,9),FALSE)</f>
        <v>-4.7012180976897664</v>
      </c>
      <c r="J602" s="30"/>
      <c r="K602" s="30">
        <f ca="1">J602-A602</f>
        <v>-568</v>
      </c>
      <c r="L602" s="30"/>
      <c r="M602" s="30">
        <f>VLOOKUP($B602,Hitters!$A1:$R401,4,FALSE)</f>
        <v>218</v>
      </c>
      <c r="N602" s="30">
        <f>VLOOKUP($B602,Hitters!$A1:$R401,5,FALSE)</f>
        <v>24.433333333333302</v>
      </c>
      <c r="O602" s="30">
        <f>VLOOKUP($B602,Hitters!$A1:$R401,6,FALSE)</f>
        <v>6.1666666666666696</v>
      </c>
      <c r="P602" s="30">
        <f>VLOOKUP($B602,Hitters!$A1:$R401,7,FALSE)</f>
        <v>24.7</v>
      </c>
      <c r="Q602" s="30">
        <f>VLOOKUP($B602,Hitters!$A1:$R401,8,FALSE)</f>
        <v>1.93333333333333</v>
      </c>
      <c r="R602" s="32">
        <f>VLOOKUP($B602,Hitters!$A1:$R401,9,FALSE)</f>
        <v>0.23134556574923501</v>
      </c>
      <c r="S602" s="32">
        <f>VLOOKUP($B602,Hitters!$A1:$R401,10,FALSE)</f>
        <v>0.281586817899667</v>
      </c>
      <c r="T602" s="30">
        <f>VLOOKUP($B602,Hitters!$A1:$R401,11,FALSE)</f>
        <v>50.433333333333302</v>
      </c>
      <c r="U602" s="30">
        <f>VLOOKUP($B602,Hitters!$A1:$R401,12,FALSE)</f>
        <v>7.9</v>
      </c>
      <c r="V602" s="30">
        <f>VLOOKUP($B602,Hitters!$A1:$R401,13,FALSE)</f>
        <v>0.46666666666666701</v>
      </c>
      <c r="W602" s="30">
        <f>VLOOKUP($B602,Hitters!$A1:$R401,14,FALSE)</f>
        <v>16.100000000000001</v>
      </c>
      <c r="X602" s="30">
        <f>VLOOKUP($B602,Hitters!$A1:$R401,15,FALSE)</f>
        <v>63.533333333333303</v>
      </c>
      <c r="Y602" s="32">
        <f>VLOOKUP($B602,Hitters!$A1:$R401,16,FALSE)</f>
        <v>0.35672782874617698</v>
      </c>
      <c r="Z602" s="32">
        <f>VLOOKUP($B602,Hitters!$A1:$R401,17,FALSE)</f>
        <v>0.63831464664584403</v>
      </c>
      <c r="AA602" s="30">
        <f>VLOOKUP($B602,Hitters!$A1:$R401,18,FALSE)</f>
        <v>0</v>
      </c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</row>
    <row r="603" spans="1:44" ht="18.600000000000001" customHeight="1">
      <c r="A603" s="24">
        <f ca="1">RANK(I603,I$2:I$651)</f>
        <v>422</v>
      </c>
      <c r="B603" s="25" t="s">
        <v>519</v>
      </c>
      <c r="C603" s="26" t="s">
        <v>69</v>
      </c>
      <c r="D603" s="26" t="s">
        <v>70</v>
      </c>
      <c r="E603" s="41" t="s">
        <v>34</v>
      </c>
      <c r="F603" s="42">
        <f ca="1">VLOOKUP(B603,RP!A1:I91,IF(Settings!$J$13="points",4,7),FALSE)</f>
        <v>49</v>
      </c>
      <c r="G603" s="29">
        <f>(AC603*Settings!$F$2)+(AF603*Settings!$F$5)+(AG603*Settings!$F$6)+(AH603*Settings!$F$7)+(AI603*Settings!$F$8)+(AJ603*Settings!$F$9)+(AK603*Settings!$F$10)+(AL603*Settings!$F$11)+(AM603*Settings!$F$12)+(AN603*Settings!$F$13)+(AO603*Settings!$F$14)+(AP603*Settings!$F$15)+(AQ603*Settings!$F$16)+(AR603*Settings!$F$17)</f>
        <v>129.56666666666669</v>
      </c>
      <c r="H603" s="30">
        <f>VLOOKUP(B603,'Standard Deviations'!$A1:$D651,4,FALSE)</f>
        <v>-1.1597123044099353</v>
      </c>
      <c r="I603" s="31">
        <f ca="1">IF(Settings!$J$16="no",VLOOKUP(B603,RP!A1:I91,IF(Settings!$J$13="points",6,9),FALSE),VLOOKUP(B603,'SP+RP'!$A1:$I251,IF(Settings!$J$13="points",6,9),FALSE))</f>
        <v>-2.7307749187091934</v>
      </c>
      <c r="J603" s="30"/>
      <c r="K603" s="30">
        <f ca="1">J603-A603</f>
        <v>-422</v>
      </c>
      <c r="L603" s="30"/>
      <c r="M603" s="30"/>
      <c r="N603" s="30"/>
      <c r="O603" s="30"/>
      <c r="P603" s="30"/>
      <c r="Q603" s="30"/>
      <c r="R603" s="32"/>
      <c r="S603" s="32"/>
      <c r="T603" s="30"/>
      <c r="U603" s="30"/>
      <c r="V603" s="30"/>
      <c r="W603" s="30"/>
      <c r="X603" s="30"/>
      <c r="Y603" s="32"/>
      <c r="Z603" s="32"/>
      <c r="AA603" s="30"/>
      <c r="AB603" s="30"/>
      <c r="AC603" s="30">
        <f>VLOOKUP($B603,Pitchers!$A1:$S251,4,FALSE)</f>
        <v>57.933333333333337</v>
      </c>
      <c r="AD603" s="32">
        <f>VLOOKUP($B603,Pitchers!$A1:$S251,5,FALSE)</f>
        <v>3.1329113924050631</v>
      </c>
      <c r="AE603" s="32">
        <f>VLOOKUP($B603,Pitchers!$A1:$S251,6,FALSE)</f>
        <v>1.1720368239355581</v>
      </c>
      <c r="AF603" s="30">
        <f>VLOOKUP($B603,Pitchers!$A1:$S251,7,FALSE)</f>
        <v>70.13333333333334</v>
      </c>
      <c r="AG603" s="30">
        <f>VLOOKUP($B603,Pitchers!$A1:$S251,8,FALSE)</f>
        <v>2.1333333333333333</v>
      </c>
      <c r="AH603" s="30">
        <f>VLOOKUP($B603,Pitchers!$A1:$S251,9,FALSE)</f>
        <v>0.33333333333333331</v>
      </c>
      <c r="AI603" s="30">
        <f>VLOOKUP($B603,Pitchers!$A1:$S251,10,FALSE)</f>
        <v>20.166666666666668</v>
      </c>
      <c r="AJ603" s="30">
        <f>VLOOKUP($B603,Pitchers!$A1:$S251,11,FALSE)</f>
        <v>40.300000000000004</v>
      </c>
      <c r="AK603" s="30">
        <f>VLOOKUP($B603,Pitchers!$A1:$S251,12,FALSE)</f>
        <v>27.599999999999998</v>
      </c>
      <c r="AL603" s="30">
        <f>VLOOKUP($B603,Pitchers!$A1:$S251,13,FALSE)</f>
        <v>7</v>
      </c>
      <c r="AM603" s="30">
        <f>VLOOKUP($B603,Pitchers!$A1:$S251,14,FALSE)</f>
        <v>54.300000000000004</v>
      </c>
      <c r="AN603" s="30">
        <f>VLOOKUP($B603,Pitchers!$A1:$S251,15,FALSE)</f>
        <v>0</v>
      </c>
      <c r="AO603" s="30">
        <f>VLOOKUP($B603,Pitchers!$A1:$S251,16,FALSE)</f>
        <v>1.7</v>
      </c>
      <c r="AP603" s="30">
        <f>VLOOKUP($B603,Pitchers!$A1:$S251,17,FALSE)</f>
        <v>0</v>
      </c>
      <c r="AQ603" s="30">
        <f>VLOOKUP($B603,Pitchers!$A1:$S251,18,FALSE)</f>
        <v>11</v>
      </c>
      <c r="AR603" s="30">
        <f>VLOOKUP($B603,Pitchers!$A1:$S251,19,FALSE)</f>
        <v>1</v>
      </c>
    </row>
    <row r="604" spans="1:44" ht="18.600000000000001" customHeight="1">
      <c r="A604" s="24">
        <f ca="1">RANK(I604,I$2:I$651)</f>
        <v>506</v>
      </c>
      <c r="B604" s="25" t="s">
        <v>603</v>
      </c>
      <c r="C604" s="26" t="s">
        <v>97</v>
      </c>
      <c r="D604" s="26" t="s">
        <v>75</v>
      </c>
      <c r="E604" s="41" t="s">
        <v>34</v>
      </c>
      <c r="F604" s="42">
        <f ca="1">VLOOKUP(B604,RP!A1:I91,IF(Settings!$J$13="points",4,7),FALSE)</f>
        <v>78</v>
      </c>
      <c r="G604" s="29">
        <f>(AC604*Settings!$F$2)+(AF604*Settings!$F$5)+(AG604*Settings!$F$6)+(AH604*Settings!$F$7)+(AI604*Settings!$F$8)+(AJ604*Settings!$F$9)+(AK604*Settings!$F$10)+(AL604*Settings!$F$11)+(AM604*Settings!$F$12)+(AN604*Settings!$F$13)+(AO604*Settings!$F$14)+(AP604*Settings!$F$15)+(AQ604*Settings!$F$16)+(AR604*Settings!$F$17)</f>
        <v>129.55000000000001</v>
      </c>
      <c r="H604" s="30">
        <f>VLOOKUP(B604,'Standard Deviations'!$A1:$D651,4,FALSE)</f>
        <v>-2.0508752074951557</v>
      </c>
      <c r="I604" s="31">
        <f ca="1">IF(Settings!$J$16="no",VLOOKUP(B604,RP!A1:I91,IF(Settings!$J$13="points",6,9),FALSE),VLOOKUP(B604,'SP+RP'!$A1:$I251,IF(Settings!$J$13="points",6,9),FALSE))</f>
        <v>-3.6219436473303483</v>
      </c>
      <c r="J604" s="30"/>
      <c r="K604" s="30">
        <f ca="1">J604-A604</f>
        <v>-506</v>
      </c>
      <c r="L604" s="30"/>
      <c r="M604" s="30"/>
      <c r="N604" s="30"/>
      <c r="O604" s="30"/>
      <c r="P604" s="30"/>
      <c r="Q604" s="30"/>
      <c r="R604" s="32"/>
      <c r="S604" s="32"/>
      <c r="T604" s="30"/>
      <c r="U604" s="30"/>
      <c r="V604" s="30"/>
      <c r="W604" s="30"/>
      <c r="X604" s="30"/>
      <c r="Y604" s="32"/>
      <c r="Z604" s="32"/>
      <c r="AA604" s="30"/>
      <c r="AB604" s="30"/>
      <c r="AC604" s="30">
        <f>VLOOKUP($B604,Pitchers!$A1:$S251,4,FALSE)</f>
        <v>56.4</v>
      </c>
      <c r="AD604" s="32">
        <f>VLOOKUP($B604,Pitchers!$A1:$S251,5,FALSE)</f>
        <v>3.6329787234042552</v>
      </c>
      <c r="AE604" s="32">
        <f>VLOOKUP($B604,Pitchers!$A1:$S251,6,FALSE)</f>
        <v>1.1743498817966902</v>
      </c>
      <c r="AF604" s="30">
        <f>VLOOKUP($B604,Pitchers!$A1:$S251,7,FALSE)</f>
        <v>63.699999999999996</v>
      </c>
      <c r="AG604" s="30">
        <f>VLOOKUP($B604,Pitchers!$A1:$S251,8,FALSE)</f>
        <v>2</v>
      </c>
      <c r="AH604" s="30">
        <f>VLOOKUP($B604,Pitchers!$A1:$S251,9,FALSE)</f>
        <v>2.3333333333333335</v>
      </c>
      <c r="AI604" s="30">
        <f>VLOOKUP($B604,Pitchers!$A1:$S251,10,FALSE)</f>
        <v>22.766666666666666</v>
      </c>
      <c r="AJ604" s="30">
        <f>VLOOKUP($B604,Pitchers!$A1:$S251,11,FALSE)</f>
        <v>47.733333333333327</v>
      </c>
      <c r="AK604" s="30">
        <f>VLOOKUP($B604,Pitchers!$A1:$S251,12,FALSE)</f>
        <v>18.5</v>
      </c>
      <c r="AL604" s="30">
        <f>VLOOKUP($B604,Pitchers!$A1:$S251,13,FALSE)</f>
        <v>7</v>
      </c>
      <c r="AM604" s="30">
        <f>VLOOKUP($B604,Pitchers!$A1:$S251,14,FALSE)</f>
        <v>60.266666666666673</v>
      </c>
      <c r="AN604" s="30">
        <f>VLOOKUP($B604,Pitchers!$A1:$S251,15,FALSE)</f>
        <v>0</v>
      </c>
      <c r="AO604" s="30">
        <f>VLOOKUP($B604,Pitchers!$A1:$S251,16,FALSE)</f>
        <v>2.5666666666666669</v>
      </c>
      <c r="AP604" s="30">
        <f>VLOOKUP($B604,Pitchers!$A1:$S251,17,FALSE)</f>
        <v>0</v>
      </c>
      <c r="AQ604" s="30">
        <f>VLOOKUP($B604,Pitchers!$A1:$S251,18,FALSE)</f>
        <v>19</v>
      </c>
      <c r="AR604" s="30">
        <f>VLOOKUP($B604,Pitchers!$A1:$S251,19,FALSE)</f>
        <v>0</v>
      </c>
    </row>
    <row r="605" spans="1:44" ht="18.600000000000001" customHeight="1">
      <c r="A605" s="24">
        <f ca="1">RANK(I605,I$2:I$651)</f>
        <v>524</v>
      </c>
      <c r="B605" s="25" t="s">
        <v>621</v>
      </c>
      <c r="C605" s="26" t="s">
        <v>119</v>
      </c>
      <c r="D605" s="26" t="s">
        <v>70</v>
      </c>
      <c r="E605" s="41" t="s">
        <v>34</v>
      </c>
      <c r="F605" s="42">
        <f ca="1">VLOOKUP(B605,RP!A1:I91,IF(Settings!$J$13="points",4,7),FALSE)</f>
        <v>85</v>
      </c>
      <c r="G605" s="29">
        <f>(AC605*Settings!$F$2)+(AF605*Settings!$F$5)+(AG605*Settings!$F$6)+(AH605*Settings!$F$7)+(AI605*Settings!$F$8)+(AJ605*Settings!$F$9)+(AK605*Settings!$F$10)+(AL605*Settings!$F$11)+(AM605*Settings!$F$12)+(AN605*Settings!$F$13)+(AO605*Settings!$F$14)+(AP605*Settings!$F$15)+(AQ605*Settings!$F$16)+(AR605*Settings!$F$17)</f>
        <v>129.31666666666661</v>
      </c>
      <c r="H605" s="30">
        <f>VLOOKUP(B605,'Standard Deviations'!$A1:$D651,4,FALSE)</f>
        <v>-2.2612523123125845</v>
      </c>
      <c r="I605" s="31">
        <f ca="1">IF(Settings!$J$16="no",VLOOKUP(B605,RP!A1:I91,IF(Settings!$J$13="points",6,9),FALSE),VLOOKUP(B605,'SP+RP'!$A1:$I251,IF(Settings!$J$13="points",6,9),FALSE))</f>
        <v>-3.832318122912894</v>
      </c>
      <c r="J605" s="30"/>
      <c r="K605" s="30">
        <f ca="1">J605-A605</f>
        <v>-524</v>
      </c>
      <c r="L605" s="30"/>
      <c r="M605" s="30"/>
      <c r="N605" s="30"/>
      <c r="O605" s="30"/>
      <c r="P605" s="30"/>
      <c r="Q605" s="30"/>
      <c r="R605" s="32"/>
      <c r="S605" s="32"/>
      <c r="T605" s="30"/>
      <c r="U605" s="30"/>
      <c r="V605" s="30"/>
      <c r="W605" s="30"/>
      <c r="X605" s="30"/>
      <c r="Y605" s="32"/>
      <c r="Z605" s="32"/>
      <c r="AA605" s="30"/>
      <c r="AB605" s="30"/>
      <c r="AC605" s="30">
        <f>VLOOKUP($B605,Pitchers!$A1:$S251,4,FALSE)</f>
        <v>56.79999999999999</v>
      </c>
      <c r="AD605" s="32">
        <f>VLOOKUP($B605,Pitchers!$A1:$S251,5,FALSE)</f>
        <v>3.3750000000000009</v>
      </c>
      <c r="AE605" s="32">
        <f>VLOOKUP($B605,Pitchers!$A1:$S251,6,FALSE)</f>
        <v>1.2611502347417844</v>
      </c>
      <c r="AF605" s="30">
        <f>VLOOKUP($B605,Pitchers!$A1:$S251,7,FALSE)</f>
        <v>60.633333333333333</v>
      </c>
      <c r="AG605" s="30">
        <f>VLOOKUP($B605,Pitchers!$A1:$S251,8,FALSE)</f>
        <v>3.1</v>
      </c>
      <c r="AH605" s="30">
        <f>VLOOKUP($B605,Pitchers!$A1:$S251,9,FALSE)</f>
        <v>1.6666666666666667</v>
      </c>
      <c r="AI605" s="30">
        <f>VLOOKUP($B605,Pitchers!$A1:$S251,10,FALSE)</f>
        <v>21.3</v>
      </c>
      <c r="AJ605" s="30">
        <f>VLOOKUP($B605,Pitchers!$A1:$S251,11,FALSE)</f>
        <v>44.5</v>
      </c>
      <c r="AK605" s="30">
        <f>VLOOKUP($B605,Pitchers!$A1:$S251,12,FALSE)</f>
        <v>27.133333333333336</v>
      </c>
      <c r="AL605" s="30">
        <f>VLOOKUP($B605,Pitchers!$A1:$S251,13,FALSE)</f>
        <v>7</v>
      </c>
      <c r="AM605" s="30">
        <f>VLOOKUP($B605,Pitchers!$A1:$S251,14,FALSE)</f>
        <v>55.266666666666673</v>
      </c>
      <c r="AN605" s="30">
        <f>VLOOKUP($B605,Pitchers!$A1:$S251,15,FALSE)</f>
        <v>0</v>
      </c>
      <c r="AO605" s="30">
        <f>VLOOKUP($B605,Pitchers!$A1:$S251,16,FALSE)</f>
        <v>2.3666666666666667</v>
      </c>
      <c r="AP605" s="30">
        <f>VLOOKUP($B605,Pitchers!$A1:$S251,17,FALSE)</f>
        <v>0</v>
      </c>
      <c r="AQ605" s="30">
        <f>VLOOKUP($B605,Pitchers!$A1:$S251,18,FALSE)</f>
        <v>13.5</v>
      </c>
      <c r="AR605" s="30">
        <f>VLOOKUP($B605,Pitchers!$A1:$S251,19,FALSE)</f>
        <v>0</v>
      </c>
    </row>
    <row r="606" spans="1:44" ht="18.600000000000001" customHeight="1">
      <c r="A606" s="24">
        <f ca="1">RANK(I606,I$2:I$651)</f>
        <v>597</v>
      </c>
      <c r="B606" s="25" t="s">
        <v>693</v>
      </c>
      <c r="C606" s="26" t="s">
        <v>158</v>
      </c>
      <c r="D606" s="26" t="s">
        <v>70</v>
      </c>
      <c r="E606" s="27" t="s">
        <v>23</v>
      </c>
      <c r="F606" s="28">
        <f ca="1">VLOOKUP(B606,OF!A1:I139,IF(Settings!$J$13="points",4,7),FALSE)</f>
        <v>132</v>
      </c>
      <c r="G606" s="29">
        <f>(M606*Settings!$B$2)+(N606*Settings!$B$3)+(O606*Settings!$B$4)+(P606*Settings!$B$5)+(Q606*Settings!$B$6)+(T606*Settings!$B$9)+(U606*Settings!$B$10)+(V606*Settings!$B$11)+(W606*Settings!$B$12)+(X606*Settings!$B$13)+(AA606*Settings!$B$16)</f>
        <v>128.81666666666661</v>
      </c>
      <c r="H606" s="30">
        <f>VLOOKUP(B606,'Standard Deviations'!$A1:$D651,4,FALSE)</f>
        <v>-5.2259398463765159</v>
      </c>
      <c r="I606" s="31">
        <f ca="1">VLOOKUP(B606,OF!A1:I139,IF(Settings!$J$13="points",6,9),FALSE)</f>
        <v>-5.3446588622867779</v>
      </c>
      <c r="J606" s="30"/>
      <c r="K606" s="30">
        <f ca="1">J606-A606</f>
        <v>-597</v>
      </c>
      <c r="L606" s="30"/>
      <c r="M606" s="30">
        <f>VLOOKUP($B606,Hitters!$A1:$R401,4,FALSE)</f>
        <v>204.333333333333</v>
      </c>
      <c r="N606" s="30">
        <f>VLOOKUP($B606,Hitters!$A1:$R401,5,FALSE)</f>
        <v>24.533333333333299</v>
      </c>
      <c r="O606" s="30">
        <f>VLOOKUP($B606,Hitters!$A1:$R401,6,FALSE)</f>
        <v>6.3</v>
      </c>
      <c r="P606" s="30">
        <f>VLOOKUP($B606,Hitters!$A1:$R401,7,FALSE)</f>
        <v>23.466666666666701</v>
      </c>
      <c r="Q606" s="30">
        <f>VLOOKUP($B606,Hitters!$A1:$R401,8,FALSE)</f>
        <v>0.8</v>
      </c>
      <c r="R606" s="32">
        <f>VLOOKUP($B606,Hitters!$A1:$R401,9,FALSE)</f>
        <v>0.23132137030995101</v>
      </c>
      <c r="S606" s="32">
        <f>VLOOKUP($B606,Hitters!$A1:$R401,10,FALSE)</f>
        <v>0.30522684598925798</v>
      </c>
      <c r="T606" s="30">
        <f>VLOOKUP($B606,Hitters!$A1:$R401,11,FALSE)</f>
        <v>47.266666666666701</v>
      </c>
      <c r="U606" s="30">
        <f>VLOOKUP($B606,Hitters!$A1:$R401,12,FALSE)</f>
        <v>10.733333333333301</v>
      </c>
      <c r="V606" s="30">
        <f>VLOOKUP($B606,Hitters!$A1:$R401,13,FALSE)</f>
        <v>6.6666666666666693E-2</v>
      </c>
      <c r="W606" s="30">
        <f>VLOOKUP($B606,Hitters!$A1:$R401,14,FALSE)</f>
        <v>22.633333333333301</v>
      </c>
      <c r="X606" s="30">
        <f>VLOOKUP($B606,Hitters!$A1:$R401,15,FALSE)</f>
        <v>75.099999999999994</v>
      </c>
      <c r="Y606" s="32">
        <f>VLOOKUP($B606,Hitters!$A1:$R401,16,FALSE)</f>
        <v>0.37699836867863001</v>
      </c>
      <c r="Z606" s="32">
        <f>VLOOKUP($B606,Hitters!$A1:$R401,17,FALSE)</f>
        <v>0.68222521466788799</v>
      </c>
      <c r="AA606" s="30">
        <f>VLOOKUP($B606,Hitters!$A1:$R401,18,FALSE)</f>
        <v>0</v>
      </c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</row>
    <row r="607" spans="1:44" ht="18.600000000000001" customHeight="1">
      <c r="A607" s="24">
        <f ca="1">RANK(I607,I$2:I$651)</f>
        <v>644</v>
      </c>
      <c r="B607" s="25" t="s">
        <v>740</v>
      </c>
      <c r="C607" s="26" t="s">
        <v>99</v>
      </c>
      <c r="D607" s="26" t="s">
        <v>75</v>
      </c>
      <c r="E607" s="47" t="s">
        <v>11</v>
      </c>
      <c r="F607" s="48">
        <f ca="1">VLOOKUP(B607,'2B'!A1:I50,IF(Settings!$J$13="points",4,7),FALSE)</f>
        <v>49</v>
      </c>
      <c r="G607" s="29">
        <f>(M607*Settings!$B$2)+(N607*Settings!$B$3)+(O607*Settings!$B$4)+(P607*Settings!$B$5)+(Q607*Settings!$B$6)+(T607*Settings!$B$9)+(U607*Settings!$B$10)+(V607*Settings!$B$11)+(W607*Settings!$B$12)+(X607*Settings!$B$13)+(AA607*Settings!$B$16)</f>
        <v>127.63333333333333</v>
      </c>
      <c r="H607" s="30">
        <f>VLOOKUP(B607,'Standard Deviations'!$A1:$D651,4,FALSE)</f>
        <v>-5.8341943866220554</v>
      </c>
      <c r="I607" s="31">
        <f ca="1">IF(Settings!$J$16="no",VLOOKUP(B607,'2B'!A1:I50,IF(Settings!$J$13="points",6,9),FALSE),VLOOKUP(B607,'2B+SS'!$A1:$I94,IF(Settings!$J$13="points",6,9),FALSE))</f>
        <v>-8.1419259981588734</v>
      </c>
      <c r="J607" s="30"/>
      <c r="K607" s="30">
        <f ca="1">J607-A607</f>
        <v>-644</v>
      </c>
      <c r="L607" s="30"/>
      <c r="M607" s="30">
        <f>VLOOKUP($B607,Hitters!$A1:$R401,4,FALSE)</f>
        <v>182.333333333333</v>
      </c>
      <c r="N607" s="30">
        <f>VLOOKUP($B607,Hitters!$A1:$R401,5,FALSE)</f>
        <v>22.8333333333333</v>
      </c>
      <c r="O607" s="30">
        <f>VLOOKUP($B607,Hitters!$A1:$R401,6,FALSE)</f>
        <v>5.9666666666666703</v>
      </c>
      <c r="P607" s="30">
        <f>VLOOKUP($B607,Hitters!$A1:$R401,7,FALSE)</f>
        <v>22.133333333333301</v>
      </c>
      <c r="Q607" s="30">
        <f>VLOOKUP($B607,Hitters!$A1:$R401,8,FALSE)</f>
        <v>2.3666666666666698</v>
      </c>
      <c r="R607" s="32">
        <f>VLOOKUP($B607,Hitters!$A1:$R401,9,FALSE)</f>
        <v>0.217733089579525</v>
      </c>
      <c r="S607" s="32">
        <f>VLOOKUP($B607,Hitters!$A1:$R401,10,FALSE)</f>
        <v>0.27246629845384202</v>
      </c>
      <c r="T607" s="30">
        <f>VLOOKUP($B607,Hitters!$A1:$R401,11,FALSE)</f>
        <v>39.700000000000003</v>
      </c>
      <c r="U607" s="30">
        <f>VLOOKUP($B607,Hitters!$A1:$R401,12,FALSE)</f>
        <v>7.7666666666666702</v>
      </c>
      <c r="V607" s="30">
        <f>VLOOKUP($B607,Hitters!$A1:$R401,13,FALSE)</f>
        <v>0.76666666666666705</v>
      </c>
      <c r="W607" s="30">
        <f>VLOOKUP($B607,Hitters!$A1:$R401,14,FALSE)</f>
        <v>14.4</v>
      </c>
      <c r="X607" s="30">
        <f>VLOOKUP($B607,Hitters!$A1:$R401,15,FALSE)</f>
        <v>35.733333333333299</v>
      </c>
      <c r="Y607" s="32">
        <f>VLOOKUP($B607,Hitters!$A1:$R401,16,FALSE)</f>
        <v>0.36691042047532002</v>
      </c>
      <c r="Z607" s="32">
        <f>VLOOKUP($B607,Hitters!$A1:$R401,17,FALSE)</f>
        <v>0.63937671892916204</v>
      </c>
      <c r="AA607" s="30">
        <f>VLOOKUP($B607,Hitters!$A1:$R401,18,FALSE)</f>
        <v>0</v>
      </c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</row>
    <row r="608" spans="1:44" ht="18.600000000000001" customHeight="1">
      <c r="A608" s="24">
        <f ca="1">RANK(I608,I$2:I$651)</f>
        <v>579</v>
      </c>
      <c r="B608" s="25" t="s">
        <v>675</v>
      </c>
      <c r="C608" s="26" t="s">
        <v>309</v>
      </c>
      <c r="D608" s="26" t="s">
        <v>75</v>
      </c>
      <c r="E608" s="33" t="s">
        <v>15</v>
      </c>
      <c r="F608" s="34">
        <f ca="1">VLOOKUP(B608,'3B'!A1:I55,IF(Settings!$J$13="points",4,7),FALSE)</f>
        <v>45</v>
      </c>
      <c r="G608" s="29">
        <f>(M608*Settings!$B$2)+(N608*Settings!$B$3)+(O608*Settings!$B$4)+(P608*Settings!$B$5)+(Q608*Settings!$B$6)+(T608*Settings!$B$9)+(U608*Settings!$B$10)+(V608*Settings!$B$11)+(W608*Settings!$B$12)+(X608*Settings!$B$13)+(AA608*Settings!$B$16)</f>
        <v>127.02500000000001</v>
      </c>
      <c r="H608" s="30">
        <f>VLOOKUP(B608,'Standard Deviations'!$A1:$D651,4,FALSE)</f>
        <v>-4.1206671782785911</v>
      </c>
      <c r="I608" s="31">
        <f ca="1">IF(Settings!$J$15="no",VLOOKUP(B608,'3B'!A1:I55,IF(Settings!$J$13="points",6,9),FALSE),VLOOKUP(B608,'1B+3B'!$A1:$I104,IF(Settings!$J$13="points",6,9),FALSE))</f>
        <v>-4.8483421903752157</v>
      </c>
      <c r="J608" s="30"/>
      <c r="K608" s="30">
        <f ca="1">J608-A608</f>
        <v>-579</v>
      </c>
      <c r="L608" s="30"/>
      <c r="M608" s="30">
        <f>VLOOKUP($B608,Hitters!$A1:$R401,4,FALSE)</f>
        <v>172.5</v>
      </c>
      <c r="N608" s="30">
        <f>VLOOKUP($B608,Hitters!$A1:$R401,5,FALSE)</f>
        <v>20.85</v>
      </c>
      <c r="O608" s="30">
        <f>VLOOKUP($B608,Hitters!$A1:$R401,6,FALSE)</f>
        <v>4.75</v>
      </c>
      <c r="P608" s="30">
        <f>VLOOKUP($B608,Hitters!$A1:$R401,7,FALSE)</f>
        <v>20.100000000000001</v>
      </c>
      <c r="Q608" s="30">
        <f>VLOOKUP($B608,Hitters!$A1:$R401,8,FALSE)</f>
        <v>2.75</v>
      </c>
      <c r="R608" s="32">
        <f>VLOOKUP($B608,Hitters!$A1:$R401,9,FALSE)</f>
        <v>0.25855072463768097</v>
      </c>
      <c r="S608" s="32">
        <f>VLOOKUP($B608,Hitters!$A1:$R401,10,FALSE)</f>
        <v>0.30430699047363502</v>
      </c>
      <c r="T608" s="30">
        <f>VLOOKUP($B608,Hitters!$A1:$R401,11,FALSE)</f>
        <v>44.6</v>
      </c>
      <c r="U608" s="30">
        <f>VLOOKUP($B608,Hitters!$A1:$R401,12,FALSE)</f>
        <v>11</v>
      </c>
      <c r="V608" s="30">
        <f>VLOOKUP($B608,Hitters!$A1:$R401,13,FALSE)</f>
        <v>0.75</v>
      </c>
      <c r="W608" s="30">
        <f>VLOOKUP($B608,Hitters!$A1:$R401,14,FALSE)</f>
        <v>12.1</v>
      </c>
      <c r="X608" s="30">
        <f>VLOOKUP($B608,Hitters!$A1:$R401,15,FALSE)</f>
        <v>38.75</v>
      </c>
      <c r="Y608" s="32">
        <f>VLOOKUP($B608,Hitters!$A1:$R401,16,FALSE)</f>
        <v>0.41362318840579698</v>
      </c>
      <c r="Z608" s="32">
        <f>VLOOKUP($B608,Hitters!$A1:$R401,17,FALSE)</f>
        <v>0.717930178879432</v>
      </c>
      <c r="AA608" s="30">
        <f>VLOOKUP($B608,Hitters!$A1:$R401,18,FALSE)</f>
        <v>0</v>
      </c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</row>
    <row r="609" spans="1:44" ht="18.600000000000001" customHeight="1">
      <c r="A609" s="24">
        <f ca="1">RANK(I609,I$2:I$651)</f>
        <v>560</v>
      </c>
      <c r="B609" s="25" t="s">
        <v>657</v>
      </c>
      <c r="C609" s="26" t="s">
        <v>142</v>
      </c>
      <c r="D609" s="26" t="s">
        <v>70</v>
      </c>
      <c r="E609" s="27" t="s">
        <v>23</v>
      </c>
      <c r="F609" s="28">
        <f ca="1">VLOOKUP(B609,OF!A1:I139,IF(Settings!$J$13="points",4,7),FALSE)</f>
        <v>124</v>
      </c>
      <c r="G609" s="29">
        <f>(M609*Settings!$B$2)+(N609*Settings!$B$3)+(O609*Settings!$B$4)+(P609*Settings!$B$5)+(Q609*Settings!$B$6)+(T609*Settings!$B$9)+(U609*Settings!$B$10)+(V609*Settings!$B$11)+(W609*Settings!$B$12)+(X609*Settings!$B$13)+(AA609*Settings!$B$16)</f>
        <v>126.88333333333327</v>
      </c>
      <c r="H609" s="30">
        <f>VLOOKUP(B609,'Standard Deviations'!$A1:$D651,4,FALSE)</f>
        <v>-4.4269442985264211</v>
      </c>
      <c r="I609" s="31">
        <f ca="1">VLOOKUP(B609,OF!A1:I139,IF(Settings!$J$13="points",6,9),FALSE)</f>
        <v>-4.5456641492752174</v>
      </c>
      <c r="J609" s="30"/>
      <c r="K609" s="30">
        <f ca="1">J609-A609</f>
        <v>-560</v>
      </c>
      <c r="L609" s="30"/>
      <c r="M609" s="30">
        <f>VLOOKUP($B609,Hitters!$A1:$R401,4,FALSE)</f>
        <v>169.333333333333</v>
      </c>
      <c r="N609" s="30">
        <f>VLOOKUP($B609,Hitters!$A1:$R401,5,FALSE)</f>
        <v>20</v>
      </c>
      <c r="O609" s="30">
        <f>VLOOKUP($B609,Hitters!$A1:$R401,6,FALSE)</f>
        <v>5.4666666666666703</v>
      </c>
      <c r="P609" s="30">
        <f>VLOOKUP($B609,Hitters!$A1:$R401,7,FALSE)</f>
        <v>20.733333333333299</v>
      </c>
      <c r="Q609" s="30">
        <f>VLOOKUP($B609,Hitters!$A1:$R401,8,FALSE)</f>
        <v>4.1666666666666696</v>
      </c>
      <c r="R609" s="32">
        <f>VLOOKUP($B609,Hitters!$A1:$R401,9,FALSE)</f>
        <v>0.246259842519685</v>
      </c>
      <c r="S609" s="32">
        <f>VLOOKUP($B609,Hitters!$A1:$R401,10,FALSE)</f>
        <v>0.30715382692239002</v>
      </c>
      <c r="T609" s="30">
        <f>VLOOKUP($B609,Hitters!$A1:$R401,11,FALSE)</f>
        <v>41.7</v>
      </c>
      <c r="U609" s="30">
        <f>VLOOKUP($B609,Hitters!$A1:$R401,12,FALSE)</f>
        <v>7.4</v>
      </c>
      <c r="V609" s="30">
        <f>VLOOKUP($B609,Hitters!$A1:$R401,13,FALSE)</f>
        <v>1.13333333333333</v>
      </c>
      <c r="W609" s="30">
        <f>VLOOKUP($B609,Hitters!$A1:$R401,14,FALSE)</f>
        <v>15.633333333333301</v>
      </c>
      <c r="X609" s="30">
        <f>VLOOKUP($B609,Hitters!$A1:$R401,15,FALSE)</f>
        <v>39.1666666666667</v>
      </c>
      <c r="Y609" s="32">
        <f>VLOOKUP($B609,Hitters!$A1:$R401,16,FALSE)</f>
        <v>0.40019685039370101</v>
      </c>
      <c r="Z609" s="32">
        <f>VLOOKUP($B609,Hitters!$A1:$R401,17,FALSE)</f>
        <v>0.70735067731609103</v>
      </c>
      <c r="AA609" s="30">
        <f>VLOOKUP($B609,Hitters!$A1:$R401,18,FALSE)</f>
        <v>0</v>
      </c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</row>
    <row r="610" spans="1:44" ht="18.600000000000001" customHeight="1">
      <c r="A610" s="24">
        <f ca="1">RANK(I610,I$2:I$651)</f>
        <v>575</v>
      </c>
      <c r="B610" s="25" t="s">
        <v>756</v>
      </c>
      <c r="C610" s="26" t="s">
        <v>260</v>
      </c>
      <c r="D610" s="26" t="s">
        <v>70</v>
      </c>
      <c r="E610" s="35" t="s">
        <v>31</v>
      </c>
      <c r="F610" s="36">
        <f ca="1">VLOOKUP(B610,SP!A1:I161,IF(Settings!$J$13="points",4,7),FALSE)</f>
        <v>157</v>
      </c>
      <c r="G610" s="29">
        <f>(AC610*Settings!$F$2)+(AF610*Settings!$F$5)+(AG610*Settings!$F$6)+(AH610*Settings!$F$7)+(AI610*Settings!$F$8)+(AJ610*Settings!$F$9)+(AK610*Settings!$F$10)+(AL610*Settings!$F$11)+(AM610*Settings!$F$12)+(AN610*Settings!$F$13)+(AO610*Settings!$F$14)+(AP610*Settings!$F$15)+(AQ610*Settings!$F$16)+(AR610*Settings!$F$17)</f>
        <v>126.16266666666668</v>
      </c>
      <c r="H610" s="30">
        <f>VLOOKUP(B610,'Standard Deviations'!$A1:$D651,4,FALSE)</f>
        <v>-4.6329365327231047</v>
      </c>
      <c r="I610" s="31">
        <f ca="1">IF(Settings!$J$16="no",VLOOKUP(B610,SP!A1:I161,IF(Settings!$J$13="points",6,9),FALSE),VLOOKUP(B610,'SP+RP'!$A1:$I251,IF(Settings!$J$13="points",6,9),FALSE))</f>
        <v>-4.768921577731966</v>
      </c>
      <c r="J610" s="30"/>
      <c r="K610" s="30">
        <f ca="1">J610-A610</f>
        <v>-575</v>
      </c>
      <c r="L610" s="30"/>
      <c r="M610" s="30"/>
      <c r="N610" s="30"/>
      <c r="O610" s="30"/>
      <c r="P610" s="30"/>
      <c r="Q610" s="30"/>
      <c r="R610" s="32"/>
      <c r="S610" s="32"/>
      <c r="T610" s="30"/>
      <c r="U610" s="30"/>
      <c r="V610" s="30"/>
      <c r="W610" s="30"/>
      <c r="X610" s="30"/>
      <c r="Y610" s="32"/>
      <c r="Z610" s="32"/>
      <c r="AA610" s="30"/>
      <c r="AB610" s="30"/>
      <c r="AC610" s="30">
        <f>VLOOKUP($B610,Pitchers!$A1:$S251,4,FALSE)</f>
        <v>65.933333333333337</v>
      </c>
      <c r="AD610" s="32">
        <f>VLOOKUP($B610,Pitchers!$A1:$S251,5,FALSE)</f>
        <v>4.1797674418604647</v>
      </c>
      <c r="AE610" s="32">
        <f>VLOOKUP($B610,Pitchers!$A1:$S251,6,FALSE)</f>
        <v>1.3195146612740141</v>
      </c>
      <c r="AF610" s="30">
        <f>VLOOKUP($B610,Pitchers!$A1:$S251,7,FALSE)</f>
        <v>55.233333333333327</v>
      </c>
      <c r="AG610" s="30">
        <f>VLOOKUP($B610,Pitchers!$A1:$S251,8,FALSE)</f>
        <v>3.4333333333333336</v>
      </c>
      <c r="AH610" s="30">
        <f>VLOOKUP($B610,Pitchers!$A1:$S251,9,FALSE)</f>
        <v>0</v>
      </c>
      <c r="AI610" s="30">
        <f>VLOOKUP($B610,Pitchers!$A1:$S251,10,FALSE)</f>
        <v>30.620666666666665</v>
      </c>
      <c r="AJ610" s="30">
        <f>VLOOKUP($B610,Pitchers!$A1:$S251,11,FALSE)</f>
        <v>59.566666666666663</v>
      </c>
      <c r="AK610" s="30">
        <f>VLOOKUP($B610,Pitchers!$A1:$S251,12,FALSE)</f>
        <v>27.433333333333334</v>
      </c>
      <c r="AL610" s="30">
        <f>VLOOKUP($B610,Pitchers!$A1:$S251,13,FALSE)</f>
        <v>12</v>
      </c>
      <c r="AM610" s="30">
        <f>VLOOKUP($B610,Pitchers!$A1:$S251,14,FALSE)</f>
        <v>20.400000000000002</v>
      </c>
      <c r="AN610" s="30">
        <f>VLOOKUP($B610,Pitchers!$A1:$S251,15,FALSE)</f>
        <v>12.333333333333334</v>
      </c>
      <c r="AO610" s="30">
        <f>VLOOKUP($B610,Pitchers!$A1:$S251,16,FALSE)</f>
        <v>4.7333333333333334</v>
      </c>
      <c r="AP610" s="30">
        <f>VLOOKUP($B610,Pitchers!$A1:$S251,17,FALSE)</f>
        <v>6</v>
      </c>
      <c r="AQ610" s="30">
        <f>VLOOKUP($B610,Pitchers!$A1:$S251,18,FALSE)</f>
        <v>1.3195146612740141</v>
      </c>
      <c r="AR610" s="30">
        <f>VLOOKUP($B610,Pitchers!$A1:$S251,19,FALSE)</f>
        <v>0</v>
      </c>
    </row>
    <row r="611" spans="1:44" ht="18.600000000000001" customHeight="1">
      <c r="A611" s="24">
        <f ca="1">RANK(I611,I$2:I$651)</f>
        <v>530</v>
      </c>
      <c r="B611" s="25" t="s">
        <v>627</v>
      </c>
      <c r="C611" s="26" t="s">
        <v>105</v>
      </c>
      <c r="D611" s="26" t="s">
        <v>70</v>
      </c>
      <c r="E611" s="27" t="s">
        <v>23</v>
      </c>
      <c r="F611" s="28">
        <f ca="1">VLOOKUP(B611,OF!A1:I139,IF(Settings!$J$13="points",4,7),FALSE)</f>
        <v>121</v>
      </c>
      <c r="G611" s="29">
        <f>(M611*Settings!$B$2)+(N611*Settings!$B$3)+(O611*Settings!$B$4)+(P611*Settings!$B$5)+(Q611*Settings!$B$6)+(T611*Settings!$B$9)+(U611*Settings!$B$10)+(V611*Settings!$B$11)+(W611*Settings!$B$12)+(X611*Settings!$B$13)+(AA611*Settings!$B$16)</f>
        <v>125.08333333333334</v>
      </c>
      <c r="H611" s="30">
        <f>VLOOKUP(B611,'Standard Deviations'!$A1:$D651,4,FALSE)</f>
        <v>-3.804331046792722</v>
      </c>
      <c r="I611" s="31">
        <f ca="1">VLOOKUP(B611,OF!A1:I139,IF(Settings!$J$13="points",6,9),FALSE)</f>
        <v>-3.9230455398224922</v>
      </c>
      <c r="J611" s="30"/>
      <c r="K611" s="30">
        <f ca="1">J611-A611</f>
        <v>-530</v>
      </c>
      <c r="L611" s="30"/>
      <c r="M611" s="30">
        <f>VLOOKUP($B611,Hitters!$A1:$R401,4,FALSE)</f>
        <v>174</v>
      </c>
      <c r="N611" s="30">
        <f>VLOOKUP($B611,Hitters!$A1:$R401,5,FALSE)</f>
        <v>25.3</v>
      </c>
      <c r="O611" s="30">
        <f>VLOOKUP($B611,Hitters!$A1:$R401,6,FALSE)</f>
        <v>4.6666666666666696</v>
      </c>
      <c r="P611" s="30">
        <f>VLOOKUP($B611,Hitters!$A1:$R401,7,FALSE)</f>
        <v>20.433333333333302</v>
      </c>
      <c r="Q611" s="30">
        <f>VLOOKUP($B611,Hitters!$A1:$R401,8,FALSE)</f>
        <v>1.4</v>
      </c>
      <c r="R611" s="32">
        <f>VLOOKUP($B611,Hitters!$A1:$R401,9,FALSE)</f>
        <v>0.26494252873563201</v>
      </c>
      <c r="S611" s="32">
        <f>VLOOKUP($B611,Hitters!$A1:$R401,10,FALSE)</f>
        <v>0.33085578610508898</v>
      </c>
      <c r="T611" s="30">
        <f>VLOOKUP($B611,Hitters!$A1:$R401,11,FALSE)</f>
        <v>46.1</v>
      </c>
      <c r="U611" s="30">
        <f>VLOOKUP($B611,Hitters!$A1:$R401,12,FALSE)</f>
        <v>9.6999999999999993</v>
      </c>
      <c r="V611" s="30">
        <f>VLOOKUP($B611,Hitters!$A1:$R401,13,FALSE)</f>
        <v>0.1</v>
      </c>
      <c r="W611" s="30">
        <f>VLOOKUP($B611,Hitters!$A1:$R401,14,FALSE)</f>
        <v>18</v>
      </c>
      <c r="X611" s="30">
        <f>VLOOKUP($B611,Hitters!$A1:$R401,15,FALSE)</f>
        <v>51.8333333333333</v>
      </c>
      <c r="Y611" s="32">
        <f>VLOOKUP($B611,Hitters!$A1:$R401,16,FALSE)</f>
        <v>0.40229885057471299</v>
      </c>
      <c r="Z611" s="32">
        <f>VLOOKUP($B611,Hitters!$A1:$R401,17,FALSE)</f>
        <v>0.73315463667980196</v>
      </c>
      <c r="AA611" s="30">
        <f>VLOOKUP($B611,Hitters!$A1:$R401,18,FALSE)</f>
        <v>0</v>
      </c>
      <c r="AB611" s="30"/>
      <c r="AC611" s="30"/>
      <c r="AD611" s="32"/>
      <c r="AE611" s="32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</row>
    <row r="612" spans="1:44" ht="18.600000000000001" customHeight="1">
      <c r="A612" s="24">
        <f ca="1">RANK(I612,I$2:I$651)</f>
        <v>510</v>
      </c>
      <c r="B612" s="25" t="s">
        <v>607</v>
      </c>
      <c r="C612" s="26" t="s">
        <v>99</v>
      </c>
      <c r="D612" s="26" t="s">
        <v>75</v>
      </c>
      <c r="E612" s="41" t="s">
        <v>34</v>
      </c>
      <c r="F612" s="42">
        <f ca="1">VLOOKUP(B612,RP!A1:I91,IF(Settings!$J$13="points",4,7),FALSE)</f>
        <v>81</v>
      </c>
      <c r="G612" s="29">
        <f>(AC612*Settings!$F$2)+(AF612*Settings!$F$5)+(AG612*Settings!$F$6)+(AH612*Settings!$F$7)+(AI612*Settings!$F$8)+(AJ612*Settings!$F$9)+(AK612*Settings!$F$10)+(AL612*Settings!$F$11)+(AM612*Settings!$F$12)+(AN612*Settings!$F$13)+(AO612*Settings!$F$14)+(AP612*Settings!$F$15)+(AQ612*Settings!$F$16)+(AR612*Settings!$F$17)</f>
        <v>123.88333333333337</v>
      </c>
      <c r="H612" s="30">
        <f>VLOOKUP(B612,'Standard Deviations'!$A1:$D651,4,FALSE)</f>
        <v>-2.1426895957712428</v>
      </c>
      <c r="I612" s="31">
        <f ca="1">IF(Settings!$J$16="no",VLOOKUP(B612,RP!A1:I91,IF(Settings!$J$13="points",6,9),FALSE),VLOOKUP(B612,'SP+RP'!$A1:$I251,IF(Settings!$J$13="points",6,9),FALSE))</f>
        <v>-3.7137515042506841</v>
      </c>
      <c r="J612" s="30"/>
      <c r="K612" s="30">
        <f ca="1">J612-A612</f>
        <v>-510</v>
      </c>
      <c r="L612" s="30"/>
      <c r="M612" s="30"/>
      <c r="N612" s="30"/>
      <c r="O612" s="30"/>
      <c r="P612" s="30"/>
      <c r="Q612" s="30"/>
      <c r="R612" s="32"/>
      <c r="S612" s="32"/>
      <c r="T612" s="30"/>
      <c r="U612" s="30"/>
      <c r="V612" s="30"/>
      <c r="W612" s="30"/>
      <c r="X612" s="30"/>
      <c r="Y612" s="32"/>
      <c r="Z612" s="32"/>
      <c r="AA612" s="30"/>
      <c r="AB612" s="30"/>
      <c r="AC612" s="30">
        <f>VLOOKUP($B612,Pitchers!$A1:$S251,4,FALSE)</f>
        <v>52.866666666666667</v>
      </c>
      <c r="AD612" s="32">
        <f>VLOOKUP($B612,Pitchers!$A1:$S251,5,FALSE)</f>
        <v>3.6998738965952085</v>
      </c>
      <c r="AE612" s="32">
        <f>VLOOKUP($B612,Pitchers!$A1:$S251,6,FALSE)</f>
        <v>1.1683480453972257</v>
      </c>
      <c r="AF612" s="30">
        <f>VLOOKUP($B612,Pitchers!$A1:$S251,7,FALSE)</f>
        <v>62.566666666666663</v>
      </c>
      <c r="AG612" s="30">
        <f>VLOOKUP($B612,Pitchers!$A1:$S251,8,FALSE)</f>
        <v>2</v>
      </c>
      <c r="AH612" s="30">
        <f>VLOOKUP($B612,Pitchers!$A1:$S251,9,FALSE)</f>
        <v>2.3333333333333335</v>
      </c>
      <c r="AI612" s="30">
        <f>VLOOKUP($B612,Pitchers!$A1:$S251,10,FALSE)</f>
        <v>21.733333333333334</v>
      </c>
      <c r="AJ612" s="30">
        <f>VLOOKUP($B612,Pitchers!$A1:$S251,11,FALSE)</f>
        <v>42.699999999999996</v>
      </c>
      <c r="AK612" s="30">
        <f>VLOOKUP($B612,Pitchers!$A1:$S251,12,FALSE)</f>
        <v>19.066666666666666</v>
      </c>
      <c r="AL612" s="30">
        <f>VLOOKUP($B612,Pitchers!$A1:$S251,13,FALSE)</f>
        <v>8</v>
      </c>
      <c r="AM612" s="30">
        <f>VLOOKUP($B612,Pitchers!$A1:$S251,14,FALSE)</f>
        <v>56.933333333333337</v>
      </c>
      <c r="AN612" s="30">
        <f>VLOOKUP($B612,Pitchers!$A1:$S251,15,FALSE)</f>
        <v>1</v>
      </c>
      <c r="AO612" s="30">
        <f>VLOOKUP($B612,Pitchers!$A1:$S251,16,FALSE)</f>
        <v>2.5666666666666669</v>
      </c>
      <c r="AP612" s="30">
        <f>VLOOKUP($B612,Pitchers!$A1:$S251,17,FALSE)</f>
        <v>0</v>
      </c>
      <c r="AQ612" s="30">
        <f>VLOOKUP($B612,Pitchers!$A1:$S251,18,FALSE)</f>
        <v>15</v>
      </c>
      <c r="AR612" s="30">
        <f>VLOOKUP($B612,Pitchers!$A1:$S251,19,FALSE)</f>
        <v>0</v>
      </c>
    </row>
    <row r="613" spans="1:44" ht="18.600000000000001" customHeight="1">
      <c r="A613" s="24">
        <f ca="1">RANK(I613,I$2:I$651)</f>
        <v>648</v>
      </c>
      <c r="B613" s="25" t="s">
        <v>744</v>
      </c>
      <c r="C613" s="26" t="s">
        <v>122</v>
      </c>
      <c r="D613" s="26" t="s">
        <v>75</v>
      </c>
      <c r="E613" s="37" t="s">
        <v>27</v>
      </c>
      <c r="F613" s="38">
        <f ca="1">VLOOKUP(B613,SS!A1:I45,IF(Settings!$J$13="points",4,7),FALSE)</f>
        <v>42</v>
      </c>
      <c r="G613" s="29">
        <f>(M613*Settings!$B$2)+(N613*Settings!$B$3)+(O613*Settings!$B$4)+(P613*Settings!$B$5)+(Q613*Settings!$B$6)+(T613*Settings!$B$9)+(U613*Settings!$B$10)+(V613*Settings!$B$11)+(W613*Settings!$B$12)+(X613*Settings!$B$13)+(AA613*Settings!$B$16)</f>
        <v>123.19999999999999</v>
      </c>
      <c r="H613" s="30">
        <f>VLOOKUP(B613,'Standard Deviations'!$A1:$D651,4,FALSE)</f>
        <v>-6.0447325145971256</v>
      </c>
      <c r="I613" s="31">
        <f ca="1">IF(Settings!$J$16="no",VLOOKUP(B613,SS!A1:I45,IF(Settings!$J$13="points",6,9),FALSE),VLOOKUP(B613,'2B+SS'!$A1:$I94,IF(Settings!$J$13="points",6,9),FALSE))</f>
        <v>-9.0491580219826506</v>
      </c>
      <c r="J613" s="30"/>
      <c r="K613" s="30">
        <f ca="1">J613-A613</f>
        <v>-648</v>
      </c>
      <c r="L613" s="30"/>
      <c r="M613" s="30">
        <f>VLOOKUP($B613,Hitters!$A1:$R401,4,FALSE)</f>
        <v>195.666666666667</v>
      </c>
      <c r="N613" s="30">
        <f>VLOOKUP($B613,Hitters!$A1:$R401,5,FALSE)</f>
        <v>25</v>
      </c>
      <c r="O613" s="30">
        <f>VLOOKUP($B613,Hitters!$A1:$R401,6,FALSE)</f>
        <v>2.8666666666666698</v>
      </c>
      <c r="P613" s="30">
        <f>VLOOKUP($B613,Hitters!$A1:$R401,7,FALSE)</f>
        <v>18.033333333333299</v>
      </c>
      <c r="Q613" s="30">
        <f>VLOOKUP($B613,Hitters!$A1:$R401,8,FALSE)</f>
        <v>4.43333333333333</v>
      </c>
      <c r="R613" s="32">
        <f>VLOOKUP($B613,Hitters!$A1:$R401,9,FALSE)</f>
        <v>0.21686541737649101</v>
      </c>
      <c r="S613" s="32">
        <f>VLOOKUP($B613,Hitters!$A1:$R401,10,FALSE)</f>
        <v>0.29615855594357998</v>
      </c>
      <c r="T613" s="30">
        <f>VLOOKUP($B613,Hitters!$A1:$R401,11,FALSE)</f>
        <v>42.433333333333302</v>
      </c>
      <c r="U613" s="30">
        <f>VLOOKUP($B613,Hitters!$A1:$R401,12,FALSE)</f>
        <v>6.5</v>
      </c>
      <c r="V613" s="30">
        <f>VLOOKUP($B613,Hitters!$A1:$R401,13,FALSE)</f>
        <v>1.43333333333333</v>
      </c>
      <c r="W613" s="30">
        <f>VLOOKUP($B613,Hitters!$A1:$R401,14,FALSE)</f>
        <v>22.866666666666699</v>
      </c>
      <c r="X613" s="30">
        <f>VLOOKUP($B613,Hitters!$A1:$R401,15,FALSE)</f>
        <v>45.533333333333303</v>
      </c>
      <c r="Y613" s="32">
        <f>VLOOKUP($B613,Hitters!$A1:$R401,16,FALSE)</f>
        <v>0.30868824531516198</v>
      </c>
      <c r="Z613" s="32">
        <f>VLOOKUP($B613,Hitters!$A1:$R401,17,FALSE)</f>
        <v>0.60484680125874202</v>
      </c>
      <c r="AA613" s="30">
        <f>VLOOKUP($B613,Hitters!$A1:$R401,18,FALSE)</f>
        <v>0</v>
      </c>
      <c r="AB613" s="30"/>
      <c r="AC613" s="30"/>
      <c r="AD613" s="32"/>
      <c r="AE613" s="32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</row>
    <row r="614" spans="1:44" ht="18.600000000000001" customHeight="1">
      <c r="A614" s="24">
        <f ca="1">RANK(I614,I$2:I$651)</f>
        <v>505</v>
      </c>
      <c r="B614" s="25" t="s">
        <v>602</v>
      </c>
      <c r="C614" s="26" t="s">
        <v>74</v>
      </c>
      <c r="D614" s="26" t="s">
        <v>75</v>
      </c>
      <c r="E614" s="41" t="s">
        <v>34</v>
      </c>
      <c r="F614" s="42">
        <f ca="1">VLOOKUP(B614,RP!A1:I91,IF(Settings!$J$13="points",4,7),FALSE)</f>
        <v>77</v>
      </c>
      <c r="G614" s="29">
        <f>(AC614*Settings!$F$2)+(AF614*Settings!$F$5)+(AG614*Settings!$F$6)+(AH614*Settings!$F$7)+(AI614*Settings!$F$8)+(AJ614*Settings!$F$9)+(AK614*Settings!$F$10)+(AL614*Settings!$F$11)+(AM614*Settings!$F$12)+(AN614*Settings!$F$13)+(AO614*Settings!$F$14)+(AP614*Settings!$F$15)+(AQ614*Settings!$F$16)+(AR614*Settings!$F$17)</f>
        <v>122.75</v>
      </c>
      <c r="H614" s="30">
        <f>VLOOKUP(B614,'Standard Deviations'!$A1:$D651,4,FALSE)</f>
        <v>-2.0445344590806673</v>
      </c>
      <c r="I614" s="31">
        <f ca="1">IF(Settings!$J$16="no",VLOOKUP(B614,RP!A1:I91,IF(Settings!$J$13="points",6,9),FALSE),VLOOKUP(B614,'SP+RP'!$A1:$I251,IF(Settings!$J$13="points",6,9),FALSE))</f>
        <v>-3.615598779165464</v>
      </c>
      <c r="J614" s="30"/>
      <c r="K614" s="30">
        <f ca="1">J614-A614</f>
        <v>-505</v>
      </c>
      <c r="L614" s="30"/>
      <c r="M614" s="30"/>
      <c r="N614" s="30"/>
      <c r="O614" s="30"/>
      <c r="P614" s="30"/>
      <c r="Q614" s="30"/>
      <c r="R614" s="32"/>
      <c r="S614" s="32"/>
      <c r="T614" s="30"/>
      <c r="U614" s="30"/>
      <c r="V614" s="30"/>
      <c r="W614" s="30"/>
      <c r="X614" s="30"/>
      <c r="Y614" s="32"/>
      <c r="Z614" s="32"/>
      <c r="AA614" s="30"/>
      <c r="AB614" s="30"/>
      <c r="AC614" s="30">
        <f>VLOOKUP($B614,Pitchers!$A1:$S251,4,FALSE)</f>
        <v>39.699999999999996</v>
      </c>
      <c r="AD614" s="32">
        <f>VLOOKUP($B614,Pitchers!$A1:$S251,5,FALSE)</f>
        <v>3.4231738035264487</v>
      </c>
      <c r="AE614" s="32">
        <f>VLOOKUP($B614,Pitchers!$A1:$S251,6,FALSE)</f>
        <v>1.2191435768261967</v>
      </c>
      <c r="AF614" s="30">
        <f>VLOOKUP($B614,Pitchers!$A1:$S251,7,FALSE)</f>
        <v>48.633333333333333</v>
      </c>
      <c r="AG614" s="30">
        <f>VLOOKUP($B614,Pitchers!$A1:$S251,8,FALSE)</f>
        <v>1.5</v>
      </c>
      <c r="AH614" s="30">
        <f>VLOOKUP($B614,Pitchers!$A1:$S251,9,FALSE)</f>
        <v>6.333333333333333</v>
      </c>
      <c r="AI614" s="30">
        <f>VLOOKUP($B614,Pitchers!$A1:$S251,10,FALSE)</f>
        <v>15.1</v>
      </c>
      <c r="AJ614" s="30">
        <f>VLOOKUP($B614,Pitchers!$A1:$S251,11,FALSE)</f>
        <v>34.133333333333333</v>
      </c>
      <c r="AK614" s="30">
        <f>VLOOKUP($B614,Pitchers!$A1:$S251,12,FALSE)</f>
        <v>14.266666666666666</v>
      </c>
      <c r="AL614" s="30">
        <f>VLOOKUP($B614,Pitchers!$A1:$S251,13,FALSE)</f>
        <v>7</v>
      </c>
      <c r="AM614" s="30">
        <f>VLOOKUP($B614,Pitchers!$A1:$S251,14,FALSE)</f>
        <v>47.300000000000004</v>
      </c>
      <c r="AN614" s="30">
        <f>VLOOKUP($B614,Pitchers!$A1:$S251,15,FALSE)</f>
        <v>0</v>
      </c>
      <c r="AO614" s="30">
        <f>VLOOKUP($B614,Pitchers!$A1:$S251,16,FALSE)</f>
        <v>2.4</v>
      </c>
      <c r="AP614" s="30">
        <f>VLOOKUP($B614,Pitchers!$A1:$S251,17,FALSE)</f>
        <v>0</v>
      </c>
      <c r="AQ614" s="30">
        <f>VLOOKUP($B614,Pitchers!$A1:$S251,18,FALSE)</f>
        <v>9.5</v>
      </c>
      <c r="AR614" s="30">
        <f>VLOOKUP($B614,Pitchers!$A1:$S251,19,FALSE)</f>
        <v>1</v>
      </c>
    </row>
    <row r="615" spans="1:44" ht="18.600000000000001" customHeight="1">
      <c r="A615" s="24">
        <f ca="1">RANK(I615,I$2:I$651)</f>
        <v>610</v>
      </c>
      <c r="B615" s="25" t="s">
        <v>706</v>
      </c>
      <c r="C615" s="26" t="s">
        <v>309</v>
      </c>
      <c r="D615" s="26" t="s">
        <v>75</v>
      </c>
      <c r="E615" s="33" t="s">
        <v>15</v>
      </c>
      <c r="F615" s="34">
        <f ca="1">VLOOKUP(B615,'3B'!A1:I55,IF(Settings!$J$13="points",4,7),FALSE)</f>
        <v>49</v>
      </c>
      <c r="G615" s="29">
        <f>(M615*Settings!$B$2)+(N615*Settings!$B$3)+(O615*Settings!$B$4)+(P615*Settings!$B$5)+(Q615*Settings!$B$6)+(T615*Settings!$B$9)+(U615*Settings!$B$10)+(V615*Settings!$B$11)+(W615*Settings!$B$12)+(X615*Settings!$B$13)+(AA615*Settings!$B$16)</f>
        <v>122.60000000000005</v>
      </c>
      <c r="H615" s="30">
        <f>VLOOKUP(B615,'Standard Deviations'!$A1:$D651,4,FALSE)</f>
        <v>-4.9808623231728024</v>
      </c>
      <c r="I615" s="31">
        <f ca="1">IF(Settings!$J$15="no",VLOOKUP(B615,'3B'!A1:I55,IF(Settings!$J$13="points",6,9),FALSE),VLOOKUP(B615,'1B+3B'!$A1:$I104,IF(Settings!$J$13="points",6,9),FALSE))</f>
        <v>-5.7085460154151679</v>
      </c>
      <c r="J615" s="30"/>
      <c r="K615" s="30">
        <f ca="1">J615-A615</f>
        <v>-610</v>
      </c>
      <c r="L615" s="30"/>
      <c r="M615" s="30">
        <f>VLOOKUP($B615,Hitters!$A1:$R401,4,FALSE)</f>
        <v>185.333333333333</v>
      </c>
      <c r="N615" s="30">
        <f>VLOOKUP($B615,Hitters!$A1:$R401,5,FALSE)</f>
        <v>19.933333333333302</v>
      </c>
      <c r="O615" s="30">
        <f>VLOOKUP($B615,Hitters!$A1:$R401,6,FALSE)</f>
        <v>3.3666666666666698</v>
      </c>
      <c r="P615" s="30">
        <f>VLOOKUP($B615,Hitters!$A1:$R401,7,FALSE)</f>
        <v>19.3</v>
      </c>
      <c r="Q615" s="30">
        <f>VLOOKUP($B615,Hitters!$A1:$R401,8,FALSE)</f>
        <v>2.2999999999999998</v>
      </c>
      <c r="R615" s="32">
        <f>VLOOKUP($B615,Hitters!$A1:$R401,9,FALSE)</f>
        <v>0.24748201438848899</v>
      </c>
      <c r="S615" s="32">
        <f>VLOOKUP($B615,Hitters!$A1:$R401,10,FALSE)</f>
        <v>0.28537234939149803</v>
      </c>
      <c r="T615" s="30">
        <f>VLOOKUP($B615,Hitters!$A1:$R401,11,FALSE)</f>
        <v>45.866666666666703</v>
      </c>
      <c r="U615" s="30">
        <f>VLOOKUP($B615,Hitters!$A1:$R401,12,FALSE)</f>
        <v>10.1</v>
      </c>
      <c r="V615" s="30">
        <f>VLOOKUP($B615,Hitters!$A1:$R401,13,FALSE)</f>
        <v>0.96666666666666701</v>
      </c>
      <c r="W615" s="30">
        <f>VLOOKUP($B615,Hitters!$A1:$R401,14,FALSE)</f>
        <v>10.5666666666667</v>
      </c>
      <c r="X615" s="30">
        <f>VLOOKUP($B615,Hitters!$A1:$R401,15,FALSE)</f>
        <v>28.466666666666701</v>
      </c>
      <c r="Y615" s="32">
        <f>VLOOKUP($B615,Hitters!$A1:$R401,16,FALSE)</f>
        <v>0.36690647482014399</v>
      </c>
      <c r="Z615" s="32">
        <f>VLOOKUP($B615,Hitters!$A1:$R401,17,FALSE)</f>
        <v>0.65227882421164196</v>
      </c>
      <c r="AA615" s="30">
        <f>VLOOKUP($B615,Hitters!$A1:$R401,18,FALSE)</f>
        <v>0</v>
      </c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</row>
    <row r="616" spans="1:44" ht="18.600000000000001" customHeight="1">
      <c r="A616" s="24">
        <f ca="1">RANK(I616,I$2:I$651)</f>
        <v>507</v>
      </c>
      <c r="B616" s="25" t="s">
        <v>604</v>
      </c>
      <c r="C616" s="26" t="s">
        <v>101</v>
      </c>
      <c r="D616" s="26" t="s">
        <v>70</v>
      </c>
      <c r="E616" s="41" t="s">
        <v>34</v>
      </c>
      <c r="F616" s="42">
        <f ca="1">VLOOKUP(B616,RP!A1:I91,IF(Settings!$J$13="points",4,7),FALSE)</f>
        <v>79</v>
      </c>
      <c r="G616" s="29">
        <f>(AC616*Settings!$F$2)+(AF616*Settings!$F$5)+(AG616*Settings!$F$6)+(AH616*Settings!$F$7)+(AI616*Settings!$F$8)+(AJ616*Settings!$F$9)+(AK616*Settings!$F$10)+(AL616*Settings!$F$11)+(AM616*Settings!$F$12)+(AN616*Settings!$F$13)+(AO616*Settings!$F$14)+(AP616*Settings!$F$15)+(AQ616*Settings!$F$16)+(AR616*Settings!$F$17)</f>
        <v>122.52499999999998</v>
      </c>
      <c r="H616" s="30">
        <f>VLOOKUP(B616,'Standard Deviations'!$A1:$D651,4,FALSE)</f>
        <v>-2.0638321360518455</v>
      </c>
      <c r="I616" s="31">
        <f ca="1">IF(Settings!$J$16="no",VLOOKUP(B616,RP!A1:I91,IF(Settings!$J$13="points",6,9),FALSE),VLOOKUP(B616,'SP+RP'!$A1:$I251,IF(Settings!$J$13="points",6,9),FALSE))</f>
        <v>-3.6348993226236033</v>
      </c>
      <c r="J616" s="30"/>
      <c r="K616" s="30">
        <f ca="1">J616-A616</f>
        <v>-507</v>
      </c>
      <c r="L616" s="30"/>
      <c r="M616" s="30"/>
      <c r="N616" s="30"/>
      <c r="O616" s="30"/>
      <c r="P616" s="30"/>
      <c r="Q616" s="30"/>
      <c r="R616" s="32"/>
      <c r="S616" s="32"/>
      <c r="T616" s="30"/>
      <c r="U616" s="30"/>
      <c r="V616" s="30"/>
      <c r="W616" s="30"/>
      <c r="X616" s="30"/>
      <c r="Y616" s="32"/>
      <c r="Z616" s="32"/>
      <c r="AA616" s="30"/>
      <c r="AB616" s="30"/>
      <c r="AC616" s="30">
        <f>VLOOKUP($B616,Pitchers!$A1:$S251,4,FALSE)</f>
        <v>52.4</v>
      </c>
      <c r="AD616" s="32">
        <f>VLOOKUP($B616,Pitchers!$A1:$S251,5,FALSE)</f>
        <v>3.33206106870229</v>
      </c>
      <c r="AE616" s="32">
        <f>VLOOKUP($B616,Pitchers!$A1:$S251,6,FALSE)</f>
        <v>1.2375954198473282</v>
      </c>
      <c r="AF616" s="30">
        <f>VLOOKUP($B616,Pitchers!$A1:$S251,7,FALSE)</f>
        <v>66.650000000000006</v>
      </c>
      <c r="AG616" s="30">
        <f>VLOOKUP($B616,Pitchers!$A1:$S251,8,FALSE)</f>
        <v>3</v>
      </c>
      <c r="AH616" s="30">
        <f>VLOOKUP($B616,Pitchers!$A1:$S251,9,FALSE)</f>
        <v>0</v>
      </c>
      <c r="AI616" s="30">
        <f>VLOOKUP($B616,Pitchers!$A1:$S251,10,FALSE)</f>
        <v>19.399999999999999</v>
      </c>
      <c r="AJ616" s="30">
        <f>VLOOKUP($B616,Pitchers!$A1:$S251,11,FALSE)</f>
        <v>41.1</v>
      </c>
      <c r="AK616" s="30">
        <f>VLOOKUP($B616,Pitchers!$A1:$S251,12,FALSE)</f>
        <v>23.75</v>
      </c>
      <c r="AL616" s="30">
        <f>VLOOKUP($B616,Pitchers!$A1:$S251,13,FALSE)</f>
        <v>8</v>
      </c>
      <c r="AM616" s="30">
        <f>VLOOKUP($B616,Pitchers!$A1:$S251,14,FALSE)</f>
        <v>38.85</v>
      </c>
      <c r="AN616" s="30">
        <f>VLOOKUP($B616,Pitchers!$A1:$S251,15,FALSE)</f>
        <v>3.1</v>
      </c>
      <c r="AO616" s="30">
        <f>VLOOKUP($B616,Pitchers!$A1:$S251,16,FALSE)</f>
        <v>2.75</v>
      </c>
      <c r="AP616" s="30">
        <f>VLOOKUP($B616,Pitchers!$A1:$S251,17,FALSE)</f>
        <v>3</v>
      </c>
      <c r="AQ616" s="30">
        <f>VLOOKUP($B616,Pitchers!$A1:$S251,18,FALSE)</f>
        <v>4</v>
      </c>
      <c r="AR616" s="30">
        <f>VLOOKUP($B616,Pitchers!$A1:$S251,19,FALSE)</f>
        <v>1</v>
      </c>
    </row>
    <row r="617" spans="1:44" ht="18.600000000000001" customHeight="1">
      <c r="A617" s="24">
        <f ca="1">RANK(I617,I$2:I$651)</f>
        <v>638</v>
      </c>
      <c r="B617" s="25" t="s">
        <v>734</v>
      </c>
      <c r="C617" s="26" t="s">
        <v>72</v>
      </c>
      <c r="D617" s="26" t="s">
        <v>70</v>
      </c>
      <c r="E617" s="43" t="s">
        <v>114</v>
      </c>
      <c r="F617" s="44">
        <f ca="1">VLOOKUP(B617,'1B'!A1:I63,IF(Settings!$J$13="points",4,7),FALSE)</f>
        <v>59</v>
      </c>
      <c r="G617" s="29">
        <f>(M617*Settings!$B$2)+(N617*Settings!$B$3)+(O617*Settings!$B$4)+(P617*Settings!$B$5)+(Q617*Settings!$B$6)+(T617*Settings!$B$9)+(U617*Settings!$B$10)+(V617*Settings!$B$11)+(W617*Settings!$B$12)+(X617*Settings!$B$13)+(AA617*Settings!$B$16)</f>
        <v>121.72499999999999</v>
      </c>
      <c r="H617" s="30">
        <f>VLOOKUP(B617,'Standard Deviations'!$A1:$D651,4,FALSE)</f>
        <v>-5.0029957391585782</v>
      </c>
      <c r="I617" s="31">
        <f ca="1">VLOOKUP(B617,'1B'!A1:I63,IF(Settings!$J$13="points",6,9),FALSE)</f>
        <v>-7.5825295670814681</v>
      </c>
      <c r="J617" s="30"/>
      <c r="K617" s="30">
        <f ca="1">J617-A617</f>
        <v>-638</v>
      </c>
      <c r="L617" s="30"/>
      <c r="M617" s="30">
        <f>VLOOKUP($B617,Hitters!$A1:$R401,4,FALSE)</f>
        <v>177.5</v>
      </c>
      <c r="N617" s="30">
        <f>VLOOKUP($B617,Hitters!$A1:$R401,5,FALSE)</f>
        <v>22.15</v>
      </c>
      <c r="O617" s="30">
        <f>VLOOKUP($B617,Hitters!$A1:$R401,6,FALSE)</f>
        <v>3.85</v>
      </c>
      <c r="P617" s="30">
        <f>VLOOKUP($B617,Hitters!$A1:$R401,7,FALSE)</f>
        <v>19</v>
      </c>
      <c r="Q617" s="30">
        <f>VLOOKUP($B617,Hitters!$A1:$R401,8,FALSE)</f>
        <v>0.95</v>
      </c>
      <c r="R617" s="32">
        <f>VLOOKUP($B617,Hitters!$A1:$R401,9,FALSE)</f>
        <v>0.24816901408450701</v>
      </c>
      <c r="S617" s="32">
        <f>VLOOKUP($B617,Hitters!$A1:$R401,10,FALSE)</f>
        <v>0.30412967966036297</v>
      </c>
      <c r="T617" s="30">
        <f>VLOOKUP($B617,Hitters!$A1:$R401,11,FALSE)</f>
        <v>44.05</v>
      </c>
      <c r="U617" s="30">
        <f>VLOOKUP($B617,Hitters!$A1:$R401,12,FALSE)</f>
        <v>9.0500000000000007</v>
      </c>
      <c r="V617" s="30">
        <f>VLOOKUP($B617,Hitters!$A1:$R401,13,FALSE)</f>
        <v>0.15</v>
      </c>
      <c r="W617" s="30">
        <f>VLOOKUP($B617,Hitters!$A1:$R401,14,FALSE)</f>
        <v>15.05</v>
      </c>
      <c r="X617" s="30">
        <f>VLOOKUP($B617,Hitters!$A1:$R401,15,FALSE)</f>
        <v>28.75</v>
      </c>
      <c r="Y617" s="32">
        <f>VLOOKUP($B617,Hitters!$A1:$R401,16,FALSE)</f>
        <v>0.365915492957747</v>
      </c>
      <c r="Z617" s="32">
        <f>VLOOKUP($B617,Hitters!$A1:$R401,17,FALSE)</f>
        <v>0.67004517261810903</v>
      </c>
      <c r="AA617" s="30">
        <f>VLOOKUP($B617,Hitters!$A1:$R401,18,FALSE)</f>
        <v>0</v>
      </c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</row>
    <row r="618" spans="1:44" ht="18.600000000000001" customHeight="1">
      <c r="A618" s="24">
        <f ca="1">RANK(I618,I$2:I$651)</f>
        <v>542</v>
      </c>
      <c r="B618" s="25" t="s">
        <v>639</v>
      </c>
      <c r="C618" s="26" t="s">
        <v>105</v>
      </c>
      <c r="D618" s="26" t="s">
        <v>70</v>
      </c>
      <c r="E618" s="45" t="s">
        <v>19</v>
      </c>
      <c r="F618" s="46">
        <f ca="1">VLOOKUP(B618,'C'!A1:I54,IF(Settings!$J$13="points",4,7),FALSE)</f>
        <v>38</v>
      </c>
      <c r="G618" s="29">
        <f>(M618*Settings!$B$2)+(N618*Settings!$B$3)+(O618*Settings!$B$4)+(P618*Settings!$B$5)+(Q618*Settings!$B$6)+(T618*Settings!$B$9)+(U618*Settings!$B$10)+(V618*Settings!$B$11)+(W618*Settings!$B$12)+(X618*Settings!$B$13)+(AA618*Settings!$B$16)</f>
        <v>119.19999999999996</v>
      </c>
      <c r="H618" s="30">
        <f>VLOOKUP(B618,'Standard Deviations'!$A1:$D651,4,FALSE)</f>
        <v>-4.490121521074931</v>
      </c>
      <c r="I618" s="31">
        <f ca="1">VLOOKUP(B618,'C'!A1:I54,IF(Settings!$J$13="points",6,9),FALSE)</f>
        <v>-4.1730230821666687</v>
      </c>
      <c r="J618" s="30"/>
      <c r="K618" s="30">
        <f ca="1">J618-A618</f>
        <v>-542</v>
      </c>
      <c r="L618" s="30"/>
      <c r="M618" s="30">
        <f>VLOOKUP($B618,Hitters!$A1:$R401,4,FALSE)</f>
        <v>206.333333333333</v>
      </c>
      <c r="N618" s="30">
        <f>VLOOKUP($B618,Hitters!$A1:$R401,5,FALSE)</f>
        <v>21.8</v>
      </c>
      <c r="O618" s="30">
        <f>VLOOKUP($B618,Hitters!$A1:$R401,6,FALSE)</f>
        <v>5.7333333333333298</v>
      </c>
      <c r="P618" s="30">
        <f>VLOOKUP($B618,Hitters!$A1:$R401,7,FALSE)</f>
        <v>26.033333333333299</v>
      </c>
      <c r="Q618" s="30">
        <f>VLOOKUP($B618,Hitters!$A1:$R401,8,FALSE)</f>
        <v>2.3666666666666698</v>
      </c>
      <c r="R618" s="32">
        <f>VLOOKUP($B618,Hitters!$A1:$R401,9,FALSE)</f>
        <v>0.24313408723748001</v>
      </c>
      <c r="S618" s="32">
        <f>VLOOKUP($B618,Hitters!$A1:$R401,10,FALSE)</f>
        <v>0.274163213504794</v>
      </c>
      <c r="T618" s="30">
        <f>VLOOKUP($B618,Hitters!$A1:$R401,11,FALSE)</f>
        <v>50.1666666666667</v>
      </c>
      <c r="U618" s="30">
        <f>VLOOKUP($B618,Hitters!$A1:$R401,12,FALSE)</f>
        <v>9.8333333333333304</v>
      </c>
      <c r="V618" s="30">
        <f>VLOOKUP($B618,Hitters!$A1:$R401,13,FALSE)</f>
        <v>0.16666666666666699</v>
      </c>
      <c r="W618" s="30">
        <f>VLOOKUP($B618,Hitters!$A1:$R401,14,FALSE)</f>
        <v>9.6</v>
      </c>
      <c r="X618" s="30">
        <f>VLOOKUP($B618,Hitters!$A1:$R401,15,FALSE)</f>
        <v>72.466666666666697</v>
      </c>
      <c r="Y618" s="32">
        <f>VLOOKUP($B618,Hitters!$A1:$R401,16,FALSE)</f>
        <v>0.37576736672051703</v>
      </c>
      <c r="Z618" s="32">
        <f>VLOOKUP($B618,Hitters!$A1:$R401,17,FALSE)</f>
        <v>0.64993058022531103</v>
      </c>
      <c r="AA618" s="30">
        <f>VLOOKUP($B618,Hitters!$A1:$R401,18,FALSE)</f>
        <v>0</v>
      </c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</row>
    <row r="619" spans="1:44" ht="18.600000000000001" customHeight="1">
      <c r="A619" s="24">
        <f ca="1">RANK(I619,I$2:I$651)</f>
        <v>511</v>
      </c>
      <c r="B619" s="25" t="s">
        <v>608</v>
      </c>
      <c r="C619" s="26" t="s">
        <v>103</v>
      </c>
      <c r="D619" s="26" t="s">
        <v>70</v>
      </c>
      <c r="E619" s="41" t="s">
        <v>34</v>
      </c>
      <c r="F619" s="42">
        <f ca="1">VLOOKUP(B619,RP!A1:I91,IF(Settings!$J$13="points",4,7),FALSE)</f>
        <v>82</v>
      </c>
      <c r="G619" s="29">
        <f>(AC619*Settings!$F$2)+(AF619*Settings!$F$5)+(AG619*Settings!$F$6)+(AH619*Settings!$F$7)+(AI619*Settings!$F$8)+(AJ619*Settings!$F$9)+(AK619*Settings!$F$10)+(AL619*Settings!$F$11)+(AM619*Settings!$F$12)+(AN619*Settings!$F$13)+(AO619*Settings!$F$14)+(AP619*Settings!$F$15)+(AQ619*Settings!$F$16)+(AR619*Settings!$F$17)</f>
        <v>118.4</v>
      </c>
      <c r="H619" s="30">
        <f>VLOOKUP(B619,'Standard Deviations'!$A1:$D651,4,FALSE)</f>
        <v>-2.1595396419776227</v>
      </c>
      <c r="I619" s="31">
        <f ca="1">IF(Settings!$J$16="no",VLOOKUP(B619,RP!A1:I91,IF(Settings!$J$13="points",6,9),FALSE),VLOOKUP(B619,'SP+RP'!$A1:$I251,IF(Settings!$J$13="points",6,9),FALSE))</f>
        <v>-3.7306103253946539</v>
      </c>
      <c r="J619" s="30"/>
      <c r="K619" s="30">
        <f ca="1">J619-A619</f>
        <v>-511</v>
      </c>
      <c r="L619" s="30"/>
      <c r="M619" s="30"/>
      <c r="N619" s="30"/>
      <c r="O619" s="30"/>
      <c r="P619" s="30"/>
      <c r="Q619" s="30"/>
      <c r="R619" s="32"/>
      <c r="S619" s="32"/>
      <c r="T619" s="30"/>
      <c r="U619" s="30"/>
      <c r="V619" s="30"/>
      <c r="W619" s="30"/>
      <c r="X619" s="30"/>
      <c r="Y619" s="32"/>
      <c r="Z619" s="32"/>
      <c r="AA619" s="30"/>
      <c r="AB619" s="30"/>
      <c r="AC619" s="30">
        <f>VLOOKUP($B619,Pitchers!$A1:$S251,4,FALSE)</f>
        <v>53.400000000000006</v>
      </c>
      <c r="AD619" s="32">
        <f>VLOOKUP($B619,Pitchers!$A1:$S251,5,FALSE)</f>
        <v>3.328651685393258</v>
      </c>
      <c r="AE619" s="32">
        <f>VLOOKUP($B619,Pitchers!$A1:$S251,6,FALSE)</f>
        <v>1.2453183520599249</v>
      </c>
      <c r="AF619" s="30">
        <f>VLOOKUP($B619,Pitchers!$A1:$S251,7,FALSE)</f>
        <v>68.7</v>
      </c>
      <c r="AG619" s="30">
        <f>VLOOKUP($B619,Pitchers!$A1:$S251,8,FALSE)</f>
        <v>2.5499999999999998</v>
      </c>
      <c r="AH619" s="30">
        <f>VLOOKUP($B619,Pitchers!$A1:$S251,9,FALSE)</f>
        <v>0.5</v>
      </c>
      <c r="AI619" s="30">
        <f>VLOOKUP($B619,Pitchers!$A1:$S251,10,FALSE)</f>
        <v>19.75</v>
      </c>
      <c r="AJ619" s="30">
        <f>VLOOKUP($B619,Pitchers!$A1:$S251,11,FALSE)</f>
        <v>42</v>
      </c>
      <c r="AK619" s="30">
        <f>VLOOKUP($B619,Pitchers!$A1:$S251,12,FALSE)</f>
        <v>24.5</v>
      </c>
      <c r="AL619" s="30">
        <f>VLOOKUP($B619,Pitchers!$A1:$S251,13,FALSE)</f>
        <v>6</v>
      </c>
      <c r="AM619" s="30">
        <f>VLOOKUP($B619,Pitchers!$A1:$S251,14,FALSE)</f>
        <v>55.85</v>
      </c>
      <c r="AN619" s="30">
        <f>VLOOKUP($B619,Pitchers!$A1:$S251,15,FALSE)</f>
        <v>0</v>
      </c>
      <c r="AO619" s="30">
        <f>VLOOKUP($B619,Pitchers!$A1:$S251,16,FALSE)</f>
        <v>2.25</v>
      </c>
      <c r="AP619" s="30">
        <f>VLOOKUP($B619,Pitchers!$A1:$S251,17,FALSE)</f>
        <v>0</v>
      </c>
      <c r="AQ619" s="30">
        <f>VLOOKUP($B619,Pitchers!$A1:$S251,18,FALSE)</f>
        <v>6</v>
      </c>
      <c r="AR619" s="30">
        <f>VLOOKUP($B619,Pitchers!$A1:$S251,19,FALSE)</f>
        <v>0</v>
      </c>
    </row>
    <row r="620" spans="1:44" ht="18.600000000000001" customHeight="1">
      <c r="A620" s="24">
        <f ca="1">RANK(I620,I$2:I$651)</f>
        <v>494</v>
      </c>
      <c r="B620" s="25" t="s">
        <v>589</v>
      </c>
      <c r="C620" s="26" t="s">
        <v>136</v>
      </c>
      <c r="D620" s="26" t="s">
        <v>75</v>
      </c>
      <c r="E620" s="41" t="s">
        <v>34</v>
      </c>
      <c r="F620" s="42">
        <f ca="1">VLOOKUP(B620,RP!A1:I91,IF(Settings!$J$13="points",4,7),FALSE)</f>
        <v>74</v>
      </c>
      <c r="G620" s="29">
        <f>(AC620*Settings!$F$2)+(AF620*Settings!$F$5)+(AG620*Settings!$F$6)+(AH620*Settings!$F$7)+(AI620*Settings!$F$8)+(AJ620*Settings!$F$9)+(AK620*Settings!$F$10)+(AL620*Settings!$F$11)+(AM620*Settings!$F$12)+(AN620*Settings!$F$13)+(AO620*Settings!$F$14)+(AP620*Settings!$F$15)+(AQ620*Settings!$F$16)+(AR620*Settings!$F$17)</f>
        <v>118.21666666666665</v>
      </c>
      <c r="H620" s="30">
        <f>VLOOKUP(B620,'Standard Deviations'!$A1:$D651,4,FALSE)</f>
        <v>-1.9485703300640849</v>
      </c>
      <c r="I620" s="31">
        <f ca="1">IF(Settings!$J$16="no",VLOOKUP(B620,RP!A1:I91,IF(Settings!$J$13="points",6,9),FALSE),VLOOKUP(B620,'SP+RP'!$A1:$I251,IF(Settings!$J$13="points",6,9),FALSE))</f>
        <v>-3.5196324605568892</v>
      </c>
      <c r="J620" s="30"/>
      <c r="K620" s="30">
        <f ca="1">J620-A620</f>
        <v>-494</v>
      </c>
      <c r="L620" s="30"/>
      <c r="M620" s="30"/>
      <c r="N620" s="30"/>
      <c r="O620" s="30"/>
      <c r="P620" s="30"/>
      <c r="Q620" s="30"/>
      <c r="R620" s="32"/>
      <c r="S620" s="32"/>
      <c r="T620" s="30"/>
      <c r="U620" s="30"/>
      <c r="V620" s="30"/>
      <c r="W620" s="30"/>
      <c r="X620" s="30"/>
      <c r="Y620" s="32"/>
      <c r="Z620" s="32"/>
      <c r="AA620" s="30"/>
      <c r="AB620" s="30"/>
      <c r="AC620" s="30">
        <f>VLOOKUP($B620,Pitchers!$A1:$S251,4,FALSE)</f>
        <v>51.866666666666667</v>
      </c>
      <c r="AD620" s="32">
        <f>VLOOKUP($B620,Pitchers!$A1:$S251,5,FALSE)</f>
        <v>3.4530848329048847</v>
      </c>
      <c r="AE620" s="32">
        <f>VLOOKUP($B620,Pitchers!$A1:$S251,6,FALSE)</f>
        <v>1.2107969151670952</v>
      </c>
      <c r="AF620" s="30">
        <f>VLOOKUP($B620,Pitchers!$A1:$S251,7,FALSE)</f>
        <v>59.766666666666673</v>
      </c>
      <c r="AG620" s="30">
        <f>VLOOKUP($B620,Pitchers!$A1:$S251,8,FALSE)</f>
        <v>3.3000000000000003</v>
      </c>
      <c r="AH620" s="30">
        <f>VLOOKUP($B620,Pitchers!$A1:$S251,9,FALSE)</f>
        <v>1</v>
      </c>
      <c r="AI620" s="30">
        <f>VLOOKUP($B620,Pitchers!$A1:$S251,10,FALSE)</f>
        <v>19.900000000000002</v>
      </c>
      <c r="AJ620" s="30">
        <f>VLOOKUP($B620,Pitchers!$A1:$S251,11,FALSE)</f>
        <v>40.56666666666667</v>
      </c>
      <c r="AK620" s="30">
        <f>VLOOKUP($B620,Pitchers!$A1:$S251,12,FALSE)</f>
        <v>22.233333333333334</v>
      </c>
      <c r="AL620" s="30">
        <f>VLOOKUP($B620,Pitchers!$A1:$S251,13,FALSE)</f>
        <v>7</v>
      </c>
      <c r="AM620" s="30">
        <f>VLOOKUP($B620,Pitchers!$A1:$S251,14,FALSE)</f>
        <v>56.933333333333337</v>
      </c>
      <c r="AN620" s="30">
        <f>VLOOKUP($B620,Pitchers!$A1:$S251,15,FALSE)</f>
        <v>0</v>
      </c>
      <c r="AO620" s="30">
        <f>VLOOKUP($B620,Pitchers!$A1:$S251,16,FALSE)</f>
        <v>2.9333333333333336</v>
      </c>
      <c r="AP620" s="30">
        <f>VLOOKUP($B620,Pitchers!$A1:$S251,17,FALSE)</f>
        <v>0</v>
      </c>
      <c r="AQ620" s="30">
        <f>VLOOKUP($B620,Pitchers!$A1:$S251,18,FALSE)</f>
        <v>14.5</v>
      </c>
      <c r="AR620" s="30">
        <f>VLOOKUP($B620,Pitchers!$A1:$S251,19,FALSE)</f>
        <v>2</v>
      </c>
    </row>
    <row r="621" spans="1:44" ht="18.600000000000001" customHeight="1">
      <c r="A621" s="24">
        <f ca="1">RANK(I621,I$2:I$651)</f>
        <v>583</v>
      </c>
      <c r="B621" s="25" t="s">
        <v>679</v>
      </c>
      <c r="C621" s="26" t="s">
        <v>72</v>
      </c>
      <c r="D621" s="26" t="s">
        <v>70</v>
      </c>
      <c r="E621" s="27" t="s">
        <v>23</v>
      </c>
      <c r="F621" s="28">
        <f ca="1">VLOOKUP(B621,OF!A1:I139,IF(Settings!$J$13="points",4,7),FALSE)</f>
        <v>129</v>
      </c>
      <c r="G621" s="29">
        <f>(M621*Settings!$B$2)+(N621*Settings!$B$3)+(O621*Settings!$B$4)+(P621*Settings!$B$5)+(Q621*Settings!$B$6)+(T621*Settings!$B$9)+(U621*Settings!$B$10)+(V621*Settings!$B$11)+(W621*Settings!$B$12)+(X621*Settings!$B$13)+(AA621*Settings!$B$16)</f>
        <v>117.36666666666673</v>
      </c>
      <c r="H621" s="30">
        <f>VLOOKUP(B621,'Standard Deviations'!$A1:$D651,4,FALSE)</f>
        <v>-4.7563746646395515</v>
      </c>
      <c r="I621" s="31">
        <f ca="1">VLOOKUP(B621,OF!A1:I139,IF(Settings!$J$13="points",6,9),FALSE)</f>
        <v>-4.8750938757803572</v>
      </c>
      <c r="J621" s="30"/>
      <c r="K621" s="30">
        <f ca="1">J621-A621</f>
        <v>-583</v>
      </c>
      <c r="L621" s="30"/>
      <c r="M621" s="30">
        <f>VLOOKUP($B621,Hitters!$A1:$R401,4,FALSE)</f>
        <v>157.666666666667</v>
      </c>
      <c r="N621" s="30">
        <f>VLOOKUP($B621,Hitters!$A1:$R401,5,FALSE)</f>
        <v>21.3</v>
      </c>
      <c r="O621" s="30">
        <f>VLOOKUP($B621,Hitters!$A1:$R401,6,FALSE)</f>
        <v>3.6333333333333302</v>
      </c>
      <c r="P621" s="30">
        <f>VLOOKUP($B621,Hitters!$A1:$R401,7,FALSE)</f>
        <v>16.8</v>
      </c>
      <c r="Q621" s="30">
        <f>VLOOKUP($B621,Hitters!$A1:$R401,8,FALSE)</f>
        <v>8.9666666666666703</v>
      </c>
      <c r="R621" s="32">
        <f>VLOOKUP($B621,Hitters!$A1:$R401,9,FALSE)</f>
        <v>0.23192389006342501</v>
      </c>
      <c r="S621" s="32">
        <f>VLOOKUP($B621,Hitters!$A1:$R401,10,FALSE)</f>
        <v>0.29459682211105398</v>
      </c>
      <c r="T621" s="30">
        <f>VLOOKUP($B621,Hitters!$A1:$R401,11,FALSE)</f>
        <v>36.566666666666698</v>
      </c>
      <c r="U621" s="30">
        <f>VLOOKUP($B621,Hitters!$A1:$R401,12,FALSE)</f>
        <v>8.1666666666666696</v>
      </c>
      <c r="V621" s="30">
        <f>VLOOKUP($B621,Hitters!$A1:$R401,13,FALSE)</f>
        <v>0.83333333333333304</v>
      </c>
      <c r="W621" s="30">
        <f>VLOOKUP($B621,Hitters!$A1:$R401,14,FALSE)</f>
        <v>14.6666666666667</v>
      </c>
      <c r="X621" s="30">
        <f>VLOOKUP($B621,Hitters!$A1:$R401,15,FALSE)</f>
        <v>46.533333333333303</v>
      </c>
      <c r="Y621" s="32">
        <f>VLOOKUP($B621,Hitters!$A1:$R401,16,FALSE)</f>
        <v>0.36342494714587698</v>
      </c>
      <c r="Z621" s="32">
        <f>VLOOKUP($B621,Hitters!$A1:$R401,17,FALSE)</f>
        <v>0.65802176925693101</v>
      </c>
      <c r="AA621" s="30">
        <f>VLOOKUP($B621,Hitters!$A1:$R401,18,FALSE)</f>
        <v>0</v>
      </c>
      <c r="AB621" s="30"/>
      <c r="AC621" s="30"/>
      <c r="AD621" s="32"/>
      <c r="AE621" s="32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</row>
    <row r="622" spans="1:44" ht="18.600000000000001" customHeight="1">
      <c r="A622" s="24">
        <f ca="1">RANK(I622,I$2:I$651)</f>
        <v>625</v>
      </c>
      <c r="B622" s="25" t="s">
        <v>721</v>
      </c>
      <c r="C622" s="26" t="s">
        <v>309</v>
      </c>
      <c r="D622" s="26" t="s">
        <v>75</v>
      </c>
      <c r="E622" s="33" t="s">
        <v>15</v>
      </c>
      <c r="F622" s="34">
        <f ca="1">VLOOKUP(B622,'3B'!A1:I55,IF(Settings!$J$13="points",4,7),FALSE)</f>
        <v>53</v>
      </c>
      <c r="G622" s="29">
        <f>(M622*Settings!$B$2)+(N622*Settings!$B$3)+(O622*Settings!$B$4)+(P622*Settings!$B$5)+(Q622*Settings!$B$6)+(T622*Settings!$B$9)+(U622*Settings!$B$10)+(V622*Settings!$B$11)+(W622*Settings!$B$12)+(X622*Settings!$B$13)+(AA622*Settings!$B$16)</f>
        <v>116.575</v>
      </c>
      <c r="H622" s="30">
        <f>VLOOKUP(B622,'Standard Deviations'!$A1:$D651,4,FALSE)</f>
        <v>-5.6622870457997045</v>
      </c>
      <c r="I622" s="31">
        <f ca="1">IF(Settings!$J$15="no",VLOOKUP(B622,'3B'!A1:I55,IF(Settings!$J$13="points",6,9),FALSE),VLOOKUP(B622,'1B+3B'!$A1:$I104,IF(Settings!$J$13="points",6,9),FALSE))</f>
        <v>-6.3899640631903036</v>
      </c>
      <c r="J622" s="30"/>
      <c r="K622" s="30">
        <f ca="1">J622-A622</f>
        <v>-625</v>
      </c>
      <c r="L622" s="30"/>
      <c r="M622" s="30">
        <f>VLOOKUP($B622,Hitters!$A1:$R401,4,FALSE)</f>
        <v>169.5</v>
      </c>
      <c r="N622" s="30">
        <f>VLOOKUP($B622,Hitters!$A1:$R401,5,FALSE)</f>
        <v>20.9</v>
      </c>
      <c r="O622" s="30">
        <f>VLOOKUP($B622,Hitters!$A1:$R401,6,FALSE)</f>
        <v>4.9000000000000004</v>
      </c>
      <c r="P622" s="30">
        <f>VLOOKUP($B622,Hitters!$A1:$R401,7,FALSE)</f>
        <v>19.25</v>
      </c>
      <c r="Q622" s="30">
        <f>VLOOKUP($B622,Hitters!$A1:$R401,8,FALSE)</f>
        <v>1</v>
      </c>
      <c r="R622" s="32">
        <f>VLOOKUP($B622,Hitters!$A1:$R401,9,FALSE)</f>
        <v>0.23274336283185801</v>
      </c>
      <c r="S622" s="32">
        <f>VLOOKUP($B622,Hitters!$A1:$R401,10,FALSE)</f>
        <v>0.305856318659606</v>
      </c>
      <c r="T622" s="30">
        <f>VLOOKUP($B622,Hitters!$A1:$R401,11,FALSE)</f>
        <v>39.450000000000003</v>
      </c>
      <c r="U622" s="30">
        <f>VLOOKUP($B622,Hitters!$A1:$R401,12,FALSE)</f>
        <v>8.0500000000000007</v>
      </c>
      <c r="V622" s="30">
        <f>VLOOKUP($B622,Hitters!$A1:$R401,13,FALSE)</f>
        <v>0.7</v>
      </c>
      <c r="W622" s="30">
        <f>VLOOKUP($B622,Hitters!$A1:$R401,14,FALSE)</f>
        <v>18.600000000000001</v>
      </c>
      <c r="X622" s="30">
        <f>VLOOKUP($B622,Hitters!$A1:$R401,15,FALSE)</f>
        <v>42.85</v>
      </c>
      <c r="Y622" s="32">
        <f>VLOOKUP($B622,Hitters!$A1:$R401,16,FALSE)</f>
        <v>0.37522123893805298</v>
      </c>
      <c r="Z622" s="32">
        <f>VLOOKUP($B622,Hitters!$A1:$R401,17,FALSE)</f>
        <v>0.68107755759765998</v>
      </c>
      <c r="AA622" s="30">
        <f>VLOOKUP($B622,Hitters!$A1:$R401,18,FALSE)</f>
        <v>0</v>
      </c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</row>
    <row r="623" spans="1:44" ht="18.600000000000001" customHeight="1">
      <c r="A623" s="24">
        <f ca="1">RANK(I623,I$2:I$651)</f>
        <v>637</v>
      </c>
      <c r="B623" s="25" t="s">
        <v>733</v>
      </c>
      <c r="C623" s="26" t="s">
        <v>72</v>
      </c>
      <c r="D623" s="26" t="s">
        <v>70</v>
      </c>
      <c r="E623" s="39" t="s">
        <v>7</v>
      </c>
      <c r="F623" s="40">
        <f ca="1">VLOOKUP(B623,'1B'!A1:I63,IF(Settings!$J$13="points",4,7),FALSE)</f>
        <v>58</v>
      </c>
      <c r="G623" s="29">
        <f>(M623*Settings!$B$2)+(N623*Settings!$B$3)+(O623*Settings!$B$4)+(P623*Settings!$B$5)+(Q623*Settings!$B$6)+(T623*Settings!$B$9)+(U623*Settings!$B$10)+(V623*Settings!$B$11)+(W623*Settings!$B$12)+(X623*Settings!$B$13)+(AA623*Settings!$B$16)</f>
        <v>116.46666666666665</v>
      </c>
      <c r="H623" s="30">
        <f>VLOOKUP(B623,'Standard Deviations'!$A1:$D651,4,FALSE)</f>
        <v>-4.8398982573407352</v>
      </c>
      <c r="I623" s="31">
        <f ca="1">IF(Settings!$J$15="no",VLOOKUP(B623,'1B'!A1:I63,IF(Settings!$J$13="points",6,9),FALSE),VLOOKUP(B623,'1B+3B'!$A1:$I104,IF(Settings!$J$13="points",6,9),FALSE))</f>
        <v>-7.4194309108458407</v>
      </c>
      <c r="J623" s="30"/>
      <c r="K623" s="30">
        <f ca="1">J623-A623</f>
        <v>-637</v>
      </c>
      <c r="L623" s="30"/>
      <c r="M623" s="30">
        <f>VLOOKUP($B623,Hitters!$A1:$R401,4,FALSE)</f>
        <v>157.333333333333</v>
      </c>
      <c r="N623" s="30">
        <f>VLOOKUP($B623,Hitters!$A1:$R401,5,FALSE)</f>
        <v>18.1666666666667</v>
      </c>
      <c r="O623" s="30">
        <f>VLOOKUP($B623,Hitters!$A1:$R401,6,FALSE)</f>
        <v>6.6333333333333302</v>
      </c>
      <c r="P623" s="30">
        <f>VLOOKUP($B623,Hitters!$A1:$R401,7,FALSE)</f>
        <v>24.1</v>
      </c>
      <c r="Q623" s="30">
        <f>VLOOKUP($B623,Hitters!$A1:$R401,8,FALSE)</f>
        <v>6.6666666666666693E-2</v>
      </c>
      <c r="R623" s="32">
        <f>VLOOKUP($B623,Hitters!$A1:$R401,9,FALSE)</f>
        <v>0.24597457627118599</v>
      </c>
      <c r="S623" s="32">
        <f>VLOOKUP($B623,Hitters!$A1:$R401,10,FALSE)</f>
        <v>0.31755043336739702</v>
      </c>
      <c r="T623" s="30">
        <f>VLOOKUP($B623,Hitters!$A1:$R401,11,FALSE)</f>
        <v>38.700000000000003</v>
      </c>
      <c r="U623" s="30">
        <f>VLOOKUP($B623,Hitters!$A1:$R401,12,FALSE)</f>
        <v>6.7333333333333298</v>
      </c>
      <c r="V623" s="30">
        <f>VLOOKUP($B623,Hitters!$A1:$R401,13,FALSE)</f>
        <v>3.3333333333333298E-2</v>
      </c>
      <c r="W623" s="30">
        <f>VLOOKUP($B623,Hitters!$A1:$R401,14,FALSE)</f>
        <v>17.233333333333299</v>
      </c>
      <c r="X623" s="30">
        <f>VLOOKUP($B623,Hitters!$A1:$R401,15,FALSE)</f>
        <v>43.933333333333302</v>
      </c>
      <c r="Y623" s="32">
        <f>VLOOKUP($B623,Hitters!$A1:$R401,16,FALSE)</f>
        <v>0.415677966101695</v>
      </c>
      <c r="Z623" s="32">
        <f>VLOOKUP($B623,Hitters!$A1:$R401,17,FALSE)</f>
        <v>0.73322839946909202</v>
      </c>
      <c r="AA623" s="30">
        <f>VLOOKUP($B623,Hitters!$A1:$R401,18,FALSE)</f>
        <v>0</v>
      </c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</row>
    <row r="624" spans="1:44" ht="18.600000000000001" customHeight="1">
      <c r="A624" s="24">
        <f ca="1">RANK(I624,I$2:I$651)</f>
        <v>570</v>
      </c>
      <c r="B624" s="25" t="s">
        <v>667</v>
      </c>
      <c r="C624" s="26" t="s">
        <v>64</v>
      </c>
      <c r="D624" s="26" t="s">
        <v>75</v>
      </c>
      <c r="E624" s="27" t="s">
        <v>23</v>
      </c>
      <c r="F624" s="28">
        <f ca="1">VLOOKUP(B624,OF!A1:I139,IF(Settings!$J$13="points",4,7),FALSE)</f>
        <v>126</v>
      </c>
      <c r="G624" s="29">
        <f>(M624*Settings!$B$2)+(N624*Settings!$B$3)+(O624*Settings!$B$4)+(P624*Settings!$B$5)+(Q624*Settings!$B$6)+(T624*Settings!$B$9)+(U624*Settings!$B$10)+(V624*Settings!$B$11)+(W624*Settings!$B$12)+(X624*Settings!$B$13)+(AA624*Settings!$B$16)</f>
        <v>115.58333333333339</v>
      </c>
      <c r="H624" s="30">
        <f>VLOOKUP(B624,'Standard Deviations'!$A1:$D651,4,FALSE)</f>
        <v>-4.5931017429464767</v>
      </c>
      <c r="I624" s="31">
        <f ca="1">VLOOKUP(B624,OF!A1:I139,IF(Settings!$J$13="points",6,9),FALSE)</f>
        <v>-4.7118126325226797</v>
      </c>
      <c r="J624" s="30"/>
      <c r="K624" s="30">
        <f ca="1">J624-A624</f>
        <v>-570</v>
      </c>
      <c r="L624" s="30"/>
      <c r="M624" s="30">
        <f>VLOOKUP($B624,Hitters!$A1:$R401,4,FALSE)</f>
        <v>191.666666666667</v>
      </c>
      <c r="N624" s="30">
        <f>VLOOKUP($B624,Hitters!$A1:$R401,5,FALSE)</f>
        <v>22.433333333333302</v>
      </c>
      <c r="O624" s="30">
        <f>VLOOKUP($B624,Hitters!$A1:$R401,6,FALSE)</f>
        <v>1.5333333333333301</v>
      </c>
      <c r="P624" s="30">
        <f>VLOOKUP($B624,Hitters!$A1:$R401,7,FALSE)</f>
        <v>14.766666666666699</v>
      </c>
      <c r="Q624" s="30">
        <f>VLOOKUP($B624,Hitters!$A1:$R401,8,FALSE)</f>
        <v>5.9666666666666703</v>
      </c>
      <c r="R624" s="32">
        <f>VLOOKUP($B624,Hitters!$A1:$R401,9,FALSE)</f>
        <v>0.250782608695652</v>
      </c>
      <c r="S624" s="32">
        <f>VLOOKUP($B624,Hitters!$A1:$R401,10,FALSE)</f>
        <v>0.289642828085591</v>
      </c>
      <c r="T624" s="30">
        <f>VLOOKUP($B624,Hitters!$A1:$R401,11,FALSE)</f>
        <v>48.066666666666698</v>
      </c>
      <c r="U624" s="30">
        <f>VLOOKUP($B624,Hitters!$A1:$R401,12,FALSE)</f>
        <v>8.7333333333333307</v>
      </c>
      <c r="V624" s="30">
        <f>VLOOKUP($B624,Hitters!$A1:$R401,13,FALSE)</f>
        <v>2.1</v>
      </c>
      <c r="W624" s="30">
        <f>VLOOKUP($B624,Hitters!$A1:$R401,14,FALSE)</f>
        <v>11.266666666666699</v>
      </c>
      <c r="X624" s="30">
        <f>VLOOKUP($B624,Hitters!$A1:$R401,15,FALSE)</f>
        <v>45.566666666666698</v>
      </c>
      <c r="Y624" s="32">
        <f>VLOOKUP($B624,Hitters!$A1:$R401,16,FALSE)</f>
        <v>0.34226086956521701</v>
      </c>
      <c r="Z624" s="32">
        <f>VLOOKUP($B624,Hitters!$A1:$R401,17,FALSE)</f>
        <v>0.63190369765080801</v>
      </c>
      <c r="AA624" s="30">
        <f>VLOOKUP($B624,Hitters!$A1:$R401,18,FALSE)</f>
        <v>0</v>
      </c>
      <c r="AB624" s="30"/>
      <c r="AC624" s="30"/>
      <c r="AD624" s="32"/>
      <c r="AE624" s="32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</row>
    <row r="625" spans="1:44" ht="18.600000000000001" customHeight="1">
      <c r="A625" s="24">
        <f ca="1">RANK(I625,I$2:I$651)</f>
        <v>599</v>
      </c>
      <c r="B625" s="25" t="s">
        <v>695</v>
      </c>
      <c r="C625" s="26" t="s">
        <v>116</v>
      </c>
      <c r="D625" s="26" t="s">
        <v>70</v>
      </c>
      <c r="E625" s="33" t="s">
        <v>15</v>
      </c>
      <c r="F625" s="34">
        <f ca="1">VLOOKUP(B625,'3B'!A1:I55,IF(Settings!$J$13="points",4,7),FALSE)</f>
        <v>47</v>
      </c>
      <c r="G625" s="29">
        <f>(M625*Settings!$B$2)+(N625*Settings!$B$3)+(O625*Settings!$B$4)+(P625*Settings!$B$5)+(Q625*Settings!$B$6)+(T625*Settings!$B$9)+(U625*Settings!$B$10)+(V625*Settings!$B$11)+(W625*Settings!$B$12)+(X625*Settings!$B$13)+(AA625*Settings!$B$16)</f>
        <v>114.8833333333334</v>
      </c>
      <c r="H625" s="30">
        <f>VLOOKUP(B625,'Standard Deviations'!$A1:$D651,4,FALSE)</f>
        <v>-4.6376045084153006</v>
      </c>
      <c r="I625" s="31">
        <f ca="1">IF(Settings!$J$15="no",VLOOKUP(B625,'3B'!A1:I55,IF(Settings!$J$13="points",6,9),FALSE),VLOOKUP(B625,'1B+3B'!$A1:$I104,IF(Settings!$J$13="points",6,9),FALSE))</f>
        <v>-5.3652803929839088</v>
      </c>
      <c r="J625" s="30"/>
      <c r="K625" s="30">
        <f ca="1">J625-A625</f>
        <v>-599</v>
      </c>
      <c r="L625" s="30"/>
      <c r="M625" s="30">
        <f>VLOOKUP($B625,Hitters!$A1:$R401,4,FALSE)</f>
        <v>157.666666666667</v>
      </c>
      <c r="N625" s="30">
        <f>VLOOKUP($B625,Hitters!$A1:$R401,5,FALSE)</f>
        <v>19.966666666666701</v>
      </c>
      <c r="O625" s="30">
        <f>VLOOKUP($B625,Hitters!$A1:$R401,6,FALSE)</f>
        <v>6.6</v>
      </c>
      <c r="P625" s="30">
        <f>VLOOKUP($B625,Hitters!$A1:$R401,7,FALSE)</f>
        <v>21.466666666666701</v>
      </c>
      <c r="Q625" s="30">
        <f>VLOOKUP($B625,Hitters!$A1:$R401,8,FALSE)</f>
        <v>0.5</v>
      </c>
      <c r="R625" s="32">
        <f>VLOOKUP($B625,Hitters!$A1:$R401,9,FALSE)</f>
        <v>0.24968287526427099</v>
      </c>
      <c r="S625" s="32">
        <f>VLOOKUP($B625,Hitters!$A1:$R401,10,FALSE)</f>
        <v>0.29791304687347497</v>
      </c>
      <c r="T625" s="30">
        <f>VLOOKUP($B625,Hitters!$A1:$R401,11,FALSE)</f>
        <v>39.366666666666703</v>
      </c>
      <c r="U625" s="30">
        <f>VLOOKUP($B625,Hitters!$A1:$R401,12,FALSE)</f>
        <v>8.1333333333333293</v>
      </c>
      <c r="V625" s="30">
        <f>VLOOKUP($B625,Hitters!$A1:$R401,13,FALSE)</f>
        <v>1.2333333333333301</v>
      </c>
      <c r="W625" s="30">
        <f>VLOOKUP($B625,Hitters!$A1:$R401,14,FALSE)</f>
        <v>11.5</v>
      </c>
      <c r="X625" s="30">
        <f>VLOOKUP($B625,Hitters!$A1:$R401,15,FALSE)</f>
        <v>49.566666666666698</v>
      </c>
      <c r="Y625" s="32">
        <f>VLOOKUP($B625,Hitters!$A1:$R401,16,FALSE)</f>
        <v>0.44249471458773798</v>
      </c>
      <c r="Z625" s="32">
        <f>VLOOKUP($B625,Hitters!$A1:$R401,17,FALSE)</f>
        <v>0.74040776146121301</v>
      </c>
      <c r="AA625" s="30">
        <f>VLOOKUP($B625,Hitters!$A1:$R401,18,FALSE)</f>
        <v>0</v>
      </c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</row>
    <row r="626" spans="1:44" ht="18.600000000000001" customHeight="1">
      <c r="A626" s="24">
        <f ca="1">RANK(I626,I$2:I$651)</f>
        <v>622</v>
      </c>
      <c r="B626" s="25" t="s">
        <v>718</v>
      </c>
      <c r="C626" s="26" t="s">
        <v>99</v>
      </c>
      <c r="D626" s="26" t="s">
        <v>75</v>
      </c>
      <c r="E626" s="33" t="s">
        <v>15</v>
      </c>
      <c r="F626" s="34">
        <f ca="1">VLOOKUP(B626,'3B'!A1:I55,IF(Settings!$J$13="points",4,7),FALSE)</f>
        <v>51</v>
      </c>
      <c r="G626" s="29">
        <f>(M626*Settings!$B$2)+(N626*Settings!$B$3)+(O626*Settings!$B$4)+(P626*Settings!$B$5)+(Q626*Settings!$B$6)+(T626*Settings!$B$9)+(U626*Settings!$B$10)+(V626*Settings!$B$11)+(W626*Settings!$B$12)+(X626*Settings!$B$13)+(AA626*Settings!$B$16)</f>
        <v>113.39999999999999</v>
      </c>
      <c r="H626" s="30">
        <f>VLOOKUP(B626,'Standard Deviations'!$A1:$D651,4,FALSE)</f>
        <v>-5.5401670033558128</v>
      </c>
      <c r="I626" s="31">
        <f ca="1">IF(Settings!$J$15="no",VLOOKUP(B626,'3B'!A1:I55,IF(Settings!$J$13="points",6,9),FALSE),VLOOKUP(B626,'1B+3B'!$A1:$I104,IF(Settings!$J$13="points",6,9),FALSE))</f>
        <v>-6.267842857624573</v>
      </c>
      <c r="J626" s="30"/>
      <c r="K626" s="30">
        <f ca="1">J626-A626</f>
        <v>-622</v>
      </c>
      <c r="L626" s="30"/>
      <c r="M626" s="30">
        <f>VLOOKUP($B626,Hitters!$A1:$R401,4,FALSE)</f>
        <v>167</v>
      </c>
      <c r="N626" s="30">
        <f>VLOOKUP($B626,Hitters!$A1:$R401,5,FALSE)</f>
        <v>20.95</v>
      </c>
      <c r="O626" s="30">
        <f>VLOOKUP($B626,Hitters!$A1:$R401,6,FALSE)</f>
        <v>5.9</v>
      </c>
      <c r="P626" s="30">
        <f>VLOOKUP($B626,Hitters!$A1:$R401,7,FALSE)</f>
        <v>20.75</v>
      </c>
      <c r="Q626" s="30">
        <f>VLOOKUP($B626,Hitters!$A1:$R401,8,FALSE)</f>
        <v>1.8</v>
      </c>
      <c r="R626" s="32">
        <f>VLOOKUP($B626,Hitters!$A1:$R401,9,FALSE)</f>
        <v>0.22874251497006001</v>
      </c>
      <c r="S626" s="32">
        <f>VLOOKUP($B626,Hitters!$A1:$R401,10,FALSE)</f>
        <v>0.29464237443909802</v>
      </c>
      <c r="T626" s="30">
        <f>VLOOKUP($B626,Hitters!$A1:$R401,11,FALSE)</f>
        <v>38.200000000000003</v>
      </c>
      <c r="U626" s="30">
        <f>VLOOKUP($B626,Hitters!$A1:$R401,12,FALSE)</f>
        <v>7.6</v>
      </c>
      <c r="V626" s="30">
        <f>VLOOKUP($B626,Hitters!$A1:$R401,13,FALSE)</f>
        <v>0.25</v>
      </c>
      <c r="W626" s="30">
        <f>VLOOKUP($B626,Hitters!$A1:$R401,14,FALSE)</f>
        <v>16.3</v>
      </c>
      <c r="X626" s="30">
        <f>VLOOKUP($B626,Hitters!$A1:$R401,15,FALSE)</f>
        <v>51.9</v>
      </c>
      <c r="Y626" s="32">
        <f>VLOOKUP($B626,Hitters!$A1:$R401,16,FALSE)</f>
        <v>0.38323353293413198</v>
      </c>
      <c r="Z626" s="32">
        <f>VLOOKUP($B626,Hitters!$A1:$R401,17,FALSE)</f>
        <v>0.67787590737323</v>
      </c>
      <c r="AA626" s="30">
        <f>VLOOKUP($B626,Hitters!$A1:$R401,18,FALSE)</f>
        <v>0</v>
      </c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</row>
    <row r="627" spans="1:44" ht="18.600000000000001" customHeight="1">
      <c r="A627" s="24">
        <f ca="1">RANK(I627,I$2:I$651)</f>
        <v>630</v>
      </c>
      <c r="B627" s="25" t="s">
        <v>726</v>
      </c>
      <c r="C627" s="26" t="s">
        <v>142</v>
      </c>
      <c r="D627" s="26" t="s">
        <v>70</v>
      </c>
      <c r="E627" s="27" t="s">
        <v>23</v>
      </c>
      <c r="F627" s="28">
        <f ca="1">VLOOKUP(B627,OF!A1:I139,IF(Settings!$J$13="points",4,7),FALSE)</f>
        <v>136</v>
      </c>
      <c r="G627" s="29">
        <f>(M627*Settings!$B$2)+(N627*Settings!$B$3)+(O627*Settings!$B$4)+(P627*Settings!$B$5)+(Q627*Settings!$B$6)+(T627*Settings!$B$9)+(U627*Settings!$B$10)+(V627*Settings!$B$11)+(W627*Settings!$B$12)+(X627*Settings!$B$13)+(AA627*Settings!$B$16)</f>
        <v>112.44999999999995</v>
      </c>
      <c r="H627" s="30">
        <f>VLOOKUP(B627,'Standard Deviations'!$A1:$D651,4,FALSE)</f>
        <v>-6.6186662689508466</v>
      </c>
      <c r="I627" s="31">
        <f ca="1">VLOOKUP(B627,OF!A1:I139,IF(Settings!$J$13="points",6,9),FALSE)</f>
        <v>-6.7373813887861083</v>
      </c>
      <c r="J627" s="30"/>
      <c r="K627" s="30">
        <f ca="1">J627-A627</f>
        <v>-630</v>
      </c>
      <c r="L627" s="30"/>
      <c r="M627" s="30">
        <f>VLOOKUP($B627,Hitters!$A1:$R401,4,FALSE)</f>
        <v>209.333333333333</v>
      </c>
      <c r="N627" s="30">
        <f>VLOOKUP($B627,Hitters!$A1:$R401,5,FALSE)</f>
        <v>20.566666666666698</v>
      </c>
      <c r="O627" s="30">
        <f>VLOOKUP($B627,Hitters!$A1:$R401,6,FALSE)</f>
        <v>4.6333333333333302</v>
      </c>
      <c r="P627" s="30">
        <f>VLOOKUP($B627,Hitters!$A1:$R401,7,FALSE)</f>
        <v>19.533333333333299</v>
      </c>
      <c r="Q627" s="30">
        <f>VLOOKUP($B627,Hitters!$A1:$R401,8,FALSE)</f>
        <v>2.8666666666666698</v>
      </c>
      <c r="R627" s="32">
        <f>VLOOKUP($B627,Hitters!$A1:$R401,9,FALSE)</f>
        <v>0.20812101910827999</v>
      </c>
      <c r="S627" s="32">
        <f>VLOOKUP($B627,Hitters!$A1:$R401,10,FALSE)</f>
        <v>0.25415444770283502</v>
      </c>
      <c r="T627" s="30">
        <f>VLOOKUP($B627,Hitters!$A1:$R401,11,FALSE)</f>
        <v>43.566666666666698</v>
      </c>
      <c r="U627" s="30">
        <f>VLOOKUP($B627,Hitters!$A1:$R401,12,FALSE)</f>
        <v>8.8333333333333304</v>
      </c>
      <c r="V627" s="30">
        <f>VLOOKUP($B627,Hitters!$A1:$R401,13,FALSE)</f>
        <v>1.13333333333333</v>
      </c>
      <c r="W627" s="30">
        <f>VLOOKUP($B627,Hitters!$A1:$R401,14,FALSE)</f>
        <v>13.633333333333301</v>
      </c>
      <c r="X627" s="30">
        <f>VLOOKUP($B627,Hitters!$A1:$R401,15,FALSE)</f>
        <v>60.366666666666703</v>
      </c>
      <c r="Y627" s="32">
        <f>VLOOKUP($B627,Hitters!$A1:$R401,16,FALSE)</f>
        <v>0.32754777070063701</v>
      </c>
      <c r="Z627" s="32">
        <f>VLOOKUP($B627,Hitters!$A1:$R401,17,FALSE)</f>
        <v>0.58170221840347203</v>
      </c>
      <c r="AA627" s="30">
        <f>VLOOKUP($B627,Hitters!$A1:$R401,18,FALSE)</f>
        <v>0</v>
      </c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</row>
    <row r="628" spans="1:44" ht="18.600000000000001" customHeight="1">
      <c r="A628" s="24">
        <f ca="1">RANK(I628,I$2:I$651)</f>
        <v>600</v>
      </c>
      <c r="B628" s="25" t="s">
        <v>696</v>
      </c>
      <c r="C628" s="26" t="s">
        <v>136</v>
      </c>
      <c r="D628" s="26" t="s">
        <v>75</v>
      </c>
      <c r="E628" s="33" t="s">
        <v>15</v>
      </c>
      <c r="F628" s="34">
        <f ca="1">VLOOKUP(B628,'3B'!A1:I55,IF(Settings!$J$13="points",4,7),FALSE)</f>
        <v>48</v>
      </c>
      <c r="G628" s="29">
        <f>(M628*Settings!$B$2)+(N628*Settings!$B$3)+(O628*Settings!$B$4)+(P628*Settings!$B$5)+(Q628*Settings!$B$6)+(T628*Settings!$B$9)+(U628*Settings!$B$10)+(V628*Settings!$B$11)+(W628*Settings!$B$12)+(X628*Settings!$B$13)+(AA628*Settings!$B$16)</f>
        <v>111.29999999999997</v>
      </c>
      <c r="H628" s="30">
        <f>VLOOKUP(B628,'Standard Deviations'!$A1:$D651,4,FALSE)</f>
        <v>-4.6968024167089615</v>
      </c>
      <c r="I628" s="31">
        <f ca="1">IF(Settings!$J$15="no",VLOOKUP(B628,'3B'!A1:I55,IF(Settings!$J$13="points",6,9),FALSE),VLOOKUP(B628,'1B+3B'!$A1:$I104,IF(Settings!$J$13="points",6,9),FALSE))</f>
        <v>-5.4244798259470945</v>
      </c>
      <c r="J628" s="30"/>
      <c r="K628" s="30">
        <f ca="1">J628-A628</f>
        <v>-600</v>
      </c>
      <c r="L628" s="30"/>
      <c r="M628" s="30">
        <f>VLOOKUP($B628,Hitters!$A1:$R401,4,FALSE)</f>
        <v>186.333333333333</v>
      </c>
      <c r="N628" s="30">
        <f>VLOOKUP($B628,Hitters!$A1:$R401,5,FALSE)</f>
        <v>23.6</v>
      </c>
      <c r="O628" s="30">
        <f>VLOOKUP($B628,Hitters!$A1:$R401,6,FALSE)</f>
        <v>3.1333333333333302</v>
      </c>
      <c r="P628" s="30">
        <f>VLOOKUP($B628,Hitters!$A1:$R401,7,FALSE)</f>
        <v>14.8333333333333</v>
      </c>
      <c r="Q628" s="30">
        <f>VLOOKUP($B628,Hitters!$A1:$R401,8,FALSE)</f>
        <v>0.66666666666666696</v>
      </c>
      <c r="R628" s="32">
        <f>VLOOKUP($B628,Hitters!$A1:$R401,9,FALSE)</f>
        <v>0.25974955277280898</v>
      </c>
      <c r="S628" s="32">
        <f>VLOOKUP($B628,Hitters!$A1:$R401,10,FALSE)</f>
        <v>0.31838645191698201</v>
      </c>
      <c r="T628" s="30">
        <f>VLOOKUP($B628,Hitters!$A1:$R401,11,FALSE)</f>
        <v>48.4</v>
      </c>
      <c r="U628" s="30">
        <f>VLOOKUP($B628,Hitters!$A1:$R401,12,FALSE)</f>
        <v>5.93333333333333</v>
      </c>
      <c r="V628" s="30">
        <f>VLOOKUP($B628,Hitters!$A1:$R401,13,FALSE)</f>
        <v>0.46666666666666701</v>
      </c>
      <c r="W628" s="30">
        <f>VLOOKUP($B628,Hitters!$A1:$R401,14,FALSE)</f>
        <v>16.899999999999999</v>
      </c>
      <c r="X628" s="30">
        <f>VLOOKUP($B628,Hitters!$A1:$R401,15,FALSE)</f>
        <v>39.133333333333297</v>
      </c>
      <c r="Y628" s="32">
        <f>VLOOKUP($B628,Hitters!$A1:$R401,16,FALSE)</f>
        <v>0.34704830053667302</v>
      </c>
      <c r="Z628" s="32">
        <f>VLOOKUP($B628,Hitters!$A1:$R401,17,FALSE)</f>
        <v>0.66543475245365502</v>
      </c>
      <c r="AA628" s="30">
        <f>VLOOKUP($B628,Hitters!$A1:$R401,18,FALSE)</f>
        <v>0</v>
      </c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</row>
    <row r="629" spans="1:44" ht="18.600000000000001" customHeight="1">
      <c r="A629" s="24">
        <f ca="1">RANK(I629,I$2:I$651)</f>
        <v>596</v>
      </c>
      <c r="B629" s="25" t="s">
        <v>692</v>
      </c>
      <c r="C629" s="26" t="s">
        <v>119</v>
      </c>
      <c r="D629" s="26" t="s">
        <v>70</v>
      </c>
      <c r="E629" s="33" t="s">
        <v>15</v>
      </c>
      <c r="F629" s="34">
        <f ca="1">VLOOKUP(B629,'3B'!A1:I55,IF(Settings!$J$13="points",4,7),FALSE)</f>
        <v>46</v>
      </c>
      <c r="G629" s="29">
        <f>(M629*Settings!$B$2)+(N629*Settings!$B$3)+(O629*Settings!$B$4)+(P629*Settings!$B$5)+(Q629*Settings!$B$6)+(T629*Settings!$B$9)+(U629*Settings!$B$10)+(V629*Settings!$B$11)+(W629*Settings!$B$12)+(X629*Settings!$B$13)+(AA629*Settings!$B$16)</f>
        <v>111.13333333333341</v>
      </c>
      <c r="H629" s="30">
        <f>VLOOKUP(B629,'Standard Deviations'!$A1:$D651,4,FALSE)</f>
        <v>-4.6074616429854762</v>
      </c>
      <c r="I629" s="31">
        <f ca="1">IF(Settings!$J$15="no",VLOOKUP(B629,'3B'!A1:I55,IF(Settings!$J$13="points",6,9),FALSE),VLOOKUP(B629,'1B+3B'!$A1:$I104,IF(Settings!$J$13="points",6,9),FALSE))</f>
        <v>-5.3351373987964008</v>
      </c>
      <c r="J629" s="30"/>
      <c r="K629" s="30">
        <f ca="1">J629-A629</f>
        <v>-596</v>
      </c>
      <c r="L629" s="30"/>
      <c r="M629" s="30">
        <f>VLOOKUP($B629,Hitters!$A1:$R401,4,FALSE)</f>
        <v>188</v>
      </c>
      <c r="N629" s="30">
        <f>VLOOKUP($B629,Hitters!$A1:$R401,5,FALSE)</f>
        <v>19.6666666666667</v>
      </c>
      <c r="O629" s="30">
        <f>VLOOKUP($B629,Hitters!$A1:$R401,6,FALSE)</f>
        <v>2.2999999999999998</v>
      </c>
      <c r="P629" s="30">
        <f>VLOOKUP($B629,Hitters!$A1:$R401,7,FALSE)</f>
        <v>17.133333333333301</v>
      </c>
      <c r="Q629" s="30">
        <f>VLOOKUP($B629,Hitters!$A1:$R401,8,FALSE)</f>
        <v>2.0333333333333301</v>
      </c>
      <c r="R629" s="32">
        <f>VLOOKUP($B629,Hitters!$A1:$R401,9,FALSE)</f>
        <v>0.26099290780141798</v>
      </c>
      <c r="S629" s="32">
        <f>VLOOKUP($B629,Hitters!$A1:$R401,10,FALSE)</f>
        <v>0.31526566602911099</v>
      </c>
      <c r="T629" s="30">
        <f>VLOOKUP($B629,Hitters!$A1:$R401,11,FALSE)</f>
        <v>49.066666666666698</v>
      </c>
      <c r="U629" s="30">
        <f>VLOOKUP($B629,Hitters!$A1:$R401,12,FALSE)</f>
        <v>8.1</v>
      </c>
      <c r="V629" s="30">
        <f>VLOOKUP($B629,Hitters!$A1:$R401,13,FALSE)</f>
        <v>0.1</v>
      </c>
      <c r="W629" s="30">
        <f>VLOOKUP($B629,Hitters!$A1:$R401,14,FALSE)</f>
        <v>15.766666666666699</v>
      </c>
      <c r="X629" s="30">
        <f>VLOOKUP($B629,Hitters!$A1:$R401,15,FALSE)</f>
        <v>40.533333333333303</v>
      </c>
      <c r="Y629" s="32">
        <f>VLOOKUP($B629,Hitters!$A1:$R401,16,FALSE)</f>
        <v>0.341843971631206</v>
      </c>
      <c r="Z629" s="32">
        <f>VLOOKUP($B629,Hitters!$A1:$R401,17,FALSE)</f>
        <v>0.65710963766031705</v>
      </c>
      <c r="AA629" s="30">
        <f>VLOOKUP($B629,Hitters!$A1:$R401,18,FALSE)</f>
        <v>0</v>
      </c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</row>
    <row r="630" spans="1:44" ht="18.600000000000001" customHeight="1">
      <c r="A630" s="24">
        <f ca="1">RANK(I630,I$2:I$651)</f>
        <v>612</v>
      </c>
      <c r="B630" s="49" t="s">
        <v>708</v>
      </c>
      <c r="C630" s="49" t="s">
        <v>116</v>
      </c>
      <c r="D630" s="26" t="s">
        <v>70</v>
      </c>
      <c r="E630" s="45" t="s">
        <v>19</v>
      </c>
      <c r="F630" s="46">
        <f ca="1">VLOOKUP(B630,'C'!A1:I54,IF(Settings!$J$13="points",4,7),FALSE)</f>
        <v>53</v>
      </c>
      <c r="G630" s="29">
        <f>(M630*Settings!$B$2)+(N630*Settings!$B$3)+(O630*Settings!$B$4)+(P630*Settings!$B$5)+(Q630*Settings!$B$6)+(T630*Settings!$B$9)+(U630*Settings!$B$10)+(V630*Settings!$B$11)+(W630*Settings!$B$12)+(X630*Settings!$B$13)+(AA630*Settings!$B$16)</f>
        <v>111.00000000000001</v>
      </c>
      <c r="H630" s="30">
        <f>VLOOKUP(B630,'Standard Deviations'!$A1:$D651,4,FALSE)</f>
        <v>-6.0915596417547562</v>
      </c>
      <c r="I630" s="31">
        <f ca="1">VLOOKUP(B630,'C'!A1:I54,IF(Settings!$J$13="points",6,9),FALSE)</f>
        <v>-5.7744615421380816</v>
      </c>
      <c r="J630" s="30"/>
      <c r="K630" s="30">
        <f ca="1">J630-A630</f>
        <v>-612</v>
      </c>
      <c r="L630" s="30"/>
      <c r="M630" s="30">
        <f>VLOOKUP($B630,Hitters!$A1:$R401,4,FALSE)</f>
        <v>188</v>
      </c>
      <c r="N630" s="30">
        <f>VLOOKUP($B630,Hitters!$A1:$R401,5,FALSE)</f>
        <v>23.133333333333301</v>
      </c>
      <c r="O630" s="30">
        <f>VLOOKUP($B630,Hitters!$A1:$R401,6,FALSE)</f>
        <v>5.5</v>
      </c>
      <c r="P630" s="30">
        <f>VLOOKUP($B630,Hitters!$A1:$R401,7,FALSE)</f>
        <v>21.866666666666699</v>
      </c>
      <c r="Q630" s="30">
        <f>VLOOKUP($B630,Hitters!$A1:$R401,8,FALSE)</f>
        <v>0.233333333333333</v>
      </c>
      <c r="R630" s="32">
        <f>VLOOKUP($B630,Hitters!$A1:$R401,9,FALSE)</f>
        <v>0.22021276595744699</v>
      </c>
      <c r="S630" s="32">
        <f>VLOOKUP($B630,Hitters!$A1:$R401,10,FALSE)</f>
        <v>0.28574177410044299</v>
      </c>
      <c r="T630" s="30">
        <f>VLOOKUP($B630,Hitters!$A1:$R401,11,FALSE)</f>
        <v>41.4</v>
      </c>
      <c r="U630" s="30">
        <f>VLOOKUP($B630,Hitters!$A1:$R401,12,FALSE)</f>
        <v>10.5</v>
      </c>
      <c r="V630" s="30">
        <f>VLOOKUP($B630,Hitters!$A1:$R401,13,FALSE)</f>
        <v>6.6666666666666693E-2</v>
      </c>
      <c r="W630" s="30">
        <f>VLOOKUP($B630,Hitters!$A1:$R401,14,FALSE)</f>
        <v>18</v>
      </c>
      <c r="X630" s="30">
        <f>VLOOKUP($B630,Hitters!$A1:$R401,15,FALSE)</f>
        <v>74.133333333333297</v>
      </c>
      <c r="Y630" s="32">
        <f>VLOOKUP($B630,Hitters!$A1:$R401,16,FALSE)</f>
        <v>0.364539007092199</v>
      </c>
      <c r="Z630" s="32">
        <f>VLOOKUP($B630,Hitters!$A1:$R401,17,FALSE)</f>
        <v>0.65028078119264099</v>
      </c>
      <c r="AA630" s="30">
        <f>VLOOKUP($B630,Hitters!$A1:$R401,18,FALSE)</f>
        <v>0</v>
      </c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</row>
    <row r="631" spans="1:44" ht="18.600000000000001" customHeight="1">
      <c r="A631" s="24">
        <f ca="1">RANK(I631,I$2:I$651)</f>
        <v>414</v>
      </c>
      <c r="B631" s="25" t="s">
        <v>511</v>
      </c>
      <c r="C631" s="26" t="s">
        <v>74</v>
      </c>
      <c r="D631" s="26" t="s">
        <v>75</v>
      </c>
      <c r="E631" s="41" t="s">
        <v>34</v>
      </c>
      <c r="F631" s="42">
        <f ca="1">VLOOKUP(B631,RP!A1:I91,IF(Settings!$J$13="points",4,7),FALSE)</f>
        <v>46</v>
      </c>
      <c r="G631" s="29">
        <f>(AC631*Settings!$F$2)+(AF631*Settings!$F$5)+(AG631*Settings!$F$6)+(AH631*Settings!$F$7)+(AI631*Settings!$F$8)+(AJ631*Settings!$F$9)+(AK631*Settings!$F$10)+(AL631*Settings!$F$11)+(AM631*Settings!$F$12)+(AN631*Settings!$F$13)+(AO631*Settings!$F$14)+(AP631*Settings!$F$15)+(AQ631*Settings!$F$16)+(AR631*Settings!$F$17)</f>
        <v>110.93333333333331</v>
      </c>
      <c r="H631" s="30">
        <f>VLOOKUP(B631,'Standard Deviations'!$A1:$D651,4,FALSE)</f>
        <v>-1.0810387775825068</v>
      </c>
      <c r="I631" s="31">
        <f ca="1">IF(Settings!$J$16="no",VLOOKUP(B631,RP!A1:I91,IF(Settings!$J$13="points",6,9),FALSE),VLOOKUP(B631,'SP+RP'!$A1:$I251,IF(Settings!$J$13="points",6,9),FALSE))</f>
        <v>-2.6521005696891038</v>
      </c>
      <c r="J631" s="30"/>
      <c r="K631" s="30">
        <f ca="1">J631-A631</f>
        <v>-414</v>
      </c>
      <c r="L631" s="30"/>
      <c r="M631" s="30"/>
      <c r="N631" s="30"/>
      <c r="O631" s="30"/>
      <c r="P631" s="30"/>
      <c r="Q631" s="30"/>
      <c r="R631" s="32"/>
      <c r="S631" s="32"/>
      <c r="T631" s="30"/>
      <c r="U631" s="30"/>
      <c r="V631" s="30"/>
      <c r="W631" s="30"/>
      <c r="X631" s="30"/>
      <c r="Y631" s="32"/>
      <c r="Z631" s="32"/>
      <c r="AA631" s="30"/>
      <c r="AB631" s="30"/>
      <c r="AC631" s="30">
        <f>VLOOKUP($B631,Pitchers!$A1:$S251,4,FALSE)</f>
        <v>46.9</v>
      </c>
      <c r="AD631" s="32">
        <f>VLOOKUP($B631,Pitchers!$A1:$S251,5,FALSE)</f>
        <v>3.2750533049040511</v>
      </c>
      <c r="AE631" s="32">
        <f>VLOOKUP($B631,Pitchers!$A1:$S251,6,FALSE)</f>
        <v>1.1321961620469083</v>
      </c>
      <c r="AF631" s="30">
        <f>VLOOKUP($B631,Pitchers!$A1:$S251,7,FALSE)</f>
        <v>51.266666666666673</v>
      </c>
      <c r="AG631" s="30">
        <f>VLOOKUP($B631,Pitchers!$A1:$S251,8,FALSE)</f>
        <v>3.4666666666666668</v>
      </c>
      <c r="AH631" s="30">
        <f>VLOOKUP($B631,Pitchers!$A1:$S251,9,FALSE)</f>
        <v>0</v>
      </c>
      <c r="AI631" s="30">
        <f>VLOOKUP($B631,Pitchers!$A1:$S251,10,FALSE)</f>
        <v>17.066666666666666</v>
      </c>
      <c r="AJ631" s="30">
        <f>VLOOKUP($B631,Pitchers!$A1:$S251,11,FALSE)</f>
        <v>41.166666666666664</v>
      </c>
      <c r="AK631" s="30">
        <f>VLOOKUP($B631,Pitchers!$A1:$S251,12,FALSE)</f>
        <v>11.933333333333332</v>
      </c>
      <c r="AL631" s="30">
        <f>VLOOKUP($B631,Pitchers!$A1:$S251,13,FALSE)</f>
        <v>7</v>
      </c>
      <c r="AM631" s="30">
        <f>VLOOKUP($B631,Pitchers!$A1:$S251,14,FALSE)</f>
        <v>43.566666666666663</v>
      </c>
      <c r="AN631" s="30">
        <f>VLOOKUP($B631,Pitchers!$A1:$S251,15,FALSE)</f>
        <v>0</v>
      </c>
      <c r="AO631" s="30">
        <f>VLOOKUP($B631,Pitchers!$A1:$S251,16,FALSE)</f>
        <v>1.9000000000000001</v>
      </c>
      <c r="AP631" s="30">
        <f>VLOOKUP($B631,Pitchers!$A1:$S251,17,FALSE)</f>
        <v>0</v>
      </c>
      <c r="AQ631" s="30">
        <f>VLOOKUP($B631,Pitchers!$A1:$S251,18,FALSE)</f>
        <v>11</v>
      </c>
      <c r="AR631" s="30">
        <f>VLOOKUP($B631,Pitchers!$A1:$S251,19,FALSE)</f>
        <v>2</v>
      </c>
    </row>
    <row r="632" spans="1:44" ht="18.600000000000001" customHeight="1">
      <c r="A632" s="24">
        <f ca="1">RANK(I632,I$2:I$651)</f>
        <v>636</v>
      </c>
      <c r="B632" s="25" t="s">
        <v>732</v>
      </c>
      <c r="C632" s="26" t="s">
        <v>116</v>
      </c>
      <c r="D632" s="26" t="s">
        <v>70</v>
      </c>
      <c r="E632" s="47" t="s">
        <v>11</v>
      </c>
      <c r="F632" s="48">
        <f ca="1">VLOOKUP(B632,'2B'!A1:I50,IF(Settings!$J$13="points",4,7),FALSE)</f>
        <v>47</v>
      </c>
      <c r="G632" s="29">
        <f>(M632*Settings!$B$2)+(N632*Settings!$B$3)+(O632*Settings!$B$4)+(P632*Settings!$B$5)+(Q632*Settings!$B$6)+(T632*Settings!$B$9)+(U632*Settings!$B$10)+(V632*Settings!$B$11)+(W632*Settings!$B$12)+(X632*Settings!$B$13)+(AA632*Settings!$B$16)</f>
        <v>110.59999999999994</v>
      </c>
      <c r="H632" s="30">
        <f>VLOOKUP(B632,'Standard Deviations'!$A1:$D651,4,FALSE)</f>
        <v>-4.9907116222726753</v>
      </c>
      <c r="I632" s="31">
        <f ca="1">IF(Settings!$J$16="no",VLOOKUP(B632,'2B'!A1:I50,IF(Settings!$J$13="points",6,9),FALSE),VLOOKUP(B632,'2B+SS'!$A1:$I94,IF(Settings!$J$13="points",6,9),FALSE))</f>
        <v>-7.298444909045843</v>
      </c>
      <c r="J632" s="30"/>
      <c r="K632" s="30">
        <f ca="1">J632-A632</f>
        <v>-636</v>
      </c>
      <c r="L632" s="30"/>
      <c r="M632" s="30">
        <f>VLOOKUP($B632,Hitters!$A1:$R401,4,FALSE)</f>
        <v>187.333333333333</v>
      </c>
      <c r="N632" s="30">
        <f>VLOOKUP($B632,Hitters!$A1:$R401,5,FALSE)</f>
        <v>22.8333333333333</v>
      </c>
      <c r="O632" s="30">
        <f>VLOOKUP($B632,Hitters!$A1:$R401,6,FALSE)</f>
        <v>2.6333333333333302</v>
      </c>
      <c r="P632" s="30">
        <f>VLOOKUP($B632,Hitters!$A1:$R401,7,FALSE)</f>
        <v>18.8</v>
      </c>
      <c r="Q632" s="30">
        <f>VLOOKUP($B632,Hitters!$A1:$R401,8,FALSE)</f>
        <v>1.7666666666666699</v>
      </c>
      <c r="R632" s="32">
        <f>VLOOKUP($B632,Hitters!$A1:$R401,9,FALSE)</f>
        <v>0.24857651245551601</v>
      </c>
      <c r="S632" s="32">
        <f>VLOOKUP($B632,Hitters!$A1:$R401,10,FALSE)</f>
        <v>0.28658597579273798</v>
      </c>
      <c r="T632" s="30">
        <f>VLOOKUP($B632,Hitters!$A1:$R401,11,FALSE)</f>
        <v>46.566666666666698</v>
      </c>
      <c r="U632" s="30">
        <f>VLOOKUP($B632,Hitters!$A1:$R401,12,FALSE)</f>
        <v>7.8666666666666698</v>
      </c>
      <c r="V632" s="30">
        <f>VLOOKUP($B632,Hitters!$A1:$R401,13,FALSE)</f>
        <v>0.83333333333333304</v>
      </c>
      <c r="W632" s="30">
        <f>VLOOKUP($B632,Hitters!$A1:$R401,14,FALSE)</f>
        <v>10.733333333333301</v>
      </c>
      <c r="X632" s="30">
        <f>VLOOKUP($B632,Hitters!$A1:$R401,15,FALSE)</f>
        <v>41.266666666666701</v>
      </c>
      <c r="Y632" s="32">
        <f>VLOOKUP($B632,Hitters!$A1:$R401,16,FALSE)</f>
        <v>0.34163701067615698</v>
      </c>
      <c r="Z632" s="32">
        <f>VLOOKUP($B632,Hitters!$A1:$R401,17,FALSE)</f>
        <v>0.62822298646889396</v>
      </c>
      <c r="AA632" s="30">
        <f>VLOOKUP($B632,Hitters!$A1:$R401,18,FALSE)</f>
        <v>0</v>
      </c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</row>
    <row r="633" spans="1:44" ht="18.600000000000001" customHeight="1">
      <c r="A633" s="24">
        <f ca="1">RANK(I633,I$2:I$651)</f>
        <v>631</v>
      </c>
      <c r="B633" s="25" t="s">
        <v>727</v>
      </c>
      <c r="C633" s="26" t="s">
        <v>116</v>
      </c>
      <c r="D633" s="26" t="s">
        <v>70</v>
      </c>
      <c r="E633" s="47" t="s">
        <v>11</v>
      </c>
      <c r="F633" s="48">
        <f ca="1">VLOOKUP(B633,'2B'!A1:I50,IF(Settings!$J$13="points",4,7),FALSE)</f>
        <v>46</v>
      </c>
      <c r="G633" s="29">
        <f>(M633*Settings!$B$2)+(N633*Settings!$B$3)+(O633*Settings!$B$4)+(P633*Settings!$B$5)+(Q633*Settings!$B$6)+(T633*Settings!$B$9)+(U633*Settings!$B$10)+(V633*Settings!$B$11)+(W633*Settings!$B$12)+(X633*Settings!$B$13)+(AA633*Settings!$B$16)</f>
        <v>109.3833333333333</v>
      </c>
      <c r="H633" s="30">
        <f>VLOOKUP(B633,'Standard Deviations'!$A1:$D651,4,FALSE)</f>
        <v>-4.4683398419097857</v>
      </c>
      <c r="I633" s="31">
        <f ca="1">IF(Settings!$J$16="no",VLOOKUP(B633,'2B'!A1:I50,IF(Settings!$J$13="points",6,9),FALSE),VLOOKUP(B633,'2B+SS'!$A1:$I94,IF(Settings!$J$13="points",6,9),FALSE))</f>
        <v>-6.7760726554385649</v>
      </c>
      <c r="J633" s="30"/>
      <c r="K633" s="30">
        <f ca="1">J633-A633</f>
        <v>-631</v>
      </c>
      <c r="L633" s="30"/>
      <c r="M633" s="30">
        <f>VLOOKUP($B633,Hitters!$A1:$R401,4,FALSE)</f>
        <v>164</v>
      </c>
      <c r="N633" s="30">
        <f>VLOOKUP($B633,Hitters!$A1:$R401,5,FALSE)</f>
        <v>18.399999999999999</v>
      </c>
      <c r="O633" s="30">
        <f>VLOOKUP($B633,Hitters!$A1:$R401,6,FALSE)</f>
        <v>2.7333333333333298</v>
      </c>
      <c r="P633" s="30">
        <f>VLOOKUP($B633,Hitters!$A1:$R401,7,FALSE)</f>
        <v>17.133333333333301</v>
      </c>
      <c r="Q633" s="30">
        <f>VLOOKUP($B633,Hitters!$A1:$R401,8,FALSE)</f>
        <v>1.7333333333333301</v>
      </c>
      <c r="R633" s="32">
        <f>VLOOKUP($B633,Hitters!$A1:$R401,9,FALSE)</f>
        <v>0.26483739837398401</v>
      </c>
      <c r="S633" s="32">
        <f>VLOOKUP($B633,Hitters!$A1:$R401,10,FALSE)</f>
        <v>0.283693485991169</v>
      </c>
      <c r="T633" s="30">
        <f>VLOOKUP($B633,Hitters!$A1:$R401,11,FALSE)</f>
        <v>43.433333333333302</v>
      </c>
      <c r="U633" s="30">
        <f>VLOOKUP($B633,Hitters!$A1:$R401,12,FALSE)</f>
        <v>10.0666666666667</v>
      </c>
      <c r="V633" s="30">
        <f>VLOOKUP($B633,Hitters!$A1:$R401,13,FALSE)</f>
        <v>1.0333333333333301</v>
      </c>
      <c r="W633" s="30">
        <f>VLOOKUP($B633,Hitters!$A1:$R401,14,FALSE)</f>
        <v>4.9666666666666703</v>
      </c>
      <c r="X633" s="30">
        <f>VLOOKUP($B633,Hitters!$A1:$R401,15,FALSE)</f>
        <v>24.366666666666699</v>
      </c>
      <c r="Y633" s="32">
        <f>VLOOKUP($B633,Hitters!$A1:$R401,16,FALSE)</f>
        <v>0.38882113821138198</v>
      </c>
      <c r="Z633" s="32">
        <f>VLOOKUP($B633,Hitters!$A1:$R401,17,FALSE)</f>
        <v>0.67251462420255104</v>
      </c>
      <c r="AA633" s="30">
        <f>VLOOKUP($B633,Hitters!$A1:$R401,18,FALSE)</f>
        <v>0</v>
      </c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</row>
    <row r="634" spans="1:44" ht="18.600000000000001" customHeight="1">
      <c r="A634" s="24">
        <f ca="1">RANK(I634,I$2:I$651)</f>
        <v>598</v>
      </c>
      <c r="B634" s="25" t="s">
        <v>694</v>
      </c>
      <c r="C634" s="26" t="s">
        <v>105</v>
      </c>
      <c r="D634" s="26" t="s">
        <v>70</v>
      </c>
      <c r="E634" s="27" t="s">
        <v>23</v>
      </c>
      <c r="F634" s="28">
        <f ca="1">VLOOKUP(B634,OF!A1:I139,IF(Settings!$J$13="points",4,7),FALSE)</f>
        <v>133</v>
      </c>
      <c r="G634" s="29">
        <f>(M634*Settings!$B$2)+(N634*Settings!$B$3)+(O634*Settings!$B$4)+(P634*Settings!$B$5)+(Q634*Settings!$B$6)+(T634*Settings!$B$9)+(U634*Settings!$B$10)+(V634*Settings!$B$11)+(W634*Settings!$B$12)+(X634*Settings!$B$13)+(AA634*Settings!$B$16)</f>
        <v>108.33333333333334</v>
      </c>
      <c r="H634" s="30">
        <f>VLOOKUP(B634,'Standard Deviations'!$A1:$D651,4,FALSE)</f>
        <v>-5.2436505333808139</v>
      </c>
      <c r="I634" s="31">
        <f ca="1">VLOOKUP(B634,OF!A1:I139,IF(Settings!$J$13="points",6,9),FALSE)</f>
        <v>-5.3623695668907345</v>
      </c>
      <c r="J634" s="30"/>
      <c r="K634" s="30">
        <f ca="1">J634-A634</f>
        <v>-598</v>
      </c>
      <c r="L634" s="30"/>
      <c r="M634" s="30">
        <f>VLOOKUP($B634,Hitters!$A1:$R401,4,FALSE)</f>
        <v>161.333333333333</v>
      </c>
      <c r="N634" s="30">
        <f>VLOOKUP($B634,Hitters!$A1:$R401,5,FALSE)</f>
        <v>21.6</v>
      </c>
      <c r="O634" s="30">
        <f>VLOOKUP($B634,Hitters!$A1:$R401,6,FALSE)</f>
        <v>3.5333333333333301</v>
      </c>
      <c r="P634" s="30">
        <f>VLOOKUP($B634,Hitters!$A1:$R401,7,FALSE)</f>
        <v>16</v>
      </c>
      <c r="Q634" s="30">
        <f>VLOOKUP($B634,Hitters!$A1:$R401,8,FALSE)</f>
        <v>5.2666666666666702</v>
      </c>
      <c r="R634" s="32">
        <f>VLOOKUP($B634,Hitters!$A1:$R401,9,FALSE)</f>
        <v>0.23409090909090899</v>
      </c>
      <c r="S634" s="32">
        <f>VLOOKUP($B634,Hitters!$A1:$R401,10,FALSE)</f>
        <v>0.27924919391985298</v>
      </c>
      <c r="T634" s="30">
        <f>VLOOKUP($B634,Hitters!$A1:$R401,11,FALSE)</f>
        <v>37.766666666666701</v>
      </c>
      <c r="U634" s="30">
        <f>VLOOKUP($B634,Hitters!$A1:$R401,12,FALSE)</f>
        <v>7.9666666666666703</v>
      </c>
      <c r="V634" s="30">
        <f>VLOOKUP($B634,Hitters!$A1:$R401,13,FALSE)</f>
        <v>2.2666666666666702</v>
      </c>
      <c r="W634" s="30">
        <f>VLOOKUP($B634,Hitters!$A1:$R401,14,FALSE)</f>
        <v>10.733333333333301</v>
      </c>
      <c r="X634" s="30">
        <f>VLOOKUP($B634,Hitters!$A1:$R401,15,FALSE)</f>
        <v>50.3333333333333</v>
      </c>
      <c r="Y634" s="32">
        <f>VLOOKUP($B634,Hitters!$A1:$R401,16,FALSE)</f>
        <v>0.37727272727272698</v>
      </c>
      <c r="Z634" s="32">
        <f>VLOOKUP($B634,Hitters!$A1:$R401,17,FALSE)</f>
        <v>0.65652192119258002</v>
      </c>
      <c r="AA634" s="30">
        <f>VLOOKUP($B634,Hitters!$A1:$R401,18,FALSE)</f>
        <v>0</v>
      </c>
      <c r="AB634" s="30"/>
      <c r="AC634" s="30"/>
      <c r="AD634" s="32"/>
      <c r="AE634" s="32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</row>
    <row r="635" spans="1:44" ht="18.600000000000001" customHeight="1">
      <c r="A635" s="24">
        <f ca="1">RANK(I635,I$2:I$651)</f>
        <v>605</v>
      </c>
      <c r="B635" s="25" t="s">
        <v>701</v>
      </c>
      <c r="C635" s="26" t="s">
        <v>97</v>
      </c>
      <c r="D635" s="26" t="s">
        <v>75</v>
      </c>
      <c r="E635" s="45" t="s">
        <v>19</v>
      </c>
      <c r="F635" s="46">
        <f ca="1">VLOOKUP(B635,'C'!A1:I54,IF(Settings!$J$13="points",4,7),FALSE)</f>
        <v>50</v>
      </c>
      <c r="G635" s="29">
        <f>(M635*Settings!$B$2)+(N635*Settings!$B$3)+(O635*Settings!$B$4)+(P635*Settings!$B$5)+(Q635*Settings!$B$6)+(T635*Settings!$B$9)+(U635*Settings!$B$10)+(V635*Settings!$B$11)+(W635*Settings!$B$12)+(X635*Settings!$B$13)+(AA635*Settings!$B$16)</f>
        <v>108.03333333333333</v>
      </c>
      <c r="H635" s="30">
        <f>VLOOKUP(B635,'Standard Deviations'!$A1:$D651,4,FALSE)</f>
        <v>-5.8334964652865633</v>
      </c>
      <c r="I635" s="31">
        <f ca="1">VLOOKUP(B635,'C'!A1:I54,IF(Settings!$J$13="points",6,9),FALSE)</f>
        <v>-5.5164042836119407</v>
      </c>
      <c r="J635" s="30"/>
      <c r="K635" s="30">
        <f ca="1">J635-A635</f>
        <v>-605</v>
      </c>
      <c r="L635" s="30"/>
      <c r="M635" s="30">
        <f>VLOOKUP($B635,Hitters!$A1:$R401,4,FALSE)</f>
        <v>203</v>
      </c>
      <c r="N635" s="30">
        <f>VLOOKUP($B635,Hitters!$A1:$R401,5,FALSE)</f>
        <v>21.8333333333333</v>
      </c>
      <c r="O635" s="30">
        <f>VLOOKUP($B635,Hitters!$A1:$R401,6,FALSE)</f>
        <v>3.6333333333333302</v>
      </c>
      <c r="P635" s="30">
        <f>VLOOKUP($B635,Hitters!$A1:$R401,7,FALSE)</f>
        <v>19.866666666666699</v>
      </c>
      <c r="Q635" s="30">
        <f>VLOOKUP($B635,Hitters!$A1:$R401,8,FALSE)</f>
        <v>0.73333333333333295</v>
      </c>
      <c r="R635" s="32">
        <f>VLOOKUP($B635,Hitters!$A1:$R401,9,FALSE)</f>
        <v>0.231855500821018</v>
      </c>
      <c r="S635" s="32">
        <f>VLOOKUP($B635,Hitters!$A1:$R401,10,FALSE)</f>
        <v>0.26777298783973802</v>
      </c>
      <c r="T635" s="30">
        <f>VLOOKUP($B635,Hitters!$A1:$R401,11,FALSE)</f>
        <v>47.066666666666698</v>
      </c>
      <c r="U635" s="30">
        <f>VLOOKUP($B635,Hitters!$A1:$R401,12,FALSE)</f>
        <v>9.1999999999999993</v>
      </c>
      <c r="V635" s="30">
        <f>VLOOKUP($B635,Hitters!$A1:$R401,13,FALSE)</f>
        <v>0.5</v>
      </c>
      <c r="W635" s="30">
        <f>VLOOKUP($B635,Hitters!$A1:$R401,14,FALSE)</f>
        <v>10.7</v>
      </c>
      <c r="X635" s="30">
        <f>VLOOKUP($B635,Hitters!$A1:$R401,15,FALSE)</f>
        <v>54.6666666666667</v>
      </c>
      <c r="Y635" s="32">
        <f>VLOOKUP($B635,Hitters!$A1:$R401,16,FALSE)</f>
        <v>0.33579638752052499</v>
      </c>
      <c r="Z635" s="32">
        <f>VLOOKUP($B635,Hitters!$A1:$R401,17,FALSE)</f>
        <v>0.60356937536026301</v>
      </c>
      <c r="AA635" s="30">
        <f>VLOOKUP($B635,Hitters!$A1:$R401,18,FALSE)</f>
        <v>0</v>
      </c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</row>
    <row r="636" spans="1:44" ht="18.600000000000001" customHeight="1">
      <c r="A636" s="24">
        <f ca="1">RANK(I636,I$2:I$651)</f>
        <v>580</v>
      </c>
      <c r="B636" s="25" t="s">
        <v>676</v>
      </c>
      <c r="C636" s="26" t="s">
        <v>225</v>
      </c>
      <c r="D636" s="26" t="s">
        <v>75</v>
      </c>
      <c r="E636" s="27" t="s">
        <v>23</v>
      </c>
      <c r="F636" s="28">
        <f ca="1">VLOOKUP(B636,OF!A1:I139,IF(Settings!$J$13="points",4,7),FALSE)</f>
        <v>128</v>
      </c>
      <c r="G636" s="29">
        <f>(M636*Settings!$B$2)+(N636*Settings!$B$3)+(O636*Settings!$B$4)+(P636*Settings!$B$5)+(Q636*Settings!$B$6)+(T636*Settings!$B$9)+(U636*Settings!$B$10)+(V636*Settings!$B$11)+(W636*Settings!$B$12)+(X636*Settings!$B$13)+(AA636*Settings!$B$16)</f>
        <v>105.00000000000007</v>
      </c>
      <c r="H636" s="30">
        <f>VLOOKUP(B636,'Standard Deviations'!$A1:$D651,4,FALSE)</f>
        <v>-4.7344212873730163</v>
      </c>
      <c r="I636" s="31">
        <f ca="1">VLOOKUP(B636,OF!A1:I139,IF(Settings!$J$13="points",6,9),FALSE)</f>
        <v>-4.8531393445847613</v>
      </c>
      <c r="J636" s="30"/>
      <c r="K636" s="30">
        <f ca="1">J636-A636</f>
        <v>-580</v>
      </c>
      <c r="L636" s="30"/>
      <c r="M636" s="30">
        <f>VLOOKUP($B636,Hitters!$A1:$R401,4,FALSE)</f>
        <v>146.666666666667</v>
      </c>
      <c r="N636" s="30">
        <f>VLOOKUP($B636,Hitters!$A1:$R401,5,FALSE)</f>
        <v>19.033333333333299</v>
      </c>
      <c r="O636" s="30">
        <f>VLOOKUP($B636,Hitters!$A1:$R401,6,FALSE)</f>
        <v>3.9666666666666699</v>
      </c>
      <c r="P636" s="30">
        <f>VLOOKUP($B636,Hitters!$A1:$R401,7,FALSE)</f>
        <v>16.866666666666699</v>
      </c>
      <c r="Q636" s="30">
        <f>VLOOKUP($B636,Hitters!$A1:$R401,8,FALSE)</f>
        <v>3.56666666666667</v>
      </c>
      <c r="R636" s="32">
        <f>VLOOKUP($B636,Hitters!$A1:$R401,9,FALSE)</f>
        <v>0.25022727272727302</v>
      </c>
      <c r="S636" s="32">
        <f>VLOOKUP($B636,Hitters!$A1:$R401,10,FALSE)</f>
        <v>0.30441115272575903</v>
      </c>
      <c r="T636" s="30">
        <f>VLOOKUP($B636,Hitters!$A1:$R401,11,FALSE)</f>
        <v>36.700000000000003</v>
      </c>
      <c r="U636" s="30">
        <f>VLOOKUP($B636,Hitters!$A1:$R401,12,FALSE)</f>
        <v>7.06666666666667</v>
      </c>
      <c r="V636" s="30">
        <f>VLOOKUP($B636,Hitters!$A1:$R401,13,FALSE)</f>
        <v>0.133333333333333</v>
      </c>
      <c r="W636" s="30">
        <f>VLOOKUP($B636,Hitters!$A1:$R401,14,FALSE)</f>
        <v>12.0666666666667</v>
      </c>
      <c r="X636" s="30">
        <f>VLOOKUP($B636,Hitters!$A1:$R401,15,FALSE)</f>
        <v>34.4</v>
      </c>
      <c r="Y636" s="32">
        <f>VLOOKUP($B636,Hitters!$A1:$R401,16,FALSE)</f>
        <v>0.38136363636363602</v>
      </c>
      <c r="Z636" s="32">
        <f>VLOOKUP($B636,Hitters!$A1:$R401,17,FALSE)</f>
        <v>0.68577478908939604</v>
      </c>
      <c r="AA636" s="30">
        <f>VLOOKUP($B636,Hitters!$A1:$R401,18,FALSE)</f>
        <v>0</v>
      </c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</row>
    <row r="637" spans="1:44" ht="18.600000000000001" customHeight="1">
      <c r="A637" s="24">
        <f ca="1">RANK(I637,I$2:I$651)</f>
        <v>639</v>
      </c>
      <c r="B637" s="25" t="s">
        <v>735</v>
      </c>
      <c r="C637" s="26" t="s">
        <v>136</v>
      </c>
      <c r="D637" s="26" t="s">
        <v>75</v>
      </c>
      <c r="E637" s="27" t="s">
        <v>23</v>
      </c>
      <c r="F637" s="28">
        <f ca="1">VLOOKUP(B637,OF!A1:I139,IF(Settings!$J$13="points",4,7),FALSE)</f>
        <v>138</v>
      </c>
      <c r="G637" s="29">
        <f>(M637*Settings!$B$2)+(N637*Settings!$B$3)+(O637*Settings!$B$4)+(P637*Settings!$B$5)+(Q637*Settings!$B$6)+(T637*Settings!$B$9)+(U637*Settings!$B$10)+(V637*Settings!$B$11)+(W637*Settings!$B$12)+(X637*Settings!$B$13)+(AA637*Settings!$B$16)</f>
        <v>104.8666666666667</v>
      </c>
      <c r="H637" s="30">
        <f>VLOOKUP(B637,'Standard Deviations'!$A1:$D651,4,FALSE)</f>
        <v>-7.5563457505067397</v>
      </c>
      <c r="I637" s="31">
        <f ca="1">VLOOKUP(B637,OF!A1:I139,IF(Settings!$J$13="points",6,9),FALSE)</f>
        <v>-7.6750619480424298</v>
      </c>
      <c r="J637" s="30"/>
      <c r="K637" s="30">
        <f ca="1">J637-A637</f>
        <v>-639</v>
      </c>
      <c r="L637" s="30"/>
      <c r="M637" s="30">
        <f>VLOOKUP($B637,Hitters!$A1:$R401,4,FALSE)</f>
        <v>159.333333333333</v>
      </c>
      <c r="N637" s="30">
        <f>VLOOKUP($B637,Hitters!$A1:$R401,5,FALSE)</f>
        <v>19</v>
      </c>
      <c r="O637" s="30">
        <f>VLOOKUP($B637,Hitters!$A1:$R401,6,FALSE)</f>
        <v>5.2666666666666702</v>
      </c>
      <c r="P637" s="30">
        <f>VLOOKUP($B637,Hitters!$A1:$R401,7,FALSE)</f>
        <v>17.100000000000001</v>
      </c>
      <c r="Q637" s="30">
        <f>VLOOKUP($B637,Hitters!$A1:$R401,8,FALSE)</f>
        <v>1.93333333333333</v>
      </c>
      <c r="R637" s="32">
        <f>VLOOKUP($B637,Hitters!$A1:$R401,9,FALSE)</f>
        <v>0.19393305439330499</v>
      </c>
      <c r="S637" s="32">
        <f>VLOOKUP($B637,Hitters!$A1:$R401,10,FALSE)</f>
        <v>0.28879813302217</v>
      </c>
      <c r="T637" s="30">
        <f>VLOOKUP($B637,Hitters!$A1:$R401,11,FALSE)</f>
        <v>30.9</v>
      </c>
      <c r="U637" s="30">
        <f>VLOOKUP($B637,Hitters!$A1:$R401,12,FALSE)</f>
        <v>6.7</v>
      </c>
      <c r="V637" s="30">
        <f>VLOOKUP($B637,Hitters!$A1:$R401,13,FALSE)</f>
        <v>0.96666666666666701</v>
      </c>
      <c r="W637" s="30">
        <f>VLOOKUP($B637,Hitters!$A1:$R401,14,FALSE)</f>
        <v>21.9</v>
      </c>
      <c r="X637" s="30">
        <f>VLOOKUP($B637,Hitters!$A1:$R401,15,FALSE)</f>
        <v>50.533333333333303</v>
      </c>
      <c r="Y637" s="32">
        <f>VLOOKUP($B637,Hitters!$A1:$R401,16,FALSE)</f>
        <v>0.34728033472803299</v>
      </c>
      <c r="Z637" s="32">
        <f>VLOOKUP($B637,Hitters!$A1:$R401,17,FALSE)</f>
        <v>0.63607846775020405</v>
      </c>
      <c r="AA637" s="30">
        <f>VLOOKUP($B637,Hitters!$A1:$R401,18,FALSE)</f>
        <v>0</v>
      </c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</row>
    <row r="638" spans="1:44" ht="18.600000000000001" customHeight="1">
      <c r="A638" s="24">
        <f ca="1">RANK(I638,I$2:I$651)</f>
        <v>590</v>
      </c>
      <c r="B638" s="25" t="s">
        <v>686</v>
      </c>
      <c r="C638" s="26" t="s">
        <v>122</v>
      </c>
      <c r="D638" s="26" t="s">
        <v>75</v>
      </c>
      <c r="E638" s="27" t="s">
        <v>23</v>
      </c>
      <c r="F638" s="28">
        <f ca="1">VLOOKUP(B638,OF!A1:I139,IF(Settings!$J$13="points",4,7),FALSE)</f>
        <v>131</v>
      </c>
      <c r="G638" s="29">
        <f>(M638*Settings!$B$2)+(N638*Settings!$B$3)+(O638*Settings!$B$4)+(P638*Settings!$B$5)+(Q638*Settings!$B$6)+(T638*Settings!$B$9)+(U638*Settings!$B$10)+(V638*Settings!$B$11)+(W638*Settings!$B$12)+(X638*Settings!$B$13)+(AA638*Settings!$B$16)</f>
        <v>104.60000000000001</v>
      </c>
      <c r="H638" s="30">
        <f>VLOOKUP(B638,'Standard Deviations'!$A1:$D651,4,FALSE)</f>
        <v>-5.0108506007984088</v>
      </c>
      <c r="I638" s="31">
        <f ca="1">VLOOKUP(B638,OF!A1:I139,IF(Settings!$J$13="points",6,9),FALSE)</f>
        <v>-5.1295664750752232</v>
      </c>
      <c r="J638" s="30"/>
      <c r="K638" s="30">
        <f ca="1">J638-A638</f>
        <v>-590</v>
      </c>
      <c r="L638" s="30"/>
      <c r="M638" s="30">
        <f>VLOOKUP($B638,Hitters!$A1:$R401,4,FALSE)</f>
        <v>146.333333333333</v>
      </c>
      <c r="N638" s="30">
        <f>VLOOKUP($B638,Hitters!$A1:$R401,5,FALSE)</f>
        <v>18</v>
      </c>
      <c r="O638" s="30">
        <f>VLOOKUP($B638,Hitters!$A1:$R401,6,FALSE)</f>
        <v>4.43333333333333</v>
      </c>
      <c r="P638" s="30">
        <f>VLOOKUP($B638,Hitters!$A1:$R401,7,FALSE)</f>
        <v>17.366666666666699</v>
      </c>
      <c r="Q638" s="30">
        <f>VLOOKUP($B638,Hitters!$A1:$R401,8,FALSE)</f>
        <v>0.8</v>
      </c>
      <c r="R638" s="32">
        <f>VLOOKUP($B638,Hitters!$A1:$R401,9,FALSE)</f>
        <v>0.25239179954441898</v>
      </c>
      <c r="S638" s="32">
        <f>VLOOKUP($B638,Hitters!$A1:$R401,10,FALSE)</f>
        <v>0.313808826260084</v>
      </c>
      <c r="T638" s="30">
        <f>VLOOKUP($B638,Hitters!$A1:$R401,11,FALSE)</f>
        <v>36.933333333333302</v>
      </c>
      <c r="U638" s="30">
        <f>VLOOKUP($B638,Hitters!$A1:$R401,12,FALSE)</f>
        <v>6.9666666666666703</v>
      </c>
      <c r="V638" s="30">
        <f>VLOOKUP($B638,Hitters!$A1:$R401,13,FALSE)</f>
        <v>0.76666666666666705</v>
      </c>
      <c r="W638" s="30">
        <f>VLOOKUP($B638,Hitters!$A1:$R401,14,FALSE)</f>
        <v>13.766666666666699</v>
      </c>
      <c r="X638" s="30">
        <f>VLOOKUP($B638,Hitters!$A1:$R401,15,FALSE)</f>
        <v>34.066666666666698</v>
      </c>
      <c r="Y638" s="32">
        <f>VLOOKUP($B638,Hitters!$A1:$R401,16,FALSE)</f>
        <v>0.40136674259681099</v>
      </c>
      <c r="Z638" s="32">
        <f>VLOOKUP($B638,Hitters!$A1:$R401,17,FALSE)</f>
        <v>0.71517556885689504</v>
      </c>
      <c r="AA638" s="30">
        <f>VLOOKUP($B638,Hitters!$A1:$R401,18,FALSE)</f>
        <v>0</v>
      </c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</row>
    <row r="639" spans="1:44" ht="18.600000000000001" customHeight="1">
      <c r="A639" s="24">
        <f ca="1">RANK(I639,I$2:I$651)</f>
        <v>607</v>
      </c>
      <c r="B639" s="25" t="s">
        <v>703</v>
      </c>
      <c r="C639" s="26" t="s">
        <v>178</v>
      </c>
      <c r="D639" s="26" t="s">
        <v>75</v>
      </c>
      <c r="E639" s="27" t="s">
        <v>23</v>
      </c>
      <c r="F639" s="28">
        <f ca="1">VLOOKUP(B639,OF!A1:I139,IF(Settings!$J$13="points",4,7),FALSE)</f>
        <v>134</v>
      </c>
      <c r="G639" s="29">
        <f>(M639*Settings!$B$2)+(N639*Settings!$B$3)+(O639*Settings!$B$4)+(P639*Settings!$B$5)+(Q639*Settings!$B$6)+(T639*Settings!$B$9)+(U639*Settings!$B$10)+(V639*Settings!$B$11)+(W639*Settings!$B$12)+(X639*Settings!$B$13)+(AA639*Settings!$B$16)</f>
        <v>102.03333333333336</v>
      </c>
      <c r="H639" s="30">
        <f>VLOOKUP(B639,'Standard Deviations'!$A1:$D651,4,FALSE)</f>
        <v>-5.4569648161629702</v>
      </c>
      <c r="I639" s="31">
        <f ca="1">VLOOKUP(B639,OF!A1:I139,IF(Settings!$J$13="points",6,9),FALSE)</f>
        <v>-5.5756785341211161</v>
      </c>
      <c r="J639" s="30"/>
      <c r="K639" s="30">
        <f ca="1">J639-A639</f>
        <v>-607</v>
      </c>
      <c r="L639" s="30"/>
      <c r="M639" s="30">
        <f>VLOOKUP($B639,Hitters!$A1:$R401,4,FALSE)</f>
        <v>138.333333333333</v>
      </c>
      <c r="N639" s="30">
        <f>VLOOKUP($B639,Hitters!$A1:$R401,5,FALSE)</f>
        <v>17.8</v>
      </c>
      <c r="O639" s="30">
        <f>VLOOKUP($B639,Hitters!$A1:$R401,6,FALSE)</f>
        <v>5.3</v>
      </c>
      <c r="P639" s="30">
        <f>VLOOKUP($B639,Hitters!$A1:$R401,7,FALSE)</f>
        <v>19.100000000000001</v>
      </c>
      <c r="Q639" s="30">
        <f>VLOOKUP($B639,Hitters!$A1:$R401,8,FALSE)</f>
        <v>1.8333333333333299</v>
      </c>
      <c r="R639" s="32">
        <f>VLOOKUP($B639,Hitters!$A1:$R401,9,FALSE)</f>
        <v>0.23638554216867499</v>
      </c>
      <c r="S639" s="32">
        <f>VLOOKUP($B639,Hitters!$A1:$R401,10,FALSE)</f>
        <v>0.30001090155892302</v>
      </c>
      <c r="T639" s="30">
        <f>VLOOKUP($B639,Hitters!$A1:$R401,11,FALSE)</f>
        <v>32.700000000000003</v>
      </c>
      <c r="U639" s="30">
        <f>VLOOKUP($B639,Hitters!$A1:$R401,12,FALSE)</f>
        <v>7.1666666666666696</v>
      </c>
      <c r="V639" s="30">
        <f>VLOOKUP($B639,Hitters!$A1:$R401,13,FALSE)</f>
        <v>0.9</v>
      </c>
      <c r="W639" s="30">
        <f>VLOOKUP($B639,Hitters!$A1:$R401,14,FALSE)</f>
        <v>13.1666666666667</v>
      </c>
      <c r="X639" s="30">
        <f>VLOOKUP($B639,Hitters!$A1:$R401,15,FALSE)</f>
        <v>45.266666666666701</v>
      </c>
      <c r="Y639" s="32">
        <f>VLOOKUP($B639,Hitters!$A1:$R401,16,FALSE)</f>
        <v>0.41614457831325302</v>
      </c>
      <c r="Z639" s="32">
        <f>VLOOKUP($B639,Hitters!$A1:$R401,17,FALSE)</f>
        <v>0.71615547987217598</v>
      </c>
      <c r="AA639" s="30">
        <f>VLOOKUP($B639,Hitters!$A1:$R401,18,FALSE)</f>
        <v>0</v>
      </c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</row>
    <row r="640" spans="1:44" ht="18.600000000000001" customHeight="1">
      <c r="A640" s="24">
        <f ca="1">RANK(I640,I$2:I$651)</f>
        <v>385</v>
      </c>
      <c r="B640" s="25" t="s">
        <v>483</v>
      </c>
      <c r="C640" s="26" t="s">
        <v>95</v>
      </c>
      <c r="D640" s="26" t="s">
        <v>70</v>
      </c>
      <c r="E640" s="41" t="s">
        <v>34</v>
      </c>
      <c r="F640" s="42">
        <f ca="1">VLOOKUP(B640,RP!A1:I91,IF(Settings!$J$13="points",4,7),FALSE)</f>
        <v>37</v>
      </c>
      <c r="G640" s="29">
        <f>(AC640*Settings!$F$2)+(AF640*Settings!$F$5)+(AG640*Settings!$F$6)+(AH640*Settings!$F$7)+(AI640*Settings!$F$8)+(AJ640*Settings!$F$9)+(AK640*Settings!$F$10)+(AL640*Settings!$F$11)+(AM640*Settings!$F$12)+(AN640*Settings!$F$13)+(AO640*Settings!$F$14)+(AP640*Settings!$F$15)+(AQ640*Settings!$F$16)+(AR640*Settings!$F$17)</f>
        <v>101.3833333333333</v>
      </c>
      <c r="H640" s="30">
        <f>VLOOKUP(B640,'Standard Deviations'!$A1:$D651,4,FALSE)</f>
        <v>-0.68061906109857495</v>
      </c>
      <c r="I640" s="31">
        <f ca="1">IF(Settings!$J$16="no",VLOOKUP(B640,RP!A1:I91,IF(Settings!$J$13="points",6,9),FALSE),VLOOKUP(B640,'SP+RP'!$A1:$I251,IF(Settings!$J$13="points",6,9),FALSE))</f>
        <v>-2.2516845540859305</v>
      </c>
      <c r="J640" s="30"/>
      <c r="K640" s="30">
        <f ca="1">J640-A640</f>
        <v>-385</v>
      </c>
      <c r="L640" s="30"/>
      <c r="M640" s="30"/>
      <c r="N640" s="30"/>
      <c r="O640" s="30"/>
      <c r="P640" s="30"/>
      <c r="Q640" s="30"/>
      <c r="R640" s="32"/>
      <c r="S640" s="32"/>
      <c r="T640" s="30"/>
      <c r="U640" s="30"/>
      <c r="V640" s="30"/>
      <c r="W640" s="30"/>
      <c r="X640" s="30"/>
      <c r="Y640" s="32"/>
      <c r="Z640" s="32"/>
      <c r="AA640" s="30"/>
      <c r="AB640" s="30"/>
      <c r="AC640" s="30">
        <f>VLOOKUP($B640,Pitchers!$A1:$S251,4,FALSE)</f>
        <v>36.533333333333331</v>
      </c>
      <c r="AD640" s="32">
        <f>VLOOKUP($B640,Pitchers!$A1:$S251,5,FALSE)</f>
        <v>3.4817518248175183</v>
      </c>
      <c r="AE640" s="32">
        <f>VLOOKUP($B640,Pitchers!$A1:$S251,6,FALSE)</f>
        <v>1.0428832116788322</v>
      </c>
      <c r="AF640" s="30">
        <f>VLOOKUP($B640,Pitchers!$A1:$S251,7,FALSE)</f>
        <v>40.833333333333336</v>
      </c>
      <c r="AG640" s="30">
        <f>VLOOKUP($B640,Pitchers!$A1:$S251,8,FALSE)</f>
        <v>2.9666666666666668</v>
      </c>
      <c r="AH640" s="30">
        <f>VLOOKUP($B640,Pitchers!$A1:$S251,9,FALSE)</f>
        <v>2</v>
      </c>
      <c r="AI640" s="30">
        <f>VLOOKUP($B640,Pitchers!$A1:$S251,10,FALSE)</f>
        <v>14.133333333333333</v>
      </c>
      <c r="AJ640" s="30">
        <f>VLOOKUP($B640,Pitchers!$A1:$S251,11,FALSE)</f>
        <v>28.166666666666668</v>
      </c>
      <c r="AK640" s="30">
        <f>VLOOKUP($B640,Pitchers!$A1:$S251,12,FALSE)</f>
        <v>9.9333333333333336</v>
      </c>
      <c r="AL640" s="30">
        <f>VLOOKUP($B640,Pitchers!$A1:$S251,13,FALSE)</f>
        <v>3</v>
      </c>
      <c r="AM640" s="30">
        <f>VLOOKUP($B640,Pitchers!$A1:$S251,14,FALSE)</f>
        <v>33.333333333333336</v>
      </c>
      <c r="AN640" s="30">
        <f>VLOOKUP($B640,Pitchers!$A1:$S251,15,FALSE)</f>
        <v>0</v>
      </c>
      <c r="AO640" s="30">
        <f>VLOOKUP($B640,Pitchers!$A1:$S251,16,FALSE)</f>
        <v>2.2333333333333334</v>
      </c>
      <c r="AP640" s="30">
        <f>VLOOKUP($B640,Pitchers!$A1:$S251,17,FALSE)</f>
        <v>0</v>
      </c>
      <c r="AQ640" s="30">
        <f>VLOOKUP($B640,Pitchers!$A1:$S251,18,FALSE)</f>
        <v>10</v>
      </c>
      <c r="AR640" s="30">
        <f>VLOOKUP($B640,Pitchers!$A1:$S251,19,FALSE)</f>
        <v>0</v>
      </c>
    </row>
    <row r="641" spans="1:44" ht="18.600000000000001" customHeight="1">
      <c r="A641" s="24">
        <f ca="1">RANK(I641,I$2:I$651)</f>
        <v>640</v>
      </c>
      <c r="B641" s="25" t="s">
        <v>736</v>
      </c>
      <c r="C641" s="26" t="s">
        <v>77</v>
      </c>
      <c r="D641" s="26" t="s">
        <v>70</v>
      </c>
      <c r="E641" s="43" t="s">
        <v>114</v>
      </c>
      <c r="F641" s="44">
        <f ca="1">VLOOKUP(B641,'1B'!A1:I63,IF(Settings!$J$13="points",4,7),FALSE)</f>
        <v>60</v>
      </c>
      <c r="G641" s="29">
        <f>(M641*Settings!$B$2)+(N641*Settings!$B$3)+(O641*Settings!$B$4)+(P641*Settings!$B$5)+(Q641*Settings!$B$6)+(T641*Settings!$B$9)+(U641*Settings!$B$10)+(V641*Settings!$B$11)+(W641*Settings!$B$12)+(X641*Settings!$B$13)+(AA641*Settings!$B$16)</f>
        <v>101.10000000000001</v>
      </c>
      <c r="H641" s="30">
        <f>VLOOKUP(B641,'Standard Deviations'!$A1:$D651,4,FALSE)</f>
        <v>-5.1575623358624707</v>
      </c>
      <c r="I641" s="31">
        <f ca="1">VLOOKUP(B641,'1B'!A1:I63,IF(Settings!$J$13="points",6,9),FALSE)</f>
        <v>-7.7370883487678652</v>
      </c>
      <c r="J641" s="30"/>
      <c r="K641" s="30">
        <f ca="1">J641-A641</f>
        <v>-640</v>
      </c>
      <c r="L641" s="30"/>
      <c r="M641" s="30">
        <f>VLOOKUP($B641,Hitters!$A1:$R401,4,FALSE)</f>
        <v>141.5</v>
      </c>
      <c r="N641" s="30">
        <f>VLOOKUP($B641,Hitters!$A1:$R401,5,FALSE)</f>
        <v>17.899999999999999</v>
      </c>
      <c r="O641" s="30">
        <f>VLOOKUP($B641,Hitters!$A1:$R401,6,FALSE)</f>
        <v>4.55</v>
      </c>
      <c r="P641" s="30">
        <f>VLOOKUP($B641,Hitters!$A1:$R401,7,FALSE)</f>
        <v>17.649999999999999</v>
      </c>
      <c r="Q641" s="30">
        <f>VLOOKUP($B641,Hitters!$A1:$R401,8,FALSE)</f>
        <v>1.65</v>
      </c>
      <c r="R641" s="32">
        <f>VLOOKUP($B641,Hitters!$A1:$R401,9,FALSE)</f>
        <v>0.246289752650177</v>
      </c>
      <c r="S641" s="32">
        <f>VLOOKUP($B641,Hitters!$A1:$R401,10,FALSE)</f>
        <v>0.29880284203354601</v>
      </c>
      <c r="T641" s="30">
        <f>VLOOKUP($B641,Hitters!$A1:$R401,11,FALSE)</f>
        <v>34.85</v>
      </c>
      <c r="U641" s="30">
        <f>VLOOKUP($B641,Hitters!$A1:$R401,12,FALSE)</f>
        <v>6.95</v>
      </c>
      <c r="V641" s="30">
        <f>VLOOKUP($B641,Hitters!$A1:$R401,13,FALSE)</f>
        <v>0.8</v>
      </c>
      <c r="W641" s="30">
        <f>VLOOKUP($B641,Hitters!$A1:$R401,14,FALSE)</f>
        <v>11.2</v>
      </c>
      <c r="X641" s="30">
        <f>VLOOKUP($B641,Hitters!$A1:$R401,15,FALSE)</f>
        <v>36.6</v>
      </c>
      <c r="Y641" s="32">
        <f>VLOOKUP($B641,Hitters!$A1:$R401,16,FALSE)</f>
        <v>0.40318021201413401</v>
      </c>
      <c r="Z641" s="32">
        <f>VLOOKUP($B641,Hitters!$A1:$R401,17,FALSE)</f>
        <v>0.70198305404768102</v>
      </c>
      <c r="AA641" s="30">
        <f>VLOOKUP($B641,Hitters!$A1:$R401,18,FALSE)</f>
        <v>0</v>
      </c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</row>
    <row r="642" spans="1:44" ht="18.600000000000001" customHeight="1">
      <c r="A642" s="24">
        <f ca="1">RANK(I642,I$2:I$651)</f>
        <v>403</v>
      </c>
      <c r="B642" s="25" t="s">
        <v>501</v>
      </c>
      <c r="C642" s="26" t="s">
        <v>77</v>
      </c>
      <c r="D642" s="26" t="s">
        <v>70</v>
      </c>
      <c r="E642" s="35" t="s">
        <v>31</v>
      </c>
      <c r="F642" s="36">
        <f ca="1">VLOOKUP(B642,SP!A1:I161,IF(Settings!$J$13="points",4,7),FALSE)</f>
        <v>119</v>
      </c>
      <c r="G642" s="29">
        <f>(AC642*Settings!$F$2)+(AF642*Settings!$F$5)+(AG642*Settings!$F$6)+(AH642*Settings!$F$7)+(AI642*Settings!$F$8)+(AJ642*Settings!$F$9)+(AK642*Settings!$F$10)+(AL642*Settings!$F$11)+(AM642*Settings!$F$12)+(AN642*Settings!$F$13)+(AO642*Settings!$F$14)+(AP642*Settings!$F$15)+(AQ642*Settings!$F$16)+(AR642*Settings!$F$17)</f>
        <v>98.1666666666667</v>
      </c>
      <c r="H642" s="30">
        <f>VLOOKUP(B642,'Standard Deviations'!$A1:$D651,4,FALSE)</f>
        <v>-2.3279089571379412</v>
      </c>
      <c r="I642" s="31">
        <f ca="1">IF(Settings!$J$16="no",VLOOKUP(B642,SP!A1:I161,IF(Settings!$J$13="points",6,9),FALSE),VLOOKUP(B642,'SP+RP'!$A1:$I251,IF(Settings!$J$13="points",6,9),FALSE))</f>
        <v>-2.463889504629059</v>
      </c>
      <c r="J642" s="30"/>
      <c r="K642" s="30">
        <f ca="1">J642-A642</f>
        <v>-403</v>
      </c>
      <c r="L642" s="30"/>
      <c r="M642" s="30"/>
      <c r="N642" s="30"/>
      <c r="O642" s="30"/>
      <c r="P642" s="30"/>
      <c r="Q642" s="30"/>
      <c r="R642" s="32"/>
      <c r="S642" s="32"/>
      <c r="T642" s="30"/>
      <c r="U642" s="30"/>
      <c r="V642" s="30"/>
      <c r="W642" s="30"/>
      <c r="X642" s="30"/>
      <c r="Y642" s="32"/>
      <c r="Z642" s="32"/>
      <c r="AA642" s="30"/>
      <c r="AB642" s="30"/>
      <c r="AC642" s="30">
        <f>VLOOKUP($B642,Pitchers!$A1:$S251,4,FALSE)</f>
        <v>47.6</v>
      </c>
      <c r="AD642" s="32">
        <f>VLOOKUP($B642,Pitchers!$A1:$S251,5,FALSE)</f>
        <v>3.1953781512605044</v>
      </c>
      <c r="AE642" s="32">
        <f>VLOOKUP($B642,Pitchers!$A1:$S251,6,FALSE)</f>
        <v>1.2373949579831931</v>
      </c>
      <c r="AF642" s="30">
        <f>VLOOKUP($B642,Pitchers!$A1:$S251,7,FALSE)</f>
        <v>52.6</v>
      </c>
      <c r="AG642" s="30">
        <f>VLOOKUP($B642,Pitchers!$A1:$S251,8,FALSE)</f>
        <v>2.2666666666666666</v>
      </c>
      <c r="AH642" s="30">
        <f>VLOOKUP($B642,Pitchers!$A1:$S251,9,FALSE)</f>
        <v>0</v>
      </c>
      <c r="AI642" s="30">
        <f>VLOOKUP($B642,Pitchers!$A1:$S251,10,FALSE)</f>
        <v>16.900000000000002</v>
      </c>
      <c r="AJ642" s="30">
        <f>VLOOKUP($B642,Pitchers!$A1:$S251,11,FALSE)</f>
        <v>40.133333333333333</v>
      </c>
      <c r="AK642" s="30">
        <f>VLOOKUP($B642,Pitchers!$A1:$S251,12,FALSE)</f>
        <v>18.766666666666666</v>
      </c>
      <c r="AL642" s="30">
        <f>VLOOKUP($B642,Pitchers!$A1:$S251,13,FALSE)</f>
        <v>7</v>
      </c>
      <c r="AM642" s="30">
        <f>VLOOKUP($B642,Pitchers!$A1:$S251,14,FALSE)</f>
        <v>28.533333333333331</v>
      </c>
      <c r="AN642" s="30">
        <f>VLOOKUP($B642,Pitchers!$A1:$S251,15,FALSE)</f>
        <v>5.0666666666666664</v>
      </c>
      <c r="AO642" s="30">
        <f>VLOOKUP($B642,Pitchers!$A1:$S251,16,FALSE)</f>
        <v>2.8000000000000003</v>
      </c>
      <c r="AP642" s="30">
        <f>VLOOKUP($B642,Pitchers!$A1:$S251,17,FALSE)</f>
        <v>1</v>
      </c>
      <c r="AQ642" s="30">
        <f>VLOOKUP($B642,Pitchers!$A1:$S251,18,FALSE)</f>
        <v>3</v>
      </c>
      <c r="AR642" s="30">
        <f>VLOOKUP($B642,Pitchers!$A1:$S251,19,FALSE)</f>
        <v>0</v>
      </c>
    </row>
    <row r="643" spans="1:44" ht="18.600000000000001" customHeight="1">
      <c r="A643" s="24">
        <f ca="1">RANK(I643,I$2:I$651)</f>
        <v>635</v>
      </c>
      <c r="B643" s="25" t="s">
        <v>731</v>
      </c>
      <c r="C643" s="26" t="s">
        <v>260</v>
      </c>
      <c r="D643" s="26" t="s">
        <v>70</v>
      </c>
      <c r="E643" s="33" t="s">
        <v>15</v>
      </c>
      <c r="F643" s="34">
        <f ca="1">VLOOKUP(B643,'3B'!A1:I55,IF(Settings!$J$13="points",4,7),FALSE)</f>
        <v>54</v>
      </c>
      <c r="G643" s="29">
        <f>(M643*Settings!$B$2)+(N643*Settings!$B$3)+(O643*Settings!$B$4)+(P643*Settings!$B$5)+(Q643*Settings!$B$6)+(T643*Settings!$B$9)+(U643*Settings!$B$10)+(V643*Settings!$B$11)+(W643*Settings!$B$12)+(X643*Settings!$B$13)+(AA643*Settings!$B$16)</f>
        <v>96.516666666666708</v>
      </c>
      <c r="H643" s="30">
        <f>VLOOKUP(B643,'Standard Deviations'!$A1:$D651,4,FALSE)</f>
        <v>-6.4990287983467354</v>
      </c>
      <c r="I643" s="31">
        <f ca="1">IF(Settings!$J$15="no",VLOOKUP(B643,'3B'!A1:I55,IF(Settings!$J$13="points",6,9),FALSE),VLOOKUP(B643,'1B+3B'!$A1:$I104,IF(Settings!$J$13="points",6,9),FALSE))</f>
        <v>-7.2267122764329237</v>
      </c>
      <c r="J643" s="30"/>
      <c r="K643" s="30">
        <f ca="1">J643-A643</f>
        <v>-635</v>
      </c>
      <c r="L643" s="30"/>
      <c r="M643" s="30">
        <f>VLOOKUP($B643,Hitters!$A1:$R401,4,FALSE)</f>
        <v>150.666666666667</v>
      </c>
      <c r="N643" s="30">
        <f>VLOOKUP($B643,Hitters!$A1:$R401,5,FALSE)</f>
        <v>18.133333333333301</v>
      </c>
      <c r="O643" s="30">
        <f>VLOOKUP($B643,Hitters!$A1:$R401,6,FALSE)</f>
        <v>3.8666666666666698</v>
      </c>
      <c r="P643" s="30">
        <f>VLOOKUP($B643,Hitters!$A1:$R401,7,FALSE)</f>
        <v>17.2</v>
      </c>
      <c r="Q643" s="30">
        <f>VLOOKUP($B643,Hitters!$A1:$R401,8,FALSE)</f>
        <v>0.56666666666666698</v>
      </c>
      <c r="R643" s="32">
        <f>VLOOKUP($B643,Hitters!$A1:$R401,9,FALSE)</f>
        <v>0.224115044247788</v>
      </c>
      <c r="S643" s="32">
        <f>VLOOKUP($B643,Hitters!$A1:$R401,10,FALSE)</f>
        <v>0.305016434496791</v>
      </c>
      <c r="T643" s="30">
        <f>VLOOKUP($B643,Hitters!$A1:$R401,11,FALSE)</f>
        <v>33.766666666666701</v>
      </c>
      <c r="U643" s="30">
        <f>VLOOKUP($B643,Hitters!$A1:$R401,12,FALSE)</f>
        <v>6.4666666666666703</v>
      </c>
      <c r="V643" s="30">
        <f>VLOOKUP($B643,Hitters!$A1:$R401,13,FALSE)</f>
        <v>0.133333333333333</v>
      </c>
      <c r="W643" s="30">
        <f>VLOOKUP($B643,Hitters!$A1:$R401,14,FALSE)</f>
        <v>18.2</v>
      </c>
      <c r="X643" s="30">
        <f>VLOOKUP($B643,Hitters!$A1:$R401,15,FALSE)</f>
        <v>41.433333333333302</v>
      </c>
      <c r="Y643" s="32">
        <f>VLOOKUP($B643,Hitters!$A1:$R401,16,FALSE)</f>
        <v>0.34579646017699101</v>
      </c>
      <c r="Z643" s="32">
        <f>VLOOKUP($B643,Hitters!$A1:$R401,17,FALSE)</f>
        <v>0.650812894673783</v>
      </c>
      <c r="AA643" s="30">
        <f>VLOOKUP($B643,Hitters!$A1:$R401,18,FALSE)</f>
        <v>0</v>
      </c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</row>
    <row r="644" spans="1:44" ht="18.600000000000001" customHeight="1">
      <c r="A644" s="24">
        <f ca="1">RANK(I644,I$2:I$651)</f>
        <v>642</v>
      </c>
      <c r="B644" s="25" t="s">
        <v>738</v>
      </c>
      <c r="C644" s="26" t="s">
        <v>116</v>
      </c>
      <c r="D644" s="26" t="s">
        <v>70</v>
      </c>
      <c r="E644" s="47" t="s">
        <v>11</v>
      </c>
      <c r="F644" s="48">
        <f ca="1">VLOOKUP(B644,'2B'!A1:I50,IF(Settings!$J$13="points",4,7),FALSE)</f>
        <v>48</v>
      </c>
      <c r="G644" s="29">
        <f>(M644*Settings!$B$2)+(N644*Settings!$B$3)+(O644*Settings!$B$4)+(P644*Settings!$B$5)+(Q644*Settings!$B$6)+(T644*Settings!$B$9)+(U644*Settings!$B$10)+(V644*Settings!$B$11)+(W644*Settings!$B$12)+(X644*Settings!$B$13)+(AA644*Settings!$B$16)</f>
        <v>96.383333333333269</v>
      </c>
      <c r="H644" s="30">
        <f>VLOOKUP(B644,'Standard Deviations'!$A1:$D651,4,FALSE)</f>
        <v>-5.6608274542446715</v>
      </c>
      <c r="I644" s="31">
        <f ca="1">IF(Settings!$J$16="no",VLOOKUP(B644,'2B'!A1:I50,IF(Settings!$J$13="points",6,9),FALSE),VLOOKUP(B644,'2B+SS'!$A1:$I94,IF(Settings!$J$13="points",6,9),FALSE))</f>
        <v>-7.9685560350079268</v>
      </c>
      <c r="J644" s="30"/>
      <c r="K644" s="30">
        <f ca="1">J644-A644</f>
        <v>-642</v>
      </c>
      <c r="L644" s="30"/>
      <c r="M644" s="30">
        <f>VLOOKUP($B644,Hitters!$A1:$R401,4,FALSE)</f>
        <v>146.666666666667</v>
      </c>
      <c r="N644" s="30">
        <f>VLOOKUP($B644,Hitters!$A1:$R401,5,FALSE)</f>
        <v>17.233333333333299</v>
      </c>
      <c r="O644" s="30">
        <f>VLOOKUP($B644,Hitters!$A1:$R401,6,FALSE)</f>
        <v>4.6333333333333302</v>
      </c>
      <c r="P644" s="30">
        <f>VLOOKUP($B644,Hitters!$A1:$R401,7,FALSE)</f>
        <v>16</v>
      </c>
      <c r="Q644" s="30">
        <f>VLOOKUP($B644,Hitters!$A1:$R401,8,FALSE)</f>
        <v>1.13333333333333</v>
      </c>
      <c r="R644" s="32">
        <f>VLOOKUP($B644,Hitters!$A1:$R401,9,FALSE)</f>
        <v>0.23954545454545501</v>
      </c>
      <c r="S644" s="32">
        <f>VLOOKUP($B644,Hitters!$A1:$R401,10,FALSE)</f>
        <v>0.27331189710610898</v>
      </c>
      <c r="T644" s="30">
        <f>VLOOKUP($B644,Hitters!$A1:$R401,11,FALSE)</f>
        <v>35.133333333333297</v>
      </c>
      <c r="U644" s="30">
        <f>VLOOKUP($B644,Hitters!$A1:$R401,12,FALSE)</f>
        <v>7.1333333333333302</v>
      </c>
      <c r="V644" s="30">
        <f>VLOOKUP($B644,Hitters!$A1:$R401,13,FALSE)</f>
        <v>0.5</v>
      </c>
      <c r="W644" s="30">
        <f>VLOOKUP($B644,Hitters!$A1:$R401,14,FALSE)</f>
        <v>7.3666666666666698</v>
      </c>
      <c r="X644" s="30">
        <f>VLOOKUP($B644,Hitters!$A1:$R401,15,FALSE)</f>
        <v>31.8333333333333</v>
      </c>
      <c r="Y644" s="32">
        <f>VLOOKUP($B644,Hitters!$A1:$R401,16,FALSE)</f>
        <v>0.38977272727272699</v>
      </c>
      <c r="Z644" s="32">
        <f>VLOOKUP($B644,Hitters!$A1:$R401,17,FALSE)</f>
        <v>0.66308462437883697</v>
      </c>
      <c r="AA644" s="30">
        <f>VLOOKUP($B644,Hitters!$A1:$R401,18,FALSE)</f>
        <v>0</v>
      </c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</row>
    <row r="645" spans="1:44" ht="18.600000000000001" customHeight="1">
      <c r="A645" s="24">
        <f ca="1">RANK(I645,I$2:I$651)</f>
        <v>621</v>
      </c>
      <c r="B645" s="25" t="s">
        <v>717</v>
      </c>
      <c r="C645" s="26" t="s">
        <v>79</v>
      </c>
      <c r="D645" s="26" t="s">
        <v>70</v>
      </c>
      <c r="E645" s="33" t="s">
        <v>15</v>
      </c>
      <c r="F645" s="34">
        <f ca="1">VLOOKUP(B645,'3B'!A1:I55,IF(Settings!$J$13="points",4,7),FALSE)</f>
        <v>50</v>
      </c>
      <c r="G645" s="29">
        <f>(M645*Settings!$B$2)+(N645*Settings!$B$3)+(O645*Settings!$B$4)+(P645*Settings!$B$5)+(Q645*Settings!$B$6)+(T645*Settings!$B$9)+(U645*Settings!$B$10)+(V645*Settings!$B$11)+(W645*Settings!$B$12)+(X645*Settings!$B$13)+(AA645*Settings!$B$16)</f>
        <v>89.349999999999966</v>
      </c>
      <c r="H645" s="30">
        <f>VLOOKUP(B645,'Standard Deviations'!$A1:$D651,4,FALSE)</f>
        <v>-5.5112485643790761</v>
      </c>
      <c r="I645" s="31">
        <f ca="1">IF(Settings!$J$15="no",VLOOKUP(B645,'3B'!A1:I55,IF(Settings!$J$13="points",6,9),FALSE),VLOOKUP(B645,'1B+3B'!$A1:$I104,IF(Settings!$J$13="points",6,9),FALSE))</f>
        <v>-6.2389290499521657</v>
      </c>
      <c r="J645" s="30"/>
      <c r="K645" s="30">
        <f ca="1">J645-A645</f>
        <v>-621</v>
      </c>
      <c r="L645" s="30"/>
      <c r="M645" s="30">
        <f>VLOOKUP($B645,Hitters!$A1:$R401,4,FALSE)</f>
        <v>131</v>
      </c>
      <c r="N645" s="30">
        <f>VLOOKUP($B645,Hitters!$A1:$R401,5,FALSE)</f>
        <v>15.733333333333301</v>
      </c>
      <c r="O645" s="30">
        <f>VLOOKUP($B645,Hitters!$A1:$R401,6,FALSE)</f>
        <v>2.6</v>
      </c>
      <c r="P645" s="30">
        <f>VLOOKUP($B645,Hitters!$A1:$R401,7,FALSE)</f>
        <v>13.766666666666699</v>
      </c>
      <c r="Q645" s="30">
        <f>VLOOKUP($B645,Hitters!$A1:$R401,8,FALSE)</f>
        <v>2.6</v>
      </c>
      <c r="R645" s="32">
        <f>VLOOKUP($B645,Hitters!$A1:$R401,9,FALSE)</f>
        <v>0.24681933842239201</v>
      </c>
      <c r="S645" s="32">
        <f>VLOOKUP($B645,Hitters!$A1:$R401,10,FALSE)</f>
        <v>0.315275209460539</v>
      </c>
      <c r="T645" s="30">
        <f>VLOOKUP($B645,Hitters!$A1:$R401,11,FALSE)</f>
        <v>32.3333333333333</v>
      </c>
      <c r="U645" s="30">
        <f>VLOOKUP($B645,Hitters!$A1:$R401,12,FALSE)</f>
        <v>6.6</v>
      </c>
      <c r="V645" s="30">
        <f>VLOOKUP($B645,Hitters!$A1:$R401,13,FALSE)</f>
        <v>0.83333333333333304</v>
      </c>
      <c r="W645" s="30">
        <f>VLOOKUP($B645,Hitters!$A1:$R401,14,FALSE)</f>
        <v>13.7</v>
      </c>
      <c r="X645" s="30">
        <f>VLOOKUP($B645,Hitters!$A1:$R401,15,FALSE)</f>
        <v>34.966666666666697</v>
      </c>
      <c r="Y645" s="32">
        <f>VLOOKUP($B645,Hitters!$A1:$R401,16,FALSE)</f>
        <v>0.36946564885496203</v>
      </c>
      <c r="Z645" s="32">
        <f>VLOOKUP($B645,Hitters!$A1:$R401,17,FALSE)</f>
        <v>0.68474085831550102</v>
      </c>
      <c r="AA645" s="30">
        <f>VLOOKUP($B645,Hitters!$A1:$R401,18,FALSE)</f>
        <v>0</v>
      </c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</row>
    <row r="646" spans="1:44" ht="18.600000000000001" customHeight="1">
      <c r="A646" s="24">
        <f ca="1">RANK(I646,I$2:I$651)</f>
        <v>649</v>
      </c>
      <c r="B646" s="25" t="s">
        <v>745</v>
      </c>
      <c r="C646" s="26" t="s">
        <v>260</v>
      </c>
      <c r="D646" s="26" t="s">
        <v>70</v>
      </c>
      <c r="E646" s="37" t="s">
        <v>27</v>
      </c>
      <c r="F646" s="38">
        <f ca="1">VLOOKUP(B646,SS!A1:I45,IF(Settings!$J$13="points",4,7),FALSE)</f>
        <v>43</v>
      </c>
      <c r="G646" s="29">
        <f>(M646*Settings!$B$2)+(N646*Settings!$B$3)+(O646*Settings!$B$4)+(P646*Settings!$B$5)+(Q646*Settings!$B$6)+(T646*Settings!$B$9)+(U646*Settings!$B$10)+(V646*Settings!$B$11)+(W646*Settings!$B$12)+(X646*Settings!$B$13)+(AA646*Settings!$B$16)</f>
        <v>86.333333333333329</v>
      </c>
      <c r="H646" s="30">
        <f>VLOOKUP(B646,'Standard Deviations'!$A1:$D651,4,FALSE)</f>
        <v>-6.8336154117247361</v>
      </c>
      <c r="I646" s="31">
        <f ca="1">IF(Settings!$J$16="no",VLOOKUP(B646,SS!A1:I45,IF(Settings!$J$13="points",6,9),FALSE),VLOOKUP(B646,'2B+SS'!$A1:$I94,IF(Settings!$J$13="points",6,9),FALSE))</f>
        <v>-9.8380387075424842</v>
      </c>
      <c r="J646" s="30"/>
      <c r="K646" s="30">
        <f ca="1">J646-A646</f>
        <v>-649</v>
      </c>
      <c r="L646" s="30"/>
      <c r="M646" s="30">
        <f>VLOOKUP($B646,Hitters!$A1:$R401,4,FALSE)</f>
        <v>150</v>
      </c>
      <c r="N646" s="30">
        <f>VLOOKUP($B646,Hitters!$A1:$R401,5,FALSE)</f>
        <v>16.766666666666701</v>
      </c>
      <c r="O646" s="30">
        <f>VLOOKUP($B646,Hitters!$A1:$R401,6,FALSE)</f>
        <v>3.56666666666667</v>
      </c>
      <c r="P646" s="30">
        <f>VLOOKUP($B646,Hitters!$A1:$R401,7,FALSE)</f>
        <v>14.9333333333333</v>
      </c>
      <c r="Q646" s="30">
        <f>VLOOKUP($B646,Hitters!$A1:$R401,8,FALSE)</f>
        <v>2.7666666666666702</v>
      </c>
      <c r="R646" s="32">
        <f>VLOOKUP($B646,Hitters!$A1:$R401,9,FALSE)</f>
        <v>0.21466666666666701</v>
      </c>
      <c r="S646" s="32">
        <f>VLOOKUP($B646,Hitters!$A1:$R401,10,FALSE)</f>
        <v>0.27711573419511198</v>
      </c>
      <c r="T646" s="30">
        <f>VLOOKUP($B646,Hitters!$A1:$R401,11,FALSE)</f>
        <v>32.200000000000003</v>
      </c>
      <c r="U646" s="30">
        <f>VLOOKUP($B646,Hitters!$A1:$R401,12,FALSE)</f>
        <v>5.2333333333333298</v>
      </c>
      <c r="V646" s="30">
        <f>VLOOKUP($B646,Hitters!$A1:$R401,13,FALSE)</f>
        <v>0.46666666666666701</v>
      </c>
      <c r="W646" s="30">
        <f>VLOOKUP($B646,Hitters!$A1:$R401,14,FALSE)</f>
        <v>13.533333333333299</v>
      </c>
      <c r="X646" s="30">
        <f>VLOOKUP($B646,Hitters!$A1:$R401,15,FALSE)</f>
        <v>45.533333333333303</v>
      </c>
      <c r="Y646" s="32">
        <f>VLOOKUP($B646,Hitters!$A1:$R401,16,FALSE)</f>
        <v>0.32711111111111102</v>
      </c>
      <c r="Z646" s="32">
        <f>VLOOKUP($B646,Hitters!$A1:$R401,17,FALSE)</f>
        <v>0.60422684530622295</v>
      </c>
      <c r="AA646" s="30">
        <f>VLOOKUP($B646,Hitters!$A1:$R401,18,FALSE)</f>
        <v>0</v>
      </c>
      <c r="AB646" s="30"/>
      <c r="AC646" s="30"/>
      <c r="AD646" s="32"/>
      <c r="AE646" s="32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</row>
    <row r="647" spans="1:44" ht="18.600000000000001" customHeight="1">
      <c r="A647" s="24">
        <f ca="1">RANK(I647,I$2:I$651)</f>
        <v>645</v>
      </c>
      <c r="B647" s="25" t="s">
        <v>741</v>
      </c>
      <c r="C647" s="26" t="s">
        <v>178</v>
      </c>
      <c r="D647" s="26" t="s">
        <v>75</v>
      </c>
      <c r="E647" s="37" t="s">
        <v>27</v>
      </c>
      <c r="F647" s="38">
        <f ca="1">VLOOKUP(B647,SS!A1:I45,IF(Settings!$J$13="points",4,7),FALSE)</f>
        <v>39</v>
      </c>
      <c r="G647" s="29">
        <f>(M647*Settings!$B$2)+(N647*Settings!$B$3)+(O647*Settings!$B$4)+(P647*Settings!$B$5)+(Q647*Settings!$B$6)+(T647*Settings!$B$9)+(U647*Settings!$B$10)+(V647*Settings!$B$11)+(W647*Settings!$B$12)+(X647*Settings!$B$13)+(AA647*Settings!$B$16)</f>
        <v>81.316666666666663</v>
      </c>
      <c r="H647" s="30">
        <f>VLOOKUP(B647,'Standard Deviations'!$A1:$D651,4,FALSE)</f>
        <v>-5.2096922774980969</v>
      </c>
      <c r="I647" s="31">
        <f ca="1">IF(Settings!$J$16="no",VLOOKUP(B647,SS!A1:I45,IF(Settings!$J$13="points",6,9),FALSE),VLOOKUP(B647,'2B+SS'!$A1:$I94,IF(Settings!$J$13="points",6,9),FALSE))</f>
        <v>-8.2141146375685583</v>
      </c>
      <c r="J647" s="30"/>
      <c r="K647" s="30">
        <f ca="1">J647-A647</f>
        <v>-645</v>
      </c>
      <c r="L647" s="30"/>
      <c r="M647" s="30">
        <f>VLOOKUP($B647,Hitters!$A1:$R401,4,FALSE)</f>
        <v>114</v>
      </c>
      <c r="N647" s="30">
        <f>VLOOKUP($B647,Hitters!$A1:$R401,5,FALSE)</f>
        <v>14.866666666666699</v>
      </c>
      <c r="O647" s="30">
        <f>VLOOKUP($B647,Hitters!$A1:$R401,6,FALSE)</f>
        <v>3.7666666666666702</v>
      </c>
      <c r="P647" s="30">
        <f>VLOOKUP($B647,Hitters!$A1:$R401,7,FALSE)</f>
        <v>14.3</v>
      </c>
      <c r="Q647" s="30">
        <f>VLOOKUP($B647,Hitters!$A1:$R401,8,FALSE)</f>
        <v>1.4666666666666699</v>
      </c>
      <c r="R647" s="32">
        <f>VLOOKUP($B647,Hitters!$A1:$R401,9,FALSE)</f>
        <v>0.25380116959064303</v>
      </c>
      <c r="S647" s="32">
        <f>VLOOKUP($B647,Hitters!$A1:$R401,10,FALSE)</f>
        <v>0.286801610501351</v>
      </c>
      <c r="T647" s="30">
        <f>VLOOKUP($B647,Hitters!$A1:$R401,11,FALSE)</f>
        <v>28.933333333333302</v>
      </c>
      <c r="U647" s="30">
        <f>VLOOKUP($B647,Hitters!$A1:$R401,12,FALSE)</f>
        <v>6.2333333333333298</v>
      </c>
      <c r="V647" s="30">
        <f>VLOOKUP($B647,Hitters!$A1:$R401,13,FALSE)</f>
        <v>0.5</v>
      </c>
      <c r="W647" s="30">
        <f>VLOOKUP($B647,Hitters!$A1:$R401,14,FALSE)</f>
        <v>5.7333333333333298</v>
      </c>
      <c r="X647" s="30">
        <f>VLOOKUP($B647,Hitters!$A1:$R401,15,FALSE)</f>
        <v>28.966666666666701</v>
      </c>
      <c r="Y647" s="32">
        <f>VLOOKUP($B647,Hitters!$A1:$R401,16,FALSE)</f>
        <v>0.41637426900584801</v>
      </c>
      <c r="Z647" s="32">
        <f>VLOOKUP($B647,Hitters!$A1:$R401,17,FALSE)</f>
        <v>0.70317587950719895</v>
      </c>
      <c r="AA647" s="30">
        <f>VLOOKUP($B647,Hitters!$A1:$R401,18,FALSE)</f>
        <v>0</v>
      </c>
      <c r="AB647" s="30"/>
      <c r="AC647" s="30"/>
      <c r="AD647" s="32"/>
      <c r="AE647" s="32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</row>
    <row r="648" spans="1:44" ht="18.600000000000001" customHeight="1">
      <c r="A648" s="24">
        <f ca="1">RANK(I648,I$2:I$651)</f>
        <v>623</v>
      </c>
      <c r="B648" s="25" t="s">
        <v>719</v>
      </c>
      <c r="C648" s="26" t="s">
        <v>92</v>
      </c>
      <c r="D648" s="26" t="s">
        <v>75</v>
      </c>
      <c r="E648" s="33" t="s">
        <v>15</v>
      </c>
      <c r="F648" s="34">
        <f ca="1">VLOOKUP(B648,'3B'!A1:I55,IF(Settings!$J$13="points",4,7),FALSE)</f>
        <v>52</v>
      </c>
      <c r="G648" s="29">
        <f>(M648*Settings!$B$2)+(N648*Settings!$B$3)+(O648*Settings!$B$4)+(P648*Settings!$B$5)+(Q648*Settings!$B$6)+(T648*Settings!$B$9)+(U648*Settings!$B$10)+(V648*Settings!$B$11)+(W648*Settings!$B$12)+(X648*Settings!$B$13)+(AA648*Settings!$B$16)</f>
        <v>80.683333333333309</v>
      </c>
      <c r="H648" s="30">
        <f>VLOOKUP(B648,'Standard Deviations'!$A1:$D651,4,FALSE)</f>
        <v>-5.5819961171314239</v>
      </c>
      <c r="I648" s="31">
        <f ca="1">IF(Settings!$J$15="no",VLOOKUP(B648,'3B'!A1:I55,IF(Settings!$J$13="points",6,9),FALSE),VLOOKUP(B648,'1B+3B'!$A1:$I104,IF(Settings!$J$13="points",6,9),FALSE))</f>
        <v>-6.309675119177907</v>
      </c>
      <c r="J648" s="30"/>
      <c r="K648" s="30">
        <f ca="1">J648-A648</f>
        <v>-623</v>
      </c>
      <c r="L648" s="30"/>
      <c r="M648" s="30">
        <f>VLOOKUP($B648,Hitters!$A1:$R401,4,FALSE)</f>
        <v>116</v>
      </c>
      <c r="N648" s="30">
        <f>VLOOKUP($B648,Hitters!$A1:$R401,5,FALSE)</f>
        <v>14.1666666666667</v>
      </c>
      <c r="O648" s="30">
        <f>VLOOKUP($B648,Hitters!$A1:$R401,6,FALSE)</f>
        <v>2.9666666666666699</v>
      </c>
      <c r="P648" s="30">
        <f>VLOOKUP($B648,Hitters!$A1:$R401,7,FALSE)</f>
        <v>13.8</v>
      </c>
      <c r="Q648" s="30">
        <f>VLOOKUP($B648,Hitters!$A1:$R401,8,FALSE)</f>
        <v>3.4</v>
      </c>
      <c r="R648" s="32">
        <f>VLOOKUP($B648,Hitters!$A1:$R401,9,FALSE)</f>
        <v>0.24339080459770099</v>
      </c>
      <c r="S648" s="32">
        <f>VLOOKUP($B648,Hitters!$A1:$R401,10,FALSE)</f>
        <v>0.29251087302429202</v>
      </c>
      <c r="T648" s="30">
        <f>VLOOKUP($B648,Hitters!$A1:$R401,11,FALSE)</f>
        <v>28.233333333333299</v>
      </c>
      <c r="U648" s="30">
        <f>VLOOKUP($B648,Hitters!$A1:$R401,12,FALSE)</f>
        <v>5.43333333333333</v>
      </c>
      <c r="V648" s="30">
        <f>VLOOKUP($B648,Hitters!$A1:$R401,13,FALSE)</f>
        <v>0.5</v>
      </c>
      <c r="W648" s="30">
        <f>VLOOKUP($B648,Hitters!$A1:$R401,14,FALSE)</f>
        <v>8.5333333333333297</v>
      </c>
      <c r="X648" s="30">
        <f>VLOOKUP($B648,Hitters!$A1:$R401,15,FALSE)</f>
        <v>30.1666666666667</v>
      </c>
      <c r="Y648" s="32">
        <f>VLOOKUP($B648,Hitters!$A1:$R401,16,FALSE)</f>
        <v>0.37557471264367798</v>
      </c>
      <c r="Z648" s="32">
        <f>VLOOKUP($B648,Hitters!$A1:$R401,17,FALSE)</f>
        <v>0.66808558566797005</v>
      </c>
      <c r="AA648" s="30">
        <f>VLOOKUP($B648,Hitters!$A1:$R401,18,FALSE)</f>
        <v>0</v>
      </c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</row>
    <row r="649" spans="1:44" ht="18.600000000000001" customHeight="1">
      <c r="A649" s="24">
        <f ca="1">RANK(I649,I$2:I$651)</f>
        <v>609</v>
      </c>
      <c r="B649" s="49" t="s">
        <v>705</v>
      </c>
      <c r="C649" s="49" t="s">
        <v>105</v>
      </c>
      <c r="D649" s="26" t="s">
        <v>70</v>
      </c>
      <c r="E649" s="45" t="s">
        <v>19</v>
      </c>
      <c r="F649" s="46">
        <f ca="1">VLOOKUP(B649,'C'!A1:I54,IF(Settings!$J$13="points",4,7),FALSE)</f>
        <v>52</v>
      </c>
      <c r="G649" s="29">
        <f>(M649*Settings!$B$2)+(N649*Settings!$B$3)+(O649*Settings!$B$4)+(P649*Settings!$B$5)+(Q649*Settings!$B$6)+(T649*Settings!$B$9)+(U649*Settings!$B$10)+(V649*Settings!$B$11)+(W649*Settings!$B$12)+(X649*Settings!$B$13)+(AA649*Settings!$B$16)</f>
        <v>75.633333333333354</v>
      </c>
      <c r="H649" s="30">
        <f>VLOOKUP(B649,'Standard Deviations'!$A1:$D651,4,FALSE)</f>
        <v>-5.9917561162269788</v>
      </c>
      <c r="I649" s="31">
        <f ca="1">VLOOKUP(B649,'C'!A1:I54,IF(Settings!$J$13="points",6,9),FALSE)</f>
        <v>-5.6746590569465756</v>
      </c>
      <c r="J649" s="30"/>
      <c r="K649" s="30">
        <f ca="1">J649-A649</f>
        <v>-609</v>
      </c>
      <c r="L649" s="30"/>
      <c r="M649" s="30">
        <f>VLOOKUP($B649,Hitters!$A1:$R401,4,FALSE)</f>
        <v>107.666666666667</v>
      </c>
      <c r="N649" s="30">
        <f>VLOOKUP($B649,Hitters!$A1:$R401,5,FALSE)</f>
        <v>14.1</v>
      </c>
      <c r="O649" s="30">
        <f>VLOOKUP($B649,Hitters!$A1:$R401,6,FALSE)</f>
        <v>3.8666666666666698</v>
      </c>
      <c r="P649" s="30">
        <f>VLOOKUP($B649,Hitters!$A1:$R401,7,FALSE)</f>
        <v>13.266666666666699</v>
      </c>
      <c r="Q649" s="30">
        <f>VLOOKUP($B649,Hitters!$A1:$R401,8,FALSE)</f>
        <v>1.2333333333333301</v>
      </c>
      <c r="R649" s="32">
        <f>VLOOKUP($B649,Hitters!$A1:$R401,9,FALSE)</f>
        <v>0.239938080495356</v>
      </c>
      <c r="S649" s="32">
        <f>VLOOKUP($B649,Hitters!$A1:$R401,10,FALSE)</f>
        <v>0.28634550827762301</v>
      </c>
      <c r="T649" s="30">
        <f>VLOOKUP($B649,Hitters!$A1:$R401,11,FALSE)</f>
        <v>25.8333333333333</v>
      </c>
      <c r="U649" s="30">
        <f>VLOOKUP($B649,Hitters!$A1:$R401,12,FALSE)</f>
        <v>5.9666666666666703</v>
      </c>
      <c r="V649" s="30">
        <f>VLOOKUP($B649,Hitters!$A1:$R401,13,FALSE)</f>
        <v>0.43333333333333302</v>
      </c>
      <c r="W649" s="30">
        <f>VLOOKUP($B649,Hitters!$A1:$R401,14,FALSE)</f>
        <v>7.43333333333333</v>
      </c>
      <c r="X649" s="30">
        <f>VLOOKUP($B649,Hitters!$A1:$R401,15,FALSE)</f>
        <v>32.3333333333333</v>
      </c>
      <c r="Y649" s="32">
        <f>VLOOKUP($B649,Hitters!$A1:$R401,16,FALSE)</f>
        <v>0.411145510835913</v>
      </c>
      <c r="Z649" s="32">
        <f>VLOOKUP($B649,Hitters!$A1:$R401,17,FALSE)</f>
        <v>0.69749101911353595</v>
      </c>
      <c r="AA649" s="30">
        <f>VLOOKUP($B649,Hitters!$A1:$R401,18,FALSE)</f>
        <v>0</v>
      </c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</row>
    <row r="650" spans="1:44" ht="18.600000000000001" customHeight="1">
      <c r="A650" s="24">
        <f ca="1">RANK(I650,I$2:I$651)</f>
        <v>650</v>
      </c>
      <c r="B650" s="25" t="s">
        <v>746</v>
      </c>
      <c r="C650" s="26" t="s">
        <v>225</v>
      </c>
      <c r="D650" s="26" t="s">
        <v>75</v>
      </c>
      <c r="E650" s="37" t="s">
        <v>27</v>
      </c>
      <c r="F650" s="38">
        <f ca="1">VLOOKUP(B650,SS!A1:I45,IF(Settings!$J$13="points",4,7),FALSE)</f>
        <v>44</v>
      </c>
      <c r="G650" s="29">
        <f>(M650*Settings!$B$2)+(N650*Settings!$B$3)+(O650*Settings!$B$4)+(P650*Settings!$B$5)+(Q650*Settings!$B$6)+(T650*Settings!$B$9)+(U650*Settings!$B$10)+(V650*Settings!$B$11)+(W650*Settings!$B$12)+(X650*Settings!$B$13)+(AA650*Settings!$B$16)</f>
        <v>73.549999999999983</v>
      </c>
      <c r="H650" s="30">
        <f>VLOOKUP(B650,'Standard Deviations'!$A1:$D651,4,FALSE)</f>
        <v>-7.3643724780263922</v>
      </c>
      <c r="I650" s="31">
        <f ca="1">IF(Settings!$J$16="no",VLOOKUP(B650,SS!A1:I45,IF(Settings!$J$13="points",6,9),FALSE),VLOOKUP(B650,'2B+SS'!$A1:$I94,IF(Settings!$J$13="points",6,9),FALSE))</f>
        <v>-10.368799054617837</v>
      </c>
      <c r="J650" s="30"/>
      <c r="K650" s="30">
        <f ca="1">J650-A650</f>
        <v>-650</v>
      </c>
      <c r="L650" s="30"/>
      <c r="M650" s="30">
        <f>VLOOKUP($B650,Hitters!$A1:$R401,4,FALSE)</f>
        <v>138</v>
      </c>
      <c r="N650" s="30">
        <f>VLOOKUP($B650,Hitters!$A1:$R401,5,FALSE)</f>
        <v>14.366666666666699</v>
      </c>
      <c r="O650" s="30">
        <f>VLOOKUP($B650,Hitters!$A1:$R401,6,FALSE)</f>
        <v>3.7666666666666702</v>
      </c>
      <c r="P650" s="30">
        <f>VLOOKUP($B650,Hitters!$A1:$R401,7,FALSE)</f>
        <v>13.3</v>
      </c>
      <c r="Q650" s="30">
        <f>VLOOKUP($B650,Hitters!$A1:$R401,8,FALSE)</f>
        <v>3.1</v>
      </c>
      <c r="R650" s="32">
        <f>VLOOKUP($B650,Hitters!$A1:$R401,9,FALSE)</f>
        <v>0.20603864734299501</v>
      </c>
      <c r="S650" s="32">
        <f>VLOOKUP($B650,Hitters!$A1:$R401,10,FALSE)</f>
        <v>0.24788719663759201</v>
      </c>
      <c r="T650" s="30">
        <f>VLOOKUP($B650,Hitters!$A1:$R401,11,FALSE)</f>
        <v>28.433333333333302</v>
      </c>
      <c r="U650" s="30">
        <f>VLOOKUP($B650,Hitters!$A1:$R401,12,FALSE)</f>
        <v>5.9666666666666703</v>
      </c>
      <c r="V650" s="30">
        <f>VLOOKUP($B650,Hitters!$A1:$R401,13,FALSE)</f>
        <v>0.5</v>
      </c>
      <c r="W650" s="30">
        <f>VLOOKUP($B650,Hitters!$A1:$R401,14,FALSE)</f>
        <v>8.1333333333333293</v>
      </c>
      <c r="X650" s="30">
        <f>VLOOKUP($B650,Hitters!$A1:$R401,15,FALSE)</f>
        <v>50.766666666666701</v>
      </c>
      <c r="Y650" s="32">
        <f>VLOOKUP($B650,Hitters!$A1:$R401,16,FALSE)</f>
        <v>0.33840579710144902</v>
      </c>
      <c r="Z650" s="32">
        <f>VLOOKUP($B650,Hitters!$A1:$R401,17,FALSE)</f>
        <v>0.58629299373904098</v>
      </c>
      <c r="AA650" s="30">
        <f>VLOOKUP($B650,Hitters!$A1:$R401,18,FALSE)</f>
        <v>0</v>
      </c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</row>
    <row r="651" spans="1:44" ht="18.600000000000001" customHeight="1">
      <c r="A651" s="24">
        <f ca="1">RANK(I651,I$2:I$651)</f>
        <v>634</v>
      </c>
      <c r="B651" s="25" t="s">
        <v>730</v>
      </c>
      <c r="C651" s="26" t="s">
        <v>139</v>
      </c>
      <c r="D651" s="26" t="s">
        <v>75</v>
      </c>
      <c r="E651" s="27" t="s">
        <v>23</v>
      </c>
      <c r="F651" s="28">
        <f ca="1">VLOOKUP(B651,OF!A1:I139,IF(Settings!$J$13="points",4,7),FALSE)</f>
        <v>137</v>
      </c>
      <c r="G651" s="29">
        <f>(M651*Settings!$B$2)+(N651*Settings!$B$3)+(O651*Settings!$B$4)+(P651*Settings!$B$5)+(Q651*Settings!$B$6)+(T651*Settings!$B$9)+(U651*Settings!$B$10)+(V651*Settings!$B$11)+(W651*Settings!$B$12)+(X651*Settings!$B$13)+(AA651*Settings!$B$16)</f>
        <v>71.400000000000006</v>
      </c>
      <c r="H651" s="30">
        <f>VLOOKUP(B651,'Standard Deviations'!$A1:$D651,4,FALSE)</f>
        <v>-7.0400794127366355</v>
      </c>
      <c r="I651" s="31">
        <f ca="1">VLOOKUP(B651,OF!A1:I139,IF(Settings!$J$13="points",6,9),FALSE)</f>
        <v>-7.1587940311883882</v>
      </c>
      <c r="J651" s="30"/>
      <c r="K651" s="30">
        <f ca="1">J651-A651</f>
        <v>-634</v>
      </c>
      <c r="L651" s="30"/>
      <c r="M651" s="30">
        <f>VLOOKUP($B651,Hitters!$A1:$R401,4,FALSE)</f>
        <v>115.333333333333</v>
      </c>
      <c r="N651" s="30">
        <f>VLOOKUP($B651,Hitters!$A1:$R401,5,FALSE)</f>
        <v>14.366666666666699</v>
      </c>
      <c r="O651" s="30">
        <f>VLOOKUP($B651,Hitters!$A1:$R401,6,FALSE)</f>
        <v>1.7666666666666699</v>
      </c>
      <c r="P651" s="30">
        <f>VLOOKUP($B651,Hitters!$A1:$R401,7,FALSE)</f>
        <v>10.8</v>
      </c>
      <c r="Q651" s="30">
        <f>VLOOKUP($B651,Hitters!$A1:$R401,8,FALSE)</f>
        <v>1.86666666666667</v>
      </c>
      <c r="R651" s="32">
        <f>VLOOKUP($B651,Hitters!$A1:$R401,9,FALSE)</f>
        <v>0.22398843930635801</v>
      </c>
      <c r="S651" s="32">
        <f>VLOOKUP($B651,Hitters!$A1:$R401,10,FALSE)</f>
        <v>0.28854706220896797</v>
      </c>
      <c r="T651" s="30">
        <f>VLOOKUP($B651,Hitters!$A1:$R401,11,FALSE)</f>
        <v>25.8333333333333</v>
      </c>
      <c r="U651" s="30">
        <f>VLOOKUP($B651,Hitters!$A1:$R401,12,FALSE)</f>
        <v>4.8666666666666698</v>
      </c>
      <c r="V651" s="30">
        <f>VLOOKUP($B651,Hitters!$A1:$R401,13,FALSE)</f>
        <v>0.83333333333333304</v>
      </c>
      <c r="W651" s="30">
        <f>VLOOKUP($B651,Hitters!$A1:$R401,14,FALSE)</f>
        <v>10.9333333333333</v>
      </c>
      <c r="X651" s="30">
        <f>VLOOKUP($B651,Hitters!$A1:$R401,15,FALSE)</f>
        <v>27.133333333333301</v>
      </c>
      <c r="Y651" s="32">
        <f>VLOOKUP($B651,Hitters!$A1:$R401,16,FALSE)</f>
        <v>0.32658959537572302</v>
      </c>
      <c r="Z651" s="32">
        <f>VLOOKUP($B651,Hitters!$A1:$R401,17,FALSE)</f>
        <v>0.61513665758469005</v>
      </c>
      <c r="AA651" s="30">
        <f>VLOOKUP($B651,Hitters!$A1:$R401,18,FALSE)</f>
        <v>0</v>
      </c>
      <c r="AB651" s="30"/>
      <c r="AC651" s="30"/>
      <c r="AD651" s="32"/>
      <c r="AE651" s="32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</row>
  </sheetData>
  <autoFilter ref="A1:AR651" xr:uid="{00000000-0001-0000-0100-000000000000}">
    <filterColumn colId="4" showButton="0"/>
    <sortState xmlns:xlrd2="http://schemas.microsoft.com/office/spreadsheetml/2017/richdata2" ref="A2:AR651">
      <sortCondition descending="1" ref="G1:G651"/>
    </sortState>
  </autoFilter>
  <mergeCells count="1">
    <mergeCell ref="E1:F1"/>
  </mergeCells>
  <conditionalFormatting sqref="K2:K651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42"/>
  <sheetViews>
    <sheetView showGridLines="0" workbookViewId="0">
      <selection activeCell="C47" sqref="C47"/>
    </sheetView>
  </sheetViews>
  <sheetFormatPr defaultColWidth="16.28515625" defaultRowHeight="20.100000000000001" customHeight="1"/>
  <cols>
    <col min="1" max="1" width="23.7109375" style="1" customWidth="1"/>
    <col min="2" max="3" width="7.140625" style="1" customWidth="1"/>
    <col min="4" max="5" width="6" style="1" customWidth="1"/>
    <col min="6" max="8" width="9.42578125" style="1" customWidth="1"/>
    <col min="9" max="9" width="2.28515625" style="1" customWidth="1"/>
    <col min="10" max="25" width="7.140625" style="1" customWidth="1"/>
    <col min="26" max="26" width="16.28515625" style="1" customWidth="1"/>
    <col min="27" max="16384" width="16.28515625" style="1"/>
  </cols>
  <sheetData>
    <row r="1" spans="1:25" ht="18.600000000000001" customHeight="1">
      <c r="A1" s="50" t="s">
        <v>747</v>
      </c>
      <c r="B1" s="51" t="s">
        <v>60</v>
      </c>
      <c r="C1" s="52" t="s">
        <v>61</v>
      </c>
      <c r="D1" s="157" t="s">
        <v>62</v>
      </c>
      <c r="E1" s="158"/>
      <c r="F1" s="53" t="s">
        <v>63</v>
      </c>
      <c r="G1" s="51" t="s">
        <v>64</v>
      </c>
      <c r="H1" s="51" t="s">
        <v>65</v>
      </c>
      <c r="I1" s="54"/>
      <c r="J1" s="51" t="s">
        <v>5</v>
      </c>
      <c r="K1" s="51" t="s">
        <v>9</v>
      </c>
      <c r="L1" s="51" t="s">
        <v>13</v>
      </c>
      <c r="M1" s="51" t="s">
        <v>17</v>
      </c>
      <c r="N1" s="51" t="s">
        <v>21</v>
      </c>
      <c r="O1" s="51" t="s">
        <v>25</v>
      </c>
      <c r="P1" s="51" t="s">
        <v>29</v>
      </c>
      <c r="Q1" s="51" t="s">
        <v>33</v>
      </c>
      <c r="R1" s="51" t="s">
        <v>11</v>
      </c>
      <c r="S1" s="51" t="s">
        <v>15</v>
      </c>
      <c r="T1" s="51" t="s">
        <v>36</v>
      </c>
      <c r="U1" s="51" t="s">
        <v>40</v>
      </c>
      <c r="V1" s="51" t="s">
        <v>45</v>
      </c>
      <c r="W1" s="51" t="s">
        <v>47</v>
      </c>
      <c r="X1" s="51" t="s">
        <v>52</v>
      </c>
      <c r="Y1" s="54"/>
    </row>
    <row r="2" spans="1:25" ht="18.600000000000001" customHeight="1">
      <c r="A2" s="55" t="s">
        <v>94</v>
      </c>
      <c r="B2" s="56" t="str">
        <f>IFERROR(VLOOKUP($A2,Rankings!B1:C519,2,FALSE)," ")</f>
        <v>TOR</v>
      </c>
      <c r="C2" s="56" t="str">
        <f>IFERROR(VLOOKUP($A2,Rankings!B1:D519,3,FALSE)," ")</f>
        <v>AL</v>
      </c>
      <c r="D2" s="57" t="s">
        <v>7</v>
      </c>
      <c r="E2" s="58">
        <f ca="1">IFERROR(VLOOKUP($A2,Rankings!B1:F519,5,FALSE)," ")</f>
        <v>1</v>
      </c>
      <c r="F2" s="59">
        <f>IFERROR((J2*Settings!$B$2)+(K2*Settings!$B$3)+(L2*Settings!$B$4)+(M2*Settings!$B$5)+(N2*Settings!$B$6)+(Q2*Settings!$B$9)+(R2*Settings!$B$10)+(S2*Settings!$B$11)+(T2*Settings!$B$12)+(U2*Settings!$B$13)+(X2*Settings!$B$16)," ")</f>
        <v>613.89999999999986</v>
      </c>
      <c r="G2" s="60">
        <f>IFERROR(VLOOKUP(A2,'Standard Deviations'!A1:D536,4,FALSE)," ")</f>
        <v>9.4681026225587495</v>
      </c>
      <c r="H2" s="61">
        <f ca="1">IFERROR(VLOOKUP($A2,Rankings!B1:I519,8,FALSE)," ")</f>
        <v>6.8885759713139345</v>
      </c>
      <c r="I2" s="60"/>
      <c r="J2" s="60">
        <f>IFERROR(VLOOKUP($A2,Hitters!$A1:$R1500,4,FALSE)," ")</f>
        <v>582.66666666666697</v>
      </c>
      <c r="K2" s="60">
        <f>IFERROR(VLOOKUP($A2,Hitters!$A1:$R1500,5,FALSE)," ")</f>
        <v>100.9</v>
      </c>
      <c r="L2" s="60">
        <f>IFERROR(VLOOKUP($A2,Hitters!$A1:$R1500,6,FALSE)," ")</f>
        <v>36.5</v>
      </c>
      <c r="M2" s="60">
        <f>IFERROR(VLOOKUP($A2,Hitters!$A1:$R1500,7,FALSE)," ")</f>
        <v>104</v>
      </c>
      <c r="N2" s="60">
        <f>IFERROR(VLOOKUP($A2,Hitters!$A1:$R1500,8,FALSE)," ")</f>
        <v>6.0333333333333297</v>
      </c>
      <c r="O2" s="62">
        <f>IFERROR(VLOOKUP($A2,Hitters!$A1:$R1500,9,FALSE)," ")</f>
        <v>0.29113272311212801</v>
      </c>
      <c r="P2" s="62">
        <f>IFERROR(VLOOKUP($A2,Hitters!$A1:$R1500,10,FALSE)," ")</f>
        <v>0.359697933227345</v>
      </c>
      <c r="Q2" s="60">
        <f>IFERROR(VLOOKUP($A2,Hitters!$A1:$R1500,11,FALSE)," ")</f>
        <v>169.63333333333301</v>
      </c>
      <c r="R2" s="60">
        <f>IFERROR(VLOOKUP($A2,Hitters!$A1:$R1500,12,FALSE)," ")</f>
        <v>32.5</v>
      </c>
      <c r="S2" s="60">
        <f>IFERROR(VLOOKUP($A2,Hitters!$A1:$R1500,13,FALSE)," ")</f>
        <v>0.93333333333333302</v>
      </c>
      <c r="T2" s="60">
        <f>IFERROR(VLOOKUP($A2,Hitters!$A1:$R1500,14,FALSE)," ")</f>
        <v>65.6666666666667</v>
      </c>
      <c r="U2" s="60">
        <f>IFERROR(VLOOKUP($A2,Hitters!$A1:$R1500,15,FALSE)," ")</f>
        <v>104.333333333333</v>
      </c>
      <c r="V2" s="62">
        <f>IFERROR(VLOOKUP($A2,Hitters!$A1:$R1500,16,FALSE)," ")</f>
        <v>0.53804347826086996</v>
      </c>
      <c r="W2" s="62">
        <f>IFERROR(VLOOKUP($A2,Hitters!$A1:$R1500,17,FALSE)," ")</f>
        <v>0.89774141148821496</v>
      </c>
      <c r="X2" s="60">
        <f>IFERROR(VLOOKUP($A2,Hitters!$A1:$R1500,18,FALSE)," ")</f>
        <v>0</v>
      </c>
      <c r="Y2" s="60"/>
    </row>
    <row r="3" spans="1:25" ht="18.600000000000001" customHeight="1">
      <c r="A3" s="63"/>
      <c r="B3" s="11" t="str">
        <f>IFERROR(VLOOKUP($A3,Rankings!B1:C519,2,FALSE)," ")</f>
        <v xml:space="preserve"> </v>
      </c>
      <c r="C3" s="11" t="str">
        <f>IFERROR(VLOOKUP($A3,Rankings!B1:D519,3,FALSE)," ")</f>
        <v xml:space="preserve"> </v>
      </c>
      <c r="D3" s="64" t="s">
        <v>7</v>
      </c>
      <c r="E3" s="65" t="str">
        <f>IFERROR(VLOOKUP($A3,Rankings!B1:F519,5,FALSE)," ")</f>
        <v xml:space="preserve"> </v>
      </c>
      <c r="F3" s="66" t="str">
        <f>IFERROR((J3*Settings!$B$2)+(K3*Settings!$B$3)+(L3*Settings!$B$4)+(M3*Settings!$B$5)+(N3*Settings!$B$6)+(Q3*Settings!$B$9)+(R3*Settings!$B$10)+(S3*Settings!$B$11)+(T3*Settings!$B$12)+(U3*Settings!$B$13)+(X3*Settings!$B$16)," ")</f>
        <v xml:space="preserve"> </v>
      </c>
      <c r="G3" s="11" t="str">
        <f>IFERROR(VLOOKUP(A3,'Standard Deviations'!A1:D536,4,FALSE)," ")</f>
        <v xml:space="preserve"> </v>
      </c>
      <c r="H3" s="9" t="str">
        <f>IFERROR(VLOOKUP($A3,Rankings!B1:I519,8,FALSE)," ")</f>
        <v xml:space="preserve"> </v>
      </c>
      <c r="I3" s="67"/>
      <c r="J3" s="11" t="str">
        <f>IFERROR(VLOOKUP($A3,Hitters!$A1:$R1500,4,FALSE)," ")</f>
        <v xml:space="preserve"> </v>
      </c>
      <c r="K3" s="11" t="str">
        <f>IFERROR(VLOOKUP($A3,Hitters!$A1:$R1500,5,FALSE)," ")</f>
        <v xml:space="preserve"> </v>
      </c>
      <c r="L3" s="11" t="str">
        <f>IFERROR(VLOOKUP($A3,Hitters!$A1:$R1500,6,FALSE)," ")</f>
        <v xml:space="preserve"> </v>
      </c>
      <c r="M3" s="11" t="str">
        <f>IFERROR(VLOOKUP($A3,Hitters!$A1:$R1500,7,FALSE)," ")</f>
        <v xml:space="preserve"> </v>
      </c>
      <c r="N3" s="11" t="str">
        <f>IFERROR(VLOOKUP($A3,Hitters!$A1:$R1500,8,FALSE)," ")</f>
        <v xml:space="preserve"> </v>
      </c>
      <c r="O3" s="11" t="str">
        <f>IFERROR(VLOOKUP($A3,Hitters!$A1:$R1500,9,FALSE)," ")</f>
        <v xml:space="preserve"> </v>
      </c>
      <c r="P3" s="11" t="str">
        <f>IFERROR(VLOOKUP($A3,Hitters!$A1:$R1500,10,FALSE)," ")</f>
        <v xml:space="preserve"> </v>
      </c>
      <c r="Q3" s="11" t="str">
        <f>IFERROR(VLOOKUP($A3,Hitters!$A1:$R1500,11,FALSE)," ")</f>
        <v xml:space="preserve"> </v>
      </c>
      <c r="R3" s="11" t="str">
        <f>IFERROR(VLOOKUP($A3,Hitters!$A1:$R1500,12,FALSE)," ")</f>
        <v xml:space="preserve"> </v>
      </c>
      <c r="S3" s="11" t="str">
        <f>IFERROR(VLOOKUP($A3,Hitters!$A1:$R1500,13,FALSE)," ")</f>
        <v xml:space="preserve"> </v>
      </c>
      <c r="T3" s="11" t="str">
        <f>IFERROR(VLOOKUP($A3,Hitters!$A1:$R1500,14,FALSE)," ")</f>
        <v xml:space="preserve"> </v>
      </c>
      <c r="U3" s="11" t="str">
        <f>IFERROR(VLOOKUP($A3,Hitters!$A1:$R1500,15,FALSE)," ")</f>
        <v xml:space="preserve"> </v>
      </c>
      <c r="V3" s="11" t="str">
        <f>IFERROR(VLOOKUP($A3,Hitters!$A1:$R1500,16,FALSE)," ")</f>
        <v xml:space="preserve"> </v>
      </c>
      <c r="W3" s="11" t="str">
        <f>IFERROR(VLOOKUP($A3,Hitters!$A1:$R1500,17,FALSE)," ")</f>
        <v xml:space="preserve"> </v>
      </c>
      <c r="X3" s="11" t="str">
        <f>IFERROR(VLOOKUP($A3,Hitters!$A1:$R1500,18,FALSE)," ")</f>
        <v xml:space="preserve"> </v>
      </c>
      <c r="Y3" s="6"/>
    </row>
    <row r="4" spans="1:25" ht="18.600000000000001" customHeight="1">
      <c r="A4" s="63"/>
      <c r="B4" s="11" t="str">
        <f>IFERROR(VLOOKUP($A4,Rankings!B1:C519,2,FALSE)," ")</f>
        <v xml:space="preserve"> </v>
      </c>
      <c r="C4" s="11" t="str">
        <f>IFERROR(VLOOKUP($A4,Rankings!B1:D519,3,FALSE)," ")</f>
        <v xml:space="preserve"> </v>
      </c>
      <c r="D4" s="64" t="s">
        <v>7</v>
      </c>
      <c r="E4" s="65" t="str">
        <f>IFERROR(VLOOKUP($A4,Rankings!B1:F519,5,FALSE)," ")</f>
        <v xml:space="preserve"> </v>
      </c>
      <c r="F4" s="66" t="str">
        <f>IFERROR((J4*Settings!$B$2)+(K4*Settings!$B$3)+(L4*Settings!$B$4)+(M4*Settings!$B$5)+(N4*Settings!$B$6)+(Q4*Settings!$B$9)+(R4*Settings!$B$10)+(S4*Settings!$B$11)+(T4*Settings!$B$12)+(U4*Settings!$B$13)+(X4*Settings!$B$16)," ")</f>
        <v xml:space="preserve"> </v>
      </c>
      <c r="G4" s="11" t="str">
        <f>IFERROR(VLOOKUP(A4,'Standard Deviations'!A1:D536,4,FALSE)," ")</f>
        <v xml:space="preserve"> </v>
      </c>
      <c r="H4" s="9" t="str">
        <f>IFERROR(VLOOKUP($A4,Rankings!B1:I519,8,FALSE)," ")</f>
        <v xml:space="preserve"> </v>
      </c>
      <c r="I4" s="67"/>
      <c r="J4" s="11" t="str">
        <f>IFERROR(VLOOKUP($A4,Hitters!$A1:$R1500,4,FALSE)," ")</f>
        <v xml:space="preserve"> </v>
      </c>
      <c r="K4" s="11" t="str">
        <f>IFERROR(VLOOKUP($A4,Hitters!$A1:$R1500,5,FALSE)," ")</f>
        <v xml:space="preserve"> </v>
      </c>
      <c r="L4" s="11" t="str">
        <f>IFERROR(VLOOKUP($A4,Hitters!$A1:$R1500,6,FALSE)," ")</f>
        <v xml:space="preserve"> </v>
      </c>
      <c r="M4" s="11" t="str">
        <f>IFERROR(VLOOKUP($A4,Hitters!$A1:$R1500,7,FALSE)," ")</f>
        <v xml:space="preserve"> </v>
      </c>
      <c r="N4" s="11" t="str">
        <f>IFERROR(VLOOKUP($A4,Hitters!$A1:$R1500,8,FALSE)," ")</f>
        <v xml:space="preserve"> </v>
      </c>
      <c r="O4" s="11" t="str">
        <f>IFERROR(VLOOKUP($A4,Hitters!$A1:$R1500,9,FALSE)," ")</f>
        <v xml:space="preserve"> </v>
      </c>
      <c r="P4" s="11" t="str">
        <f>IFERROR(VLOOKUP($A4,Hitters!$A1:$R1500,10,FALSE)," ")</f>
        <v xml:space="preserve"> </v>
      </c>
      <c r="Q4" s="11" t="str">
        <f>IFERROR(VLOOKUP($A4,Hitters!$A1:$R1500,11,FALSE)," ")</f>
        <v xml:space="preserve"> </v>
      </c>
      <c r="R4" s="11" t="str">
        <f>IFERROR(VLOOKUP($A4,Hitters!$A1:$R1500,12,FALSE)," ")</f>
        <v xml:space="preserve"> </v>
      </c>
      <c r="S4" s="11" t="str">
        <f>IFERROR(VLOOKUP($A4,Hitters!$A1:$R1500,13,FALSE)," ")</f>
        <v xml:space="preserve"> </v>
      </c>
      <c r="T4" s="11" t="str">
        <f>IFERROR(VLOOKUP($A4,Hitters!$A1:$R1500,14,FALSE)," ")</f>
        <v xml:space="preserve"> </v>
      </c>
      <c r="U4" s="11" t="str">
        <f>IFERROR(VLOOKUP($A4,Hitters!$A1:$R1500,15,FALSE)," ")</f>
        <v xml:space="preserve"> </v>
      </c>
      <c r="V4" s="11" t="str">
        <f>IFERROR(VLOOKUP($A4,Hitters!$A1:$R1500,16,FALSE)," ")</f>
        <v xml:space="preserve"> </v>
      </c>
      <c r="W4" s="11" t="str">
        <f>IFERROR(VLOOKUP($A4,Hitters!$A1:$R1500,17,FALSE)," ")</f>
        <v xml:space="preserve"> </v>
      </c>
      <c r="X4" s="11" t="str">
        <f>IFERROR(VLOOKUP($A4,Hitters!$A1:$R1500,18,FALSE)," ")</f>
        <v xml:space="preserve"> </v>
      </c>
      <c r="Y4" s="6"/>
    </row>
    <row r="5" spans="1:25" ht="18.600000000000001" customHeight="1">
      <c r="A5" s="68" t="s">
        <v>198</v>
      </c>
      <c r="B5" s="11" t="str">
        <f>IFERROR(VLOOKUP($A5,Rankings!B1:C519,2,FALSE)," ")</f>
        <v>ATL</v>
      </c>
      <c r="C5" s="11" t="str">
        <f>IFERROR(VLOOKUP($A5,Rankings!B1:D519,3,FALSE)," ")</f>
        <v>NL</v>
      </c>
      <c r="D5" s="69" t="s">
        <v>11</v>
      </c>
      <c r="E5" s="70">
        <f ca="1">IFERROR(VLOOKUP($A5,Rankings!B1:F519,5,FALSE)," ")</f>
        <v>6</v>
      </c>
      <c r="F5" s="71">
        <f>IFERROR((J5*Settings!$B$2)+(K5*Settings!$B$3)+(L5*Settings!$B$4)+(M5*Settings!$B$5)+(N5*Settings!$B$6)+(Q5*Settings!$B$9)+(R5*Settings!$B$10)+(S5*Settings!$B$11)+(T5*Settings!$B$12)+(U5*Settings!$B$13)+(X5*Settings!$B$16)," ")</f>
        <v>470.06666666666655</v>
      </c>
      <c r="G5" s="67">
        <f>IFERROR(VLOOKUP(A5,'Standard Deviations'!A1:D536,4,FALSE)," ")</f>
        <v>5.1820346763472296</v>
      </c>
      <c r="H5" s="72">
        <f ca="1">IFERROR(VLOOKUP($A5,Rankings!B1:I519,8,FALSE)," ")</f>
        <v>2.8743053163210286</v>
      </c>
      <c r="I5" s="67"/>
      <c r="J5" s="67">
        <f>IFERROR(VLOOKUP($A5,Hitters!$A1:$R1500,4,FALSE)," ")</f>
        <v>535</v>
      </c>
      <c r="K5" s="67">
        <f>IFERROR(VLOOKUP($A5,Hitters!$A1:$R1500,5,FALSE)," ")</f>
        <v>80.3333333333333</v>
      </c>
      <c r="L5" s="67">
        <f>IFERROR(VLOOKUP($A5,Hitters!$A1:$R1500,6,FALSE)," ")</f>
        <v>21.433333333333302</v>
      </c>
      <c r="M5" s="67">
        <f>IFERROR(VLOOKUP($A5,Hitters!$A1:$R1500,7,FALSE)," ")</f>
        <v>78.400000000000006</v>
      </c>
      <c r="N5" s="67">
        <f>IFERROR(VLOOKUP($A5,Hitters!$A1:$R1500,8,FALSE)," ")</f>
        <v>14.1</v>
      </c>
      <c r="O5" s="73">
        <f>IFERROR(VLOOKUP($A5,Hitters!$A1:$R1500,9,FALSE)," ")</f>
        <v>0.26056074766355097</v>
      </c>
      <c r="P5" s="73">
        <f>IFERROR(VLOOKUP($A5,Hitters!$A1:$R1500,10,FALSE)," ")</f>
        <v>0.30633488077045101</v>
      </c>
      <c r="Q5" s="67">
        <f>IFERROR(VLOOKUP($A5,Hitters!$A1:$R1500,11,FALSE)," ")</f>
        <v>139.4</v>
      </c>
      <c r="R5" s="67">
        <f>IFERROR(VLOOKUP($A5,Hitters!$A1:$R1500,12,FALSE)," ")</f>
        <v>31.966666666666701</v>
      </c>
      <c r="S5" s="67">
        <f>IFERROR(VLOOKUP($A5,Hitters!$A1:$R1500,13,FALSE)," ")</f>
        <v>3.2333333333333298</v>
      </c>
      <c r="T5" s="67">
        <f>IFERROR(VLOOKUP($A5,Hitters!$A1:$R1500,14,FALSE)," ")</f>
        <v>37.6666666666667</v>
      </c>
      <c r="U5" s="67">
        <f>IFERROR(VLOOKUP($A5,Hitters!$A1:$R1500,15,FALSE)," ")</f>
        <v>106.6</v>
      </c>
      <c r="V5" s="73">
        <f>IFERROR(VLOOKUP($A5,Hitters!$A1:$R1500,16,FALSE)," ")</f>
        <v>0.45258566978193099</v>
      </c>
      <c r="W5" s="73">
        <f>IFERROR(VLOOKUP($A5,Hitters!$A1:$R1500,17,FALSE)," ")</f>
        <v>0.75892055055238195</v>
      </c>
      <c r="X5" s="67">
        <f>IFERROR(VLOOKUP($A5,Hitters!$A1:$R1500,18,FALSE)," ")</f>
        <v>0</v>
      </c>
      <c r="Y5" s="67"/>
    </row>
    <row r="6" spans="1:25" ht="18.600000000000001" customHeight="1">
      <c r="A6" s="63"/>
      <c r="B6" s="11" t="str">
        <f>IFERROR(VLOOKUP($A6,Rankings!B1:C519,2,FALSE)," ")</f>
        <v xml:space="preserve"> </v>
      </c>
      <c r="C6" s="11" t="str">
        <f>IFERROR(VLOOKUP($A6,Rankings!B1:D519,3,FALSE)," ")</f>
        <v xml:space="preserve"> </v>
      </c>
      <c r="D6" s="69" t="s">
        <v>11</v>
      </c>
      <c r="E6" s="74" t="str">
        <f>IFERROR(VLOOKUP($A6,Rankings!B1:F519,5,FALSE)," ")</f>
        <v xml:space="preserve"> </v>
      </c>
      <c r="F6" s="66" t="str">
        <f>IFERROR((J6*Settings!$B$2)+(K6*Settings!$B$3)+(L6*Settings!$B$4)+(M6*Settings!$B$5)+(N6*Settings!$B$6)+(Q6*Settings!$B$9)+(R6*Settings!$B$10)+(S6*Settings!$B$11)+(T6*Settings!$B$12)+(U6*Settings!$B$13)+(X6*Settings!$B$16)," ")</f>
        <v xml:space="preserve"> </v>
      </c>
      <c r="G6" s="11" t="str">
        <f>IFERROR(VLOOKUP(A6,'Standard Deviations'!A1:D536,4,FALSE)," ")</f>
        <v xml:space="preserve"> </v>
      </c>
      <c r="H6" s="9" t="str">
        <f>IFERROR(VLOOKUP($A6,Rankings!B1:I519,8,FALSE)," ")</f>
        <v xml:space="preserve"> </v>
      </c>
      <c r="I6" s="67"/>
      <c r="J6" s="11" t="str">
        <f>IFERROR(VLOOKUP($A6,Hitters!$A1:$R1500,4,FALSE)," ")</f>
        <v xml:space="preserve"> </v>
      </c>
      <c r="K6" s="11" t="str">
        <f>IFERROR(VLOOKUP($A6,Hitters!$A1:$R1500,5,FALSE)," ")</f>
        <v xml:space="preserve"> </v>
      </c>
      <c r="L6" s="11" t="str">
        <f>IFERROR(VLOOKUP($A6,Hitters!$A1:$R1500,6,FALSE)," ")</f>
        <v xml:space="preserve"> </v>
      </c>
      <c r="M6" s="11" t="str">
        <f>IFERROR(VLOOKUP($A6,Hitters!$A1:$R1500,7,FALSE)," ")</f>
        <v xml:space="preserve"> </v>
      </c>
      <c r="N6" s="11" t="str">
        <f>IFERROR(VLOOKUP($A6,Hitters!$A1:$R1500,8,FALSE)," ")</f>
        <v xml:space="preserve"> </v>
      </c>
      <c r="O6" s="11" t="str">
        <f>IFERROR(VLOOKUP($A6,Hitters!$A1:$R1500,9,FALSE)," ")</f>
        <v xml:space="preserve"> </v>
      </c>
      <c r="P6" s="11" t="str">
        <f>IFERROR(VLOOKUP($A6,Hitters!$A1:$R1500,10,FALSE)," ")</f>
        <v xml:space="preserve"> </v>
      </c>
      <c r="Q6" s="11" t="str">
        <f>IFERROR(VLOOKUP($A6,Hitters!$A1:$R1500,11,FALSE)," ")</f>
        <v xml:space="preserve"> </v>
      </c>
      <c r="R6" s="11" t="str">
        <f>IFERROR(VLOOKUP($A6,Hitters!$A1:$R1500,12,FALSE)," ")</f>
        <v xml:space="preserve"> </v>
      </c>
      <c r="S6" s="11" t="str">
        <f>IFERROR(VLOOKUP($A6,Hitters!$A1:$R1500,13,FALSE)," ")</f>
        <v xml:space="preserve"> </v>
      </c>
      <c r="T6" s="11" t="str">
        <f>IFERROR(VLOOKUP($A6,Hitters!$A1:$R1500,14,FALSE)," ")</f>
        <v xml:space="preserve"> </v>
      </c>
      <c r="U6" s="11" t="str">
        <f>IFERROR(VLOOKUP($A6,Hitters!$A1:$R1500,15,FALSE)," ")</f>
        <v xml:space="preserve"> </v>
      </c>
      <c r="V6" s="11" t="str">
        <f>IFERROR(VLOOKUP($A6,Hitters!$A1:$R1500,16,FALSE)," ")</f>
        <v xml:space="preserve"> </v>
      </c>
      <c r="W6" s="11" t="str">
        <f>IFERROR(VLOOKUP($A6,Hitters!$A1:$R1500,17,FALSE)," ")</f>
        <v xml:space="preserve"> </v>
      </c>
      <c r="X6" s="11" t="str">
        <f>IFERROR(VLOOKUP($A6,Hitters!$A1:$R1500,18,FALSE)," ")</f>
        <v xml:space="preserve"> </v>
      </c>
      <c r="Y6" s="6"/>
    </row>
    <row r="7" spans="1:25" ht="18.600000000000001" customHeight="1">
      <c r="A7" s="63"/>
      <c r="B7" s="11" t="str">
        <f>IFERROR(VLOOKUP($A7,Rankings!B1:C519,2,FALSE)," ")</f>
        <v xml:space="preserve"> </v>
      </c>
      <c r="C7" s="11" t="str">
        <f>IFERROR(VLOOKUP($A7,Rankings!B1:D519,3,FALSE)," ")</f>
        <v xml:space="preserve"> </v>
      </c>
      <c r="D7" s="69" t="s">
        <v>11</v>
      </c>
      <c r="E7" s="74" t="str">
        <f>IFERROR(VLOOKUP($A7,Rankings!B1:F519,5,FALSE)," ")</f>
        <v xml:space="preserve"> </v>
      </c>
      <c r="F7" s="66" t="str">
        <f>IFERROR((J7*Settings!$B$2)+(K7*Settings!$B$3)+(L7*Settings!$B$4)+(M7*Settings!$B$5)+(N7*Settings!$B$6)+(Q7*Settings!$B$9)+(R7*Settings!$B$10)+(S7*Settings!$B$11)+(T7*Settings!$B$12)+(U7*Settings!$B$13)+(X7*Settings!$B$16)," ")</f>
        <v xml:space="preserve"> </v>
      </c>
      <c r="G7" s="11" t="str">
        <f>IFERROR(VLOOKUP(A7,'Standard Deviations'!A1:D536,4,FALSE)," ")</f>
        <v xml:space="preserve"> </v>
      </c>
      <c r="H7" s="9" t="str">
        <f>IFERROR(VLOOKUP($A7,Rankings!B1:I519,8,FALSE)," ")</f>
        <v xml:space="preserve"> </v>
      </c>
      <c r="I7" s="67"/>
      <c r="J7" s="11" t="str">
        <f>IFERROR(VLOOKUP($A7,Hitters!$A1:$R1500,4,FALSE)," ")</f>
        <v xml:space="preserve"> </v>
      </c>
      <c r="K7" s="11" t="str">
        <f>IFERROR(VLOOKUP($A7,Hitters!$A1:$R1500,5,FALSE)," ")</f>
        <v xml:space="preserve"> </v>
      </c>
      <c r="L7" s="11" t="str">
        <f>IFERROR(VLOOKUP($A7,Hitters!$A1:$R1500,6,FALSE)," ")</f>
        <v xml:space="preserve"> </v>
      </c>
      <c r="M7" s="11" t="str">
        <f>IFERROR(VLOOKUP($A7,Hitters!$A1:$R1500,7,FALSE)," ")</f>
        <v xml:space="preserve"> </v>
      </c>
      <c r="N7" s="11" t="str">
        <f>IFERROR(VLOOKUP($A7,Hitters!$A1:$R1500,8,FALSE)," ")</f>
        <v xml:space="preserve"> </v>
      </c>
      <c r="O7" s="11" t="str">
        <f>IFERROR(VLOOKUP($A7,Hitters!$A1:$R1500,9,FALSE)," ")</f>
        <v xml:space="preserve"> </v>
      </c>
      <c r="P7" s="11" t="str">
        <f>IFERROR(VLOOKUP($A7,Hitters!$A1:$R1500,10,FALSE)," ")</f>
        <v xml:space="preserve"> </v>
      </c>
      <c r="Q7" s="11" t="str">
        <f>IFERROR(VLOOKUP($A7,Hitters!$A1:$R1500,11,FALSE)," ")</f>
        <v xml:space="preserve"> </v>
      </c>
      <c r="R7" s="11" t="str">
        <f>IFERROR(VLOOKUP($A7,Hitters!$A1:$R1500,12,FALSE)," ")</f>
        <v xml:space="preserve"> </v>
      </c>
      <c r="S7" s="11" t="str">
        <f>IFERROR(VLOOKUP($A7,Hitters!$A1:$R1500,13,FALSE)," ")</f>
        <v xml:space="preserve"> </v>
      </c>
      <c r="T7" s="11" t="str">
        <f>IFERROR(VLOOKUP($A7,Hitters!$A1:$R1500,14,FALSE)," ")</f>
        <v xml:space="preserve"> </v>
      </c>
      <c r="U7" s="11" t="str">
        <f>IFERROR(VLOOKUP($A7,Hitters!$A1:$R1500,15,FALSE)," ")</f>
        <v xml:space="preserve"> </v>
      </c>
      <c r="V7" s="11" t="str">
        <f>IFERROR(VLOOKUP($A7,Hitters!$A1:$R1500,16,FALSE)," ")</f>
        <v xml:space="preserve"> </v>
      </c>
      <c r="W7" s="11" t="str">
        <f>IFERROR(VLOOKUP($A7,Hitters!$A1:$R1500,17,FALSE)," ")</f>
        <v xml:space="preserve"> </v>
      </c>
      <c r="X7" s="11" t="str">
        <f>IFERROR(VLOOKUP($A7,Hitters!$A1:$R1500,18,FALSE)," ")</f>
        <v xml:space="preserve"> </v>
      </c>
      <c r="Y7" s="6"/>
    </row>
    <row r="8" spans="1:25" ht="18.600000000000001" customHeight="1">
      <c r="A8" s="68" t="s">
        <v>76</v>
      </c>
      <c r="B8" s="11" t="str">
        <f>IFERROR(VLOOKUP($A8,Rankings!B1:C519,2,FALSE)," ")</f>
        <v>CLE</v>
      </c>
      <c r="C8" s="11" t="str">
        <f>IFERROR(VLOOKUP($A8,Rankings!B1:D519,3,FALSE)," ")</f>
        <v>AL</v>
      </c>
      <c r="D8" s="75" t="s">
        <v>15</v>
      </c>
      <c r="E8" s="76">
        <f ca="1">IFERROR(VLOOKUP($A8,Rankings!B1:F519,5,FALSE)," ")</f>
        <v>1</v>
      </c>
      <c r="F8" s="71">
        <f>IFERROR((J8*Settings!$B$2)+(K8*Settings!$B$3)+(L8*Settings!$B$4)+(M8*Settings!$B$5)+(N8*Settings!$B$6)+(Q8*Settings!$B$9)+(R8*Settings!$B$10)+(S8*Settings!$B$11)+(T8*Settings!$B$12)+(U8*Settings!$B$13)+(X8*Settings!$B$16)," ")</f>
        <v>639.91666666666663</v>
      </c>
      <c r="G8" s="67">
        <f>IFERROR(VLOOKUP(A8,'Standard Deviations'!A1:D536,4,FALSE)," ")</f>
        <v>10.34741803384531</v>
      </c>
      <c r="H8" s="72">
        <f ca="1">IFERROR(VLOOKUP($A8,Rankings!B1:I519,8,FALSE)," ")</f>
        <v>9.6197401524948987</v>
      </c>
      <c r="I8" s="67"/>
      <c r="J8" s="67">
        <f>IFERROR(VLOOKUP($A8,Hitters!$A1:$R1500,4,FALSE)," ")</f>
        <v>566.66666666666697</v>
      </c>
      <c r="K8" s="67">
        <f>IFERROR(VLOOKUP($A8,Hitters!$A1:$R1500,5,FALSE)," ")</f>
        <v>95.1666666666667</v>
      </c>
      <c r="L8" s="67">
        <f>IFERROR(VLOOKUP($A8,Hitters!$A1:$R1500,6,FALSE)," ")</f>
        <v>30.766666666666701</v>
      </c>
      <c r="M8" s="67">
        <f>IFERROR(VLOOKUP($A8,Hitters!$A1:$R1500,7,FALSE)," ")</f>
        <v>103.866666666667</v>
      </c>
      <c r="N8" s="67">
        <f>IFERROR(VLOOKUP($A8,Hitters!$A1:$R1500,8,FALSE)," ")</f>
        <v>23.933333333333302</v>
      </c>
      <c r="O8" s="73">
        <f>IFERROR(VLOOKUP($A8,Hitters!$A1:$R1500,9,FALSE)," ")</f>
        <v>0.27411764705882402</v>
      </c>
      <c r="P8" s="73">
        <f>IFERROR(VLOOKUP($A8,Hitters!$A1:$R1500,10,FALSE)," ")</f>
        <v>0.35060215946843898</v>
      </c>
      <c r="Q8" s="67">
        <f>IFERROR(VLOOKUP($A8,Hitters!$A1:$R1500,11,FALSE)," ")</f>
        <v>155.333333333333</v>
      </c>
      <c r="R8" s="67">
        <f>IFERROR(VLOOKUP($A8,Hitters!$A1:$R1500,12,FALSE)," ")</f>
        <v>37.933333333333302</v>
      </c>
      <c r="S8" s="67">
        <f>IFERROR(VLOOKUP($A8,Hitters!$A1:$R1500,13,FALSE)," ")</f>
        <v>4.0999999999999996</v>
      </c>
      <c r="T8" s="67">
        <f>IFERROR(VLOOKUP($A8,Hitters!$A1:$R1500,14,FALSE)," ")</f>
        <v>69.8</v>
      </c>
      <c r="U8" s="67">
        <f>IFERROR(VLOOKUP($A8,Hitters!$A1:$R1500,15,FALSE)," ")</f>
        <v>86.7</v>
      </c>
      <c r="V8" s="73">
        <f>IFERROR(VLOOKUP($A8,Hitters!$A1:$R1500,16,FALSE)," ")</f>
        <v>0.51841176470588202</v>
      </c>
      <c r="W8" s="73">
        <f>IFERROR(VLOOKUP($A8,Hitters!$A1:$R1500,17,FALSE)," ")</f>
        <v>0.869013924174321</v>
      </c>
      <c r="X8" s="67">
        <f>IFERROR(VLOOKUP($A8,Hitters!$A1:$R1500,18,FALSE)," ")</f>
        <v>0</v>
      </c>
      <c r="Y8" s="67"/>
    </row>
    <row r="9" spans="1:25" ht="18.600000000000001" customHeight="1">
      <c r="A9" s="63"/>
      <c r="B9" s="11" t="str">
        <f>IFERROR(VLOOKUP($A9,Rankings!B1:C519,2,FALSE)," ")</f>
        <v xml:space="preserve"> </v>
      </c>
      <c r="C9" s="11" t="str">
        <f>IFERROR(VLOOKUP($A9,Rankings!B1:D519,3,FALSE)," ")</f>
        <v xml:space="preserve"> </v>
      </c>
      <c r="D9" s="75" t="s">
        <v>15</v>
      </c>
      <c r="E9" s="77" t="str">
        <f>IFERROR(VLOOKUP($A9,Rankings!B1:F519,5,FALSE)," ")</f>
        <v xml:space="preserve"> </v>
      </c>
      <c r="F9" s="66" t="str">
        <f>IFERROR((J9*Settings!$B$2)+(K9*Settings!$B$3)+(L9*Settings!$B$4)+(M9*Settings!$B$5)+(N9*Settings!$B$6)+(Q9*Settings!$B$9)+(R9*Settings!$B$10)+(S9*Settings!$B$11)+(T9*Settings!$B$12)+(U9*Settings!$B$13)+(X9*Settings!$B$16)," ")</f>
        <v xml:space="preserve"> </v>
      </c>
      <c r="G9" s="11" t="str">
        <f>IFERROR(VLOOKUP(A9,'Standard Deviations'!A1:D536,4,FALSE)," ")</f>
        <v xml:space="preserve"> </v>
      </c>
      <c r="H9" s="9" t="str">
        <f>IFERROR(VLOOKUP($A9,Rankings!B1:I519,8,FALSE)," ")</f>
        <v xml:space="preserve"> </v>
      </c>
      <c r="I9" s="67"/>
      <c r="J9" s="11" t="str">
        <f>IFERROR(VLOOKUP($A9,Hitters!$A1:$R1500,4,FALSE)," ")</f>
        <v xml:space="preserve"> </v>
      </c>
      <c r="K9" s="11" t="str">
        <f>IFERROR(VLOOKUP($A9,Hitters!$A1:$R1500,5,FALSE)," ")</f>
        <v xml:space="preserve"> </v>
      </c>
      <c r="L9" s="11" t="str">
        <f>IFERROR(VLOOKUP($A9,Hitters!$A1:$R1500,6,FALSE)," ")</f>
        <v xml:space="preserve"> </v>
      </c>
      <c r="M9" s="11" t="str">
        <f>IFERROR(VLOOKUP($A9,Hitters!$A1:$R1500,7,FALSE)," ")</f>
        <v xml:space="preserve"> </v>
      </c>
      <c r="N9" s="11" t="str">
        <f>IFERROR(VLOOKUP($A9,Hitters!$A1:$R1500,8,FALSE)," ")</f>
        <v xml:space="preserve"> </v>
      </c>
      <c r="O9" s="11" t="str">
        <f>IFERROR(VLOOKUP($A9,Hitters!$A1:$R1500,9,FALSE)," ")</f>
        <v xml:space="preserve"> </v>
      </c>
      <c r="P9" s="11" t="str">
        <f>IFERROR(VLOOKUP($A9,Hitters!$A1:$R1500,10,FALSE)," ")</f>
        <v xml:space="preserve"> </v>
      </c>
      <c r="Q9" s="11" t="str">
        <f>IFERROR(VLOOKUP($A9,Hitters!$A1:$R1500,11,FALSE)," ")</f>
        <v xml:space="preserve"> </v>
      </c>
      <c r="R9" s="11" t="str">
        <f>IFERROR(VLOOKUP($A9,Hitters!$A1:$R1500,12,FALSE)," ")</f>
        <v xml:space="preserve"> </v>
      </c>
      <c r="S9" s="11" t="str">
        <f>IFERROR(VLOOKUP($A9,Hitters!$A1:$R1500,13,FALSE)," ")</f>
        <v xml:space="preserve"> </v>
      </c>
      <c r="T9" s="11" t="str">
        <f>IFERROR(VLOOKUP($A9,Hitters!$A1:$R1500,14,FALSE)," ")</f>
        <v xml:space="preserve"> </v>
      </c>
      <c r="U9" s="11" t="str">
        <f>IFERROR(VLOOKUP($A9,Hitters!$A1:$R1500,15,FALSE)," ")</f>
        <v xml:space="preserve"> </v>
      </c>
      <c r="V9" s="11" t="str">
        <f>IFERROR(VLOOKUP($A9,Hitters!$A1:$R1500,16,FALSE)," ")</f>
        <v xml:space="preserve"> </v>
      </c>
      <c r="W9" s="11" t="str">
        <f>IFERROR(VLOOKUP($A9,Hitters!$A1:$R1500,17,FALSE)," ")</f>
        <v xml:space="preserve"> </v>
      </c>
      <c r="X9" s="11" t="str">
        <f>IFERROR(VLOOKUP($A9,Hitters!$A1:$R1500,18,FALSE)," ")</f>
        <v xml:space="preserve"> </v>
      </c>
      <c r="Y9" s="6"/>
    </row>
    <row r="10" spans="1:25" ht="18.600000000000001" customHeight="1">
      <c r="A10" s="63"/>
      <c r="B10" s="11" t="str">
        <f>IFERROR(VLOOKUP($A10,Rankings!B1:C519,2,FALSE)," ")</f>
        <v xml:space="preserve"> </v>
      </c>
      <c r="C10" s="11" t="str">
        <f>IFERROR(VLOOKUP($A10,Rankings!B1:D519,3,FALSE)," ")</f>
        <v xml:space="preserve"> </v>
      </c>
      <c r="D10" s="75" t="s">
        <v>15</v>
      </c>
      <c r="E10" s="77" t="str">
        <f>IFERROR(VLOOKUP($A10,Rankings!B1:F519,5,FALSE)," ")</f>
        <v xml:space="preserve"> </v>
      </c>
      <c r="F10" s="66" t="str">
        <f>IFERROR((J10*Settings!$B$2)+(K10*Settings!$B$3)+(L10*Settings!$B$4)+(M10*Settings!$B$5)+(N10*Settings!$B$6)+(Q10*Settings!$B$9)+(R10*Settings!$B$10)+(S10*Settings!$B$11)+(T10*Settings!$B$12)+(U10*Settings!$B$13)+(X10*Settings!$B$16)," ")</f>
        <v xml:space="preserve"> </v>
      </c>
      <c r="G10" s="11" t="str">
        <f>IFERROR(VLOOKUP(A10,'Standard Deviations'!A1:D536,4,FALSE)," ")</f>
        <v xml:space="preserve"> </v>
      </c>
      <c r="H10" s="9" t="str">
        <f>IFERROR(VLOOKUP($A10,Rankings!B1:I519,8,FALSE)," ")</f>
        <v xml:space="preserve"> </v>
      </c>
      <c r="I10" s="67"/>
      <c r="J10" s="11" t="str">
        <f>IFERROR(VLOOKUP($A10,Hitters!$A1:$R1500,4,FALSE)," ")</f>
        <v xml:space="preserve"> </v>
      </c>
      <c r="K10" s="11" t="str">
        <f>IFERROR(VLOOKUP($A10,Hitters!$A1:$R1500,5,FALSE)," ")</f>
        <v xml:space="preserve"> </v>
      </c>
      <c r="L10" s="11" t="str">
        <f>IFERROR(VLOOKUP($A10,Hitters!$A1:$R1500,6,FALSE)," ")</f>
        <v xml:space="preserve"> </v>
      </c>
      <c r="M10" s="11" t="str">
        <f>IFERROR(VLOOKUP($A10,Hitters!$A1:$R1500,7,FALSE)," ")</f>
        <v xml:space="preserve"> </v>
      </c>
      <c r="N10" s="11" t="str">
        <f>IFERROR(VLOOKUP($A10,Hitters!$A1:$R1500,8,FALSE)," ")</f>
        <v xml:space="preserve"> </v>
      </c>
      <c r="O10" s="11" t="str">
        <f>IFERROR(VLOOKUP($A10,Hitters!$A1:$R1500,9,FALSE)," ")</f>
        <v xml:space="preserve"> </v>
      </c>
      <c r="P10" s="11" t="str">
        <f>IFERROR(VLOOKUP($A10,Hitters!$A1:$R1500,10,FALSE)," ")</f>
        <v xml:space="preserve"> </v>
      </c>
      <c r="Q10" s="11" t="str">
        <f>IFERROR(VLOOKUP($A10,Hitters!$A1:$R1500,11,FALSE)," ")</f>
        <v xml:space="preserve"> </v>
      </c>
      <c r="R10" s="11" t="str">
        <f>IFERROR(VLOOKUP($A10,Hitters!$A1:$R1500,12,FALSE)," ")</f>
        <v xml:space="preserve"> </v>
      </c>
      <c r="S10" s="11" t="str">
        <f>IFERROR(VLOOKUP($A10,Hitters!$A1:$R1500,13,FALSE)," ")</f>
        <v xml:space="preserve"> </v>
      </c>
      <c r="T10" s="11" t="str">
        <f>IFERROR(VLOOKUP($A10,Hitters!$A1:$R1500,14,FALSE)," ")</f>
        <v xml:space="preserve"> </v>
      </c>
      <c r="U10" s="11" t="str">
        <f>IFERROR(VLOOKUP($A10,Hitters!$A1:$R1500,15,FALSE)," ")</f>
        <v xml:space="preserve"> </v>
      </c>
      <c r="V10" s="11" t="str">
        <f>IFERROR(VLOOKUP($A10,Hitters!$A1:$R1500,16,FALSE)," ")</f>
        <v xml:space="preserve"> </v>
      </c>
      <c r="W10" s="11" t="str">
        <f>IFERROR(VLOOKUP($A10,Hitters!$A1:$R1500,17,FALSE)," ")</f>
        <v xml:space="preserve"> </v>
      </c>
      <c r="X10" s="11" t="str">
        <f>IFERROR(VLOOKUP($A10,Hitters!$A1:$R1500,18,FALSE)," ")</f>
        <v xml:space="preserve"> </v>
      </c>
      <c r="Y10" s="6"/>
    </row>
    <row r="11" spans="1:25" ht="18.600000000000001" customHeight="1">
      <c r="A11" s="68" t="s">
        <v>166</v>
      </c>
      <c r="B11" s="11" t="str">
        <f>IFERROR(VLOOKUP($A11,Rankings!B1:C519,2,FALSE)," ")</f>
        <v>KC</v>
      </c>
      <c r="C11" s="11" t="str">
        <f>IFERROR(VLOOKUP($A11,Rankings!B1:D519,3,FALSE)," ")</f>
        <v>AL</v>
      </c>
      <c r="D11" s="78" t="s">
        <v>19</v>
      </c>
      <c r="E11" s="79">
        <f ca="1">IFERROR(VLOOKUP($A11,Rankings!B1:F519,5,FALSE)," ")</f>
        <v>4</v>
      </c>
      <c r="F11" s="71">
        <f>IFERROR((J11*Settings!$B$2)+(K11*Settings!$B$3)+(L11*Settings!$B$4)+(M11*Settings!$B$5)+(N11*Settings!$B$6)+(Q11*Settings!$B$9)+(R11*Settings!$B$10)+(S11*Settings!$B$11)+(T11*Settings!$B$12)+(U11*Settings!$B$13)+(X11*Settings!$B$16)," ")</f>
        <v>393.8333333333336</v>
      </c>
      <c r="G11" s="67">
        <f>IFERROR(VLOOKUP(A11,'Standard Deviations'!A1:D536,4,FALSE)," ")</f>
        <v>3.4024183049802366</v>
      </c>
      <c r="H11" s="72">
        <f ca="1">IFERROR(VLOOKUP($A11,Rankings!B1:I519,8,FALSE)," ")</f>
        <v>3.7195119888102597</v>
      </c>
      <c r="I11" s="67"/>
      <c r="J11" s="67">
        <f>IFERROR(VLOOKUP($A11,Hitters!$A1:$R1500,4,FALSE)," ")</f>
        <v>498.33333333333297</v>
      </c>
      <c r="K11" s="67">
        <f>IFERROR(VLOOKUP($A11,Hitters!$A1:$R1500,5,FALSE)," ")</f>
        <v>64.5</v>
      </c>
      <c r="L11" s="67">
        <f>IFERROR(VLOOKUP($A11,Hitters!$A1:$R1500,6,FALSE)," ")</f>
        <v>27.233333333333299</v>
      </c>
      <c r="M11" s="67">
        <f>IFERROR(VLOOKUP($A11,Hitters!$A1:$R1500,7,FALSE)," ")</f>
        <v>81.033333333333303</v>
      </c>
      <c r="N11" s="67">
        <f>IFERROR(VLOOKUP($A11,Hitters!$A1:$R1500,8,FALSE)," ")</f>
        <v>0.96666666666666701</v>
      </c>
      <c r="O11" s="73">
        <f>IFERROR(VLOOKUP($A11,Hitters!$A1:$R1500,9,FALSE)," ")</f>
        <v>0.262006688963211</v>
      </c>
      <c r="P11" s="73">
        <f>IFERROR(VLOOKUP($A11,Hitters!$A1:$R1500,10,FALSE)," ")</f>
        <v>0.290743031110266</v>
      </c>
      <c r="Q11" s="67">
        <f>IFERROR(VLOOKUP($A11,Hitters!$A1:$R1500,11,FALSE)," ")</f>
        <v>130.566666666667</v>
      </c>
      <c r="R11" s="67">
        <f>IFERROR(VLOOKUP($A11,Hitters!$A1:$R1500,12,FALSE)," ")</f>
        <v>22.8</v>
      </c>
      <c r="S11" s="67">
        <f>IFERROR(VLOOKUP($A11,Hitters!$A1:$R1500,13,FALSE)," ")</f>
        <v>1</v>
      </c>
      <c r="T11" s="67">
        <f>IFERROR(VLOOKUP($A11,Hitters!$A1:$R1500,14,FALSE)," ")</f>
        <v>22.233333333333299</v>
      </c>
      <c r="U11" s="67">
        <f>IFERROR(VLOOKUP($A11,Hitters!$A1:$R1500,15,FALSE)," ")</f>
        <v>127.933333333333</v>
      </c>
      <c r="V11" s="73">
        <f>IFERROR(VLOOKUP($A11,Hitters!$A1:$R1500,16,FALSE)," ")</f>
        <v>0.47571906354515098</v>
      </c>
      <c r="W11" s="73">
        <f>IFERROR(VLOOKUP($A11,Hitters!$A1:$R1500,17,FALSE)," ")</f>
        <v>0.76646209465541604</v>
      </c>
      <c r="X11" s="67">
        <f>IFERROR(VLOOKUP($A11,Hitters!$A1:$R1500,18,FALSE)," ")</f>
        <v>0</v>
      </c>
      <c r="Y11" s="67"/>
    </row>
    <row r="12" spans="1:25" ht="18.600000000000001" customHeight="1">
      <c r="A12" s="63"/>
      <c r="B12" s="11" t="str">
        <f>IFERROR(VLOOKUP($A12,Rankings!B1:C519,2,FALSE)," ")</f>
        <v xml:space="preserve"> </v>
      </c>
      <c r="C12" s="11" t="str">
        <f>IFERROR(VLOOKUP($A12,Rankings!B1:D519,3,FALSE)," ")</f>
        <v xml:space="preserve"> </v>
      </c>
      <c r="D12" s="78" t="s">
        <v>19</v>
      </c>
      <c r="E12" s="80" t="str">
        <f>IFERROR(VLOOKUP($A12,Rankings!B1:F519,5,FALSE)," ")</f>
        <v xml:space="preserve"> </v>
      </c>
      <c r="F12" s="66" t="str">
        <f>IFERROR((J12*Settings!$B$2)+(K12*Settings!$B$3)+(L12*Settings!$B$4)+(M12*Settings!$B$5)+(N12*Settings!$B$6)+(Q12*Settings!$B$9)+(R12*Settings!$B$10)+(S12*Settings!$B$11)+(T12*Settings!$B$12)+(U12*Settings!$B$13)+(X12*Settings!$B$16)," ")</f>
        <v xml:space="preserve"> </v>
      </c>
      <c r="G12" s="11" t="str">
        <f>IFERROR(VLOOKUP(A12,'Standard Deviations'!A1:D536,4,FALSE)," ")</f>
        <v xml:space="preserve"> </v>
      </c>
      <c r="H12" s="9" t="str">
        <f>IFERROR(VLOOKUP($A12,Rankings!B1:I519,8,FALSE)," ")</f>
        <v xml:space="preserve"> </v>
      </c>
      <c r="I12" s="67"/>
      <c r="J12" s="11" t="str">
        <f>IFERROR(VLOOKUP($A12,Hitters!$A1:$R1500,4,FALSE)," ")</f>
        <v xml:space="preserve"> </v>
      </c>
      <c r="K12" s="11" t="str">
        <f>IFERROR(VLOOKUP($A12,Hitters!$A1:$R1500,5,FALSE)," ")</f>
        <v xml:space="preserve"> </v>
      </c>
      <c r="L12" s="11" t="str">
        <f>IFERROR(VLOOKUP($A12,Hitters!$A1:$R1500,6,FALSE)," ")</f>
        <v xml:space="preserve"> </v>
      </c>
      <c r="M12" s="11" t="str">
        <f>IFERROR(VLOOKUP($A12,Hitters!$A1:$R1500,7,FALSE)," ")</f>
        <v xml:space="preserve"> </v>
      </c>
      <c r="N12" s="11" t="str">
        <f>IFERROR(VLOOKUP($A12,Hitters!$A1:$R1500,8,FALSE)," ")</f>
        <v xml:space="preserve"> </v>
      </c>
      <c r="O12" s="11" t="str">
        <f>IFERROR(VLOOKUP($A12,Hitters!$A1:$R1500,9,FALSE)," ")</f>
        <v xml:space="preserve"> </v>
      </c>
      <c r="P12" s="11" t="str">
        <f>IFERROR(VLOOKUP($A12,Hitters!$A1:$R1500,10,FALSE)," ")</f>
        <v xml:space="preserve"> </v>
      </c>
      <c r="Q12" s="11" t="str">
        <f>IFERROR(VLOOKUP($A12,Hitters!$A1:$R1500,11,FALSE)," ")</f>
        <v xml:space="preserve"> </v>
      </c>
      <c r="R12" s="11" t="str">
        <f>IFERROR(VLOOKUP($A12,Hitters!$A1:$R1500,12,FALSE)," ")</f>
        <v xml:space="preserve"> </v>
      </c>
      <c r="S12" s="11" t="str">
        <f>IFERROR(VLOOKUP($A12,Hitters!$A1:$R1500,13,FALSE)," ")</f>
        <v xml:space="preserve"> </v>
      </c>
      <c r="T12" s="11" t="str">
        <f>IFERROR(VLOOKUP($A12,Hitters!$A1:$R1500,14,FALSE)," ")</f>
        <v xml:space="preserve"> </v>
      </c>
      <c r="U12" s="11" t="str">
        <f>IFERROR(VLOOKUP($A12,Hitters!$A1:$R1500,15,FALSE)," ")</f>
        <v xml:space="preserve"> </v>
      </c>
      <c r="V12" s="11" t="str">
        <f>IFERROR(VLOOKUP($A12,Hitters!$A1:$R1500,16,FALSE)," ")</f>
        <v xml:space="preserve"> </v>
      </c>
      <c r="W12" s="11" t="str">
        <f>IFERROR(VLOOKUP($A12,Hitters!$A1:$R1500,17,FALSE)," ")</f>
        <v xml:space="preserve"> </v>
      </c>
      <c r="X12" s="11" t="str">
        <f>IFERROR(VLOOKUP($A12,Hitters!$A1:$R1500,18,FALSE)," ")</f>
        <v xml:space="preserve"> </v>
      </c>
      <c r="Y12" s="6"/>
    </row>
    <row r="13" spans="1:25" ht="18.600000000000001" customHeight="1">
      <c r="A13" s="63"/>
      <c r="B13" s="11" t="str">
        <f>IFERROR(VLOOKUP($A13,Rankings!B1:C519,2,FALSE)," ")</f>
        <v xml:space="preserve"> </v>
      </c>
      <c r="C13" s="11" t="str">
        <f>IFERROR(VLOOKUP($A13,Rankings!B1:D519,3,FALSE)," ")</f>
        <v xml:space="preserve"> </v>
      </c>
      <c r="D13" s="78" t="s">
        <v>19</v>
      </c>
      <c r="E13" s="80" t="str">
        <f>IFERROR(VLOOKUP($A13,Rankings!B1:F519,5,FALSE)," ")</f>
        <v xml:space="preserve"> </v>
      </c>
      <c r="F13" s="66" t="str">
        <f>IFERROR((J13*Settings!$B$2)+(K13*Settings!$B$3)+(L13*Settings!$B$4)+(M13*Settings!$B$5)+(N13*Settings!$B$6)+(Q13*Settings!$B$9)+(R13*Settings!$B$10)+(S13*Settings!$B$11)+(T13*Settings!$B$12)+(U13*Settings!$B$13)+(X13*Settings!$B$16)," ")</f>
        <v xml:space="preserve"> </v>
      </c>
      <c r="G13" s="11" t="str">
        <f>IFERROR(VLOOKUP(A13,'Standard Deviations'!A1:D536,4,FALSE)," ")</f>
        <v xml:space="preserve"> </v>
      </c>
      <c r="H13" s="9" t="str">
        <f>IFERROR(VLOOKUP($A13,Rankings!B1:I519,8,FALSE)," ")</f>
        <v xml:space="preserve"> </v>
      </c>
      <c r="I13" s="67"/>
      <c r="J13" s="11" t="str">
        <f>IFERROR(VLOOKUP($A13,Hitters!$A1:$R1500,4,FALSE)," ")</f>
        <v xml:space="preserve"> </v>
      </c>
      <c r="K13" s="11" t="str">
        <f>IFERROR(VLOOKUP($A13,Hitters!$A1:$R1500,5,FALSE)," ")</f>
        <v xml:space="preserve"> </v>
      </c>
      <c r="L13" s="11" t="str">
        <f>IFERROR(VLOOKUP($A13,Hitters!$A1:$R1500,6,FALSE)," ")</f>
        <v xml:space="preserve"> </v>
      </c>
      <c r="M13" s="11" t="str">
        <f>IFERROR(VLOOKUP($A13,Hitters!$A1:$R1500,7,FALSE)," ")</f>
        <v xml:space="preserve"> </v>
      </c>
      <c r="N13" s="11" t="str">
        <f>IFERROR(VLOOKUP($A13,Hitters!$A1:$R1500,8,FALSE)," ")</f>
        <v xml:space="preserve"> </v>
      </c>
      <c r="O13" s="11" t="str">
        <f>IFERROR(VLOOKUP($A13,Hitters!$A1:$R1500,9,FALSE)," ")</f>
        <v xml:space="preserve"> </v>
      </c>
      <c r="P13" s="11" t="str">
        <f>IFERROR(VLOOKUP($A13,Hitters!$A1:$R1500,10,FALSE)," ")</f>
        <v xml:space="preserve"> </v>
      </c>
      <c r="Q13" s="11" t="str">
        <f>IFERROR(VLOOKUP($A13,Hitters!$A1:$R1500,11,FALSE)," ")</f>
        <v xml:space="preserve"> </v>
      </c>
      <c r="R13" s="11" t="str">
        <f>IFERROR(VLOOKUP($A13,Hitters!$A1:$R1500,12,FALSE)," ")</f>
        <v xml:space="preserve"> </v>
      </c>
      <c r="S13" s="11" t="str">
        <f>IFERROR(VLOOKUP($A13,Hitters!$A1:$R1500,13,FALSE)," ")</f>
        <v xml:space="preserve"> </v>
      </c>
      <c r="T13" s="11" t="str">
        <f>IFERROR(VLOOKUP($A13,Hitters!$A1:$R1500,14,FALSE)," ")</f>
        <v xml:space="preserve"> </v>
      </c>
      <c r="U13" s="11" t="str">
        <f>IFERROR(VLOOKUP($A13,Hitters!$A1:$R1500,15,FALSE)," ")</f>
        <v xml:space="preserve"> </v>
      </c>
      <c r="V13" s="11" t="str">
        <f>IFERROR(VLOOKUP($A13,Hitters!$A1:$R1500,16,FALSE)," ")</f>
        <v xml:space="preserve"> </v>
      </c>
      <c r="W13" s="11" t="str">
        <f>IFERROR(VLOOKUP($A13,Hitters!$A1:$R1500,17,FALSE)," ")</f>
        <v xml:space="preserve"> </v>
      </c>
      <c r="X13" s="11" t="str">
        <f>IFERROR(VLOOKUP($A13,Hitters!$A1:$R1500,18,FALSE)," ")</f>
        <v xml:space="preserve"> </v>
      </c>
      <c r="Y13" s="6"/>
    </row>
    <row r="14" spans="1:25" ht="18.600000000000001" customHeight="1">
      <c r="A14" s="68" t="s">
        <v>128</v>
      </c>
      <c r="B14" s="11" t="str">
        <f>IFERROR(VLOOKUP($A14,Rankings!B1:C519,2,FALSE)," ")</f>
        <v>SD</v>
      </c>
      <c r="C14" s="11" t="str">
        <f>IFERROR(VLOOKUP($A14,Rankings!B1:D519,3,FALSE)," ")</f>
        <v>NL</v>
      </c>
      <c r="D14" s="81" t="s">
        <v>27</v>
      </c>
      <c r="E14" s="82">
        <f ca="1">IFERROR(VLOOKUP($A14,Rankings!B1:F519,5,FALSE)," ")</f>
        <v>4</v>
      </c>
      <c r="F14" s="71">
        <f>IFERROR((J14*Settings!$B$2)+(K14*Settings!$B$3)+(L14*Settings!$B$4)+(M14*Settings!$B$5)+(N14*Settings!$B$6)+(Q14*Settings!$B$9)+(R14*Settings!$B$10)+(S14*Settings!$B$11)+(T14*Settings!$B$12)+(U14*Settings!$B$13)+(X14*Settings!$B$16)," ")</f>
        <v>499.566666666667</v>
      </c>
      <c r="G14" s="67">
        <f>IFERROR(VLOOKUP(A14,'Standard Deviations'!A1:D536,4,FALSE)," ")</f>
        <v>8.1545563828716237</v>
      </c>
      <c r="H14" s="72">
        <f ca="1">IFERROR(VLOOKUP($A14,Rankings!B1:I519,8,FALSE)," ")</f>
        <v>5.1501294730471514</v>
      </c>
      <c r="I14" s="67"/>
      <c r="J14" s="67">
        <f>IFERROR(VLOOKUP($A14,Hitters!$A1:$R1500,4,FALSE)," ")</f>
        <v>445</v>
      </c>
      <c r="K14" s="67">
        <f>IFERROR(VLOOKUP($A14,Hitters!$A1:$R1500,5,FALSE)," ")</f>
        <v>82.433333333333294</v>
      </c>
      <c r="L14" s="67">
        <f>IFERROR(VLOOKUP($A14,Hitters!$A1:$R1500,6,FALSE)," ")</f>
        <v>31.066666666666698</v>
      </c>
      <c r="M14" s="67">
        <f>IFERROR(VLOOKUP($A14,Hitters!$A1:$R1500,7,FALSE)," ")</f>
        <v>81.6666666666667</v>
      </c>
      <c r="N14" s="67">
        <f>IFERROR(VLOOKUP($A14,Hitters!$A1:$R1500,8,FALSE)," ")</f>
        <v>19</v>
      </c>
      <c r="O14" s="67">
        <f>IFERROR(VLOOKUP($A14,Hitters!$A1:$R1500,9,FALSE)," ")</f>
        <v>0.27655430711610501</v>
      </c>
      <c r="P14" s="67">
        <f>IFERROR(VLOOKUP($A14,Hitters!$A1:$R1500,10,FALSE)," ")</f>
        <v>0.35123405665065399</v>
      </c>
      <c r="Q14" s="67">
        <f>IFERROR(VLOOKUP($A14,Hitters!$A1:$R1500,11,FALSE)," ")</f>
        <v>123.066666666667</v>
      </c>
      <c r="R14" s="67">
        <f>IFERROR(VLOOKUP($A14,Hitters!$A1:$R1500,12,FALSE)," ")</f>
        <v>25.566666666666698</v>
      </c>
      <c r="S14" s="67">
        <f>IFERROR(VLOOKUP($A14,Hitters!$A1:$R1500,13,FALSE)," ")</f>
        <v>1.8333333333333299</v>
      </c>
      <c r="T14" s="67">
        <f>IFERROR(VLOOKUP($A14,Hitters!$A1:$R1500,14,FALSE)," ")</f>
        <v>53.633333333333297</v>
      </c>
      <c r="U14" s="67">
        <f>IFERROR(VLOOKUP($A14,Hitters!$A1:$R1500,15,FALSE)," ")</f>
        <v>120.26666666666701</v>
      </c>
      <c r="V14" s="67">
        <f>IFERROR(VLOOKUP($A14,Hitters!$A1:$R1500,16,FALSE)," ")</f>
        <v>0.55168539325842703</v>
      </c>
      <c r="W14" s="67">
        <f>IFERROR(VLOOKUP($A14,Hitters!$A1:$R1500,17,FALSE)," ")</f>
        <v>0.90291944990908102</v>
      </c>
      <c r="X14" s="67">
        <f>IFERROR(VLOOKUP($A14,Hitters!$A1:$R1500,18,FALSE)," ")</f>
        <v>0</v>
      </c>
      <c r="Y14" s="67"/>
    </row>
    <row r="15" spans="1:25" ht="18.600000000000001" customHeight="1">
      <c r="A15" s="63"/>
      <c r="B15" s="11" t="str">
        <f>IFERROR(VLOOKUP($A15,Rankings!B1:C519,2,FALSE)," ")</f>
        <v xml:space="preserve"> </v>
      </c>
      <c r="C15" s="11" t="str">
        <f>IFERROR(VLOOKUP($A15,Rankings!B1:D519,3,FALSE)," ")</f>
        <v xml:space="preserve"> </v>
      </c>
      <c r="D15" s="81" t="s">
        <v>27</v>
      </c>
      <c r="E15" s="83" t="str">
        <f>IFERROR(VLOOKUP($A15,Rankings!B1:F519,5,FALSE)," ")</f>
        <v xml:space="preserve"> </v>
      </c>
      <c r="F15" s="66" t="str">
        <f>IFERROR((J15*Settings!$B$2)+(K15*Settings!$B$3)+(L15*Settings!$B$4)+(M15*Settings!$B$5)+(N15*Settings!$B$6)+(Q15*Settings!$B$9)+(R15*Settings!$B$10)+(S15*Settings!$B$11)+(T15*Settings!$B$12)+(U15*Settings!$B$13)+(X15*Settings!$B$16)," ")</f>
        <v xml:space="preserve"> </v>
      </c>
      <c r="G15" s="11" t="str">
        <f>IFERROR(VLOOKUP(A15,'Standard Deviations'!A1:D536,4,FALSE)," ")</f>
        <v xml:space="preserve"> </v>
      </c>
      <c r="H15" s="9" t="str">
        <f>IFERROR(VLOOKUP($A15,Rankings!B1:I519,8,FALSE)," ")</f>
        <v xml:space="preserve"> </v>
      </c>
      <c r="I15" s="67"/>
      <c r="J15" s="11" t="str">
        <f>IFERROR(VLOOKUP($A15,Hitters!$A1:$R1500,4,FALSE)," ")</f>
        <v xml:space="preserve"> </v>
      </c>
      <c r="K15" s="11" t="str">
        <f>IFERROR(VLOOKUP($A15,Hitters!$A1:$R1500,5,FALSE)," ")</f>
        <v xml:space="preserve"> </v>
      </c>
      <c r="L15" s="11" t="str">
        <f>IFERROR(VLOOKUP($A15,Hitters!$A1:$R1500,6,FALSE)," ")</f>
        <v xml:space="preserve"> </v>
      </c>
      <c r="M15" s="11" t="str">
        <f>IFERROR(VLOOKUP($A15,Hitters!$A1:$R1500,7,FALSE)," ")</f>
        <v xml:space="preserve"> </v>
      </c>
      <c r="N15" s="11" t="str">
        <f>IFERROR(VLOOKUP($A15,Hitters!$A1:$R1500,8,FALSE)," ")</f>
        <v xml:space="preserve"> </v>
      </c>
      <c r="O15" s="11" t="str">
        <f>IFERROR(VLOOKUP($A15,Hitters!$A1:$R1500,9,FALSE)," ")</f>
        <v xml:space="preserve"> </v>
      </c>
      <c r="P15" s="11" t="str">
        <f>IFERROR(VLOOKUP($A15,Hitters!$A1:$R1500,10,FALSE)," ")</f>
        <v xml:space="preserve"> </v>
      </c>
      <c r="Q15" s="11" t="str">
        <f>IFERROR(VLOOKUP($A15,Hitters!$A1:$R1500,11,FALSE)," ")</f>
        <v xml:space="preserve"> </v>
      </c>
      <c r="R15" s="11" t="str">
        <f>IFERROR(VLOOKUP($A15,Hitters!$A1:$R1500,12,FALSE)," ")</f>
        <v xml:space="preserve"> </v>
      </c>
      <c r="S15" s="11" t="str">
        <f>IFERROR(VLOOKUP($A15,Hitters!$A1:$R1500,13,FALSE)," ")</f>
        <v xml:space="preserve"> </v>
      </c>
      <c r="T15" s="11" t="str">
        <f>IFERROR(VLOOKUP($A15,Hitters!$A1:$R1500,14,FALSE)," ")</f>
        <v xml:space="preserve"> </v>
      </c>
      <c r="U15" s="11" t="str">
        <f>IFERROR(VLOOKUP($A15,Hitters!$A1:$R1500,15,FALSE)," ")</f>
        <v xml:space="preserve"> </v>
      </c>
      <c r="V15" s="11" t="str">
        <f>IFERROR(VLOOKUP($A15,Hitters!$A1:$R1500,16,FALSE)," ")</f>
        <v xml:space="preserve"> </v>
      </c>
      <c r="W15" s="11" t="str">
        <f>IFERROR(VLOOKUP($A15,Hitters!$A1:$R1500,17,FALSE)," ")</f>
        <v xml:space="preserve"> </v>
      </c>
      <c r="X15" s="11" t="str">
        <f>IFERROR(VLOOKUP($A15,Hitters!$A1:$R1500,18,FALSE)," ")</f>
        <v xml:space="preserve"> </v>
      </c>
      <c r="Y15" s="6"/>
    </row>
    <row r="16" spans="1:25" ht="18.600000000000001" customHeight="1">
      <c r="A16" s="63"/>
      <c r="B16" s="11" t="str">
        <f>IFERROR(VLOOKUP($A16,Rankings!B1:C519,2,FALSE)," ")</f>
        <v xml:space="preserve"> </v>
      </c>
      <c r="C16" s="11" t="str">
        <f>IFERROR(VLOOKUP($A16,Rankings!B1:D519,3,FALSE)," ")</f>
        <v xml:space="preserve"> </v>
      </c>
      <c r="D16" s="81" t="s">
        <v>27</v>
      </c>
      <c r="E16" s="83" t="str">
        <f>IFERROR(VLOOKUP($A16,Rankings!B1:F519,5,FALSE)," ")</f>
        <v xml:space="preserve"> </v>
      </c>
      <c r="F16" s="66" t="str">
        <f>IFERROR((J16*Settings!$B$2)+(K16*Settings!$B$3)+(L16*Settings!$B$4)+(M16*Settings!$B$5)+(N16*Settings!$B$6)+(Q16*Settings!$B$9)+(R16*Settings!$B$10)+(S16*Settings!$B$11)+(T16*Settings!$B$12)+(U16*Settings!$B$13)+(X16*Settings!$B$16)," ")</f>
        <v xml:space="preserve"> </v>
      </c>
      <c r="G16" s="11" t="str">
        <f>IFERROR(VLOOKUP(A16,'Standard Deviations'!A1:D536,4,FALSE)," ")</f>
        <v xml:space="preserve"> </v>
      </c>
      <c r="H16" s="9" t="str">
        <f>IFERROR(VLOOKUP($A16,Rankings!B1:I519,8,FALSE)," ")</f>
        <v xml:space="preserve"> </v>
      </c>
      <c r="I16" s="67"/>
      <c r="J16" s="11" t="str">
        <f>IFERROR(VLOOKUP($A16,Hitters!$A1:$R1500,4,FALSE)," ")</f>
        <v xml:space="preserve"> </v>
      </c>
      <c r="K16" s="11" t="str">
        <f>IFERROR(VLOOKUP($A16,Hitters!$A1:$R1500,5,FALSE)," ")</f>
        <v xml:space="preserve"> </v>
      </c>
      <c r="L16" s="11" t="str">
        <f>IFERROR(VLOOKUP($A16,Hitters!$A1:$R1500,6,FALSE)," ")</f>
        <v xml:space="preserve"> </v>
      </c>
      <c r="M16" s="11" t="str">
        <f>IFERROR(VLOOKUP($A16,Hitters!$A1:$R1500,7,FALSE)," ")</f>
        <v xml:space="preserve"> </v>
      </c>
      <c r="N16" s="11" t="str">
        <f>IFERROR(VLOOKUP($A16,Hitters!$A1:$R1500,8,FALSE)," ")</f>
        <v xml:space="preserve"> </v>
      </c>
      <c r="O16" s="11" t="str">
        <f>IFERROR(VLOOKUP($A16,Hitters!$A1:$R1500,9,FALSE)," ")</f>
        <v xml:space="preserve"> </v>
      </c>
      <c r="P16" s="11" t="str">
        <f>IFERROR(VLOOKUP($A16,Hitters!$A1:$R1500,10,FALSE)," ")</f>
        <v xml:space="preserve"> </v>
      </c>
      <c r="Q16" s="11" t="str">
        <f>IFERROR(VLOOKUP($A16,Hitters!$A1:$R1500,11,FALSE)," ")</f>
        <v xml:space="preserve"> </v>
      </c>
      <c r="R16" s="11" t="str">
        <f>IFERROR(VLOOKUP($A16,Hitters!$A1:$R1500,12,FALSE)," ")</f>
        <v xml:space="preserve"> </v>
      </c>
      <c r="S16" s="11" t="str">
        <f>IFERROR(VLOOKUP($A16,Hitters!$A1:$R1500,13,FALSE)," ")</f>
        <v xml:space="preserve"> </v>
      </c>
      <c r="T16" s="11" t="str">
        <f>IFERROR(VLOOKUP($A16,Hitters!$A1:$R1500,14,FALSE)," ")</f>
        <v xml:space="preserve"> </v>
      </c>
      <c r="U16" s="11" t="str">
        <f>IFERROR(VLOOKUP($A16,Hitters!$A1:$R1500,15,FALSE)," ")</f>
        <v xml:space="preserve"> </v>
      </c>
      <c r="V16" s="11" t="str">
        <f>IFERROR(VLOOKUP($A16,Hitters!$A1:$R1500,16,FALSE)," ")</f>
        <v xml:space="preserve"> </v>
      </c>
      <c r="W16" s="11" t="str">
        <f>IFERROR(VLOOKUP($A16,Hitters!$A1:$R1500,17,FALSE)," ")</f>
        <v xml:space="preserve"> </v>
      </c>
      <c r="X16" s="11" t="str">
        <f>IFERROR(VLOOKUP($A16,Hitters!$A1:$R1500,18,FALSE)," ")</f>
        <v xml:space="preserve"> </v>
      </c>
      <c r="Y16" s="6"/>
    </row>
    <row r="17" spans="1:25" ht="18.600000000000001" customHeight="1">
      <c r="A17" s="68" t="s">
        <v>83</v>
      </c>
      <c r="B17" s="11" t="str">
        <f>IFERROR(VLOOKUP($A17,Rankings!B1:C519,2,FALSE)," ")</f>
        <v>SD</v>
      </c>
      <c r="C17" s="11" t="str">
        <f>IFERROR(VLOOKUP($A17,Rankings!B1:D519,3,FALSE)," ")</f>
        <v>NL</v>
      </c>
      <c r="D17" s="84" t="s">
        <v>23</v>
      </c>
      <c r="E17" s="85">
        <f ca="1">IFERROR(VLOOKUP($A17,Rankings!B1:F519,5,FALSE)," ")</f>
        <v>7</v>
      </c>
      <c r="F17" s="71">
        <f>IFERROR((J17*Settings!$B$2)+(K17*Settings!$B$3)+(L17*Settings!$B$4)+(M17*Settings!$B$5)+(N17*Settings!$B$6)+(Q17*Settings!$B$9)+(R17*Settings!$B$10)+(S17*Settings!$B$11)+(T17*Settings!$B$12)+(U17*Settings!$B$13)+(X17*Settings!$B$16)," ")</f>
        <v>637.05000000000018</v>
      </c>
      <c r="G17" s="67">
        <f>IFERROR(VLOOKUP(A17,'Standard Deviations'!A1:D536,4,FALSE)," ")</f>
        <v>8.4907363589293556</v>
      </c>
      <c r="H17" s="72">
        <f ca="1">IFERROR(VLOOKUP($A17,Rankings!B1:I519,8,FALSE)," ")</f>
        <v>8.3720180105421758</v>
      </c>
      <c r="I17" s="67"/>
      <c r="J17" s="67">
        <f>IFERROR(VLOOKUP($A17,Hitters!$A1:$R1500,4,FALSE)," ")</f>
        <v>520.33333333333303</v>
      </c>
      <c r="K17" s="67">
        <f>IFERROR(VLOOKUP($A17,Hitters!$A1:$R1500,5,FALSE)," ")</f>
        <v>110.066666666667</v>
      </c>
      <c r="L17" s="67">
        <f>IFERROR(VLOOKUP($A17,Hitters!$A1:$R1500,6,FALSE)," ")</f>
        <v>31.133333333333301</v>
      </c>
      <c r="M17" s="67">
        <f>IFERROR(VLOOKUP($A17,Hitters!$A1:$R1500,7,FALSE)," ")</f>
        <v>87.633333333333297</v>
      </c>
      <c r="N17" s="67">
        <f>IFERROR(VLOOKUP($A17,Hitters!$A1:$R1500,8,FALSE)," ")</f>
        <v>8.93333333333333</v>
      </c>
      <c r="O17" s="73">
        <f>IFERROR(VLOOKUP($A17,Hitters!$A1:$R1500,9,FALSE)," ")</f>
        <v>0.28289557975656598</v>
      </c>
      <c r="P17" s="73">
        <f>IFERROR(VLOOKUP($A17,Hitters!$A1:$R1500,10,FALSE)," ")</f>
        <v>0.42835342053175302</v>
      </c>
      <c r="Q17" s="67">
        <f>IFERROR(VLOOKUP($A17,Hitters!$A1:$R1500,11,FALSE)," ")</f>
        <v>147.19999999999999</v>
      </c>
      <c r="R17" s="67">
        <f>IFERROR(VLOOKUP($A17,Hitters!$A1:$R1500,12,FALSE)," ")</f>
        <v>27.266666666666701</v>
      </c>
      <c r="S17" s="67">
        <f>IFERROR(VLOOKUP($A17,Hitters!$A1:$R1500,13,FALSE)," ")</f>
        <v>2.0333333333333301</v>
      </c>
      <c r="T17" s="67">
        <f>IFERROR(VLOOKUP($A17,Hitters!$A1:$R1500,14,FALSE)," ")</f>
        <v>136.30000000000001</v>
      </c>
      <c r="U17" s="67">
        <f>IFERROR(VLOOKUP($A17,Hitters!$A1:$R1500,15,FALSE)," ")</f>
        <v>94.366666666666703</v>
      </c>
      <c r="V17" s="73">
        <f>IFERROR(VLOOKUP($A17,Hitters!$A1:$R1500,16,FALSE)," ")</f>
        <v>0.52261370916079397</v>
      </c>
      <c r="W17" s="73">
        <f>IFERROR(VLOOKUP($A17,Hitters!$A1:$R1500,17,FALSE)," ")</f>
        <v>0.95096712969254704</v>
      </c>
      <c r="X17" s="67">
        <f>IFERROR(VLOOKUP($A17,Hitters!$A1:$R1500,18,FALSE)," ")</f>
        <v>0</v>
      </c>
      <c r="Y17" s="67"/>
    </row>
    <row r="18" spans="1:25" ht="18.600000000000001" customHeight="1">
      <c r="A18" s="63"/>
      <c r="B18" s="11" t="str">
        <f>IFERROR(VLOOKUP($A18,Rankings!B1:C519,2,FALSE)," ")</f>
        <v xml:space="preserve"> </v>
      </c>
      <c r="C18" s="11" t="str">
        <f>IFERROR(VLOOKUP($A18,Rankings!B1:D519,3,FALSE)," ")</f>
        <v xml:space="preserve"> </v>
      </c>
      <c r="D18" s="84" t="s">
        <v>23</v>
      </c>
      <c r="E18" s="86" t="str">
        <f>IFERROR(VLOOKUP($A18,Rankings!B1:F519,5,FALSE)," ")</f>
        <v xml:space="preserve"> </v>
      </c>
      <c r="F18" s="66" t="str">
        <f>IFERROR((J18*Settings!$B$2)+(K18*Settings!$B$3)+(L18*Settings!$B$4)+(M18*Settings!$B$5)+(N18*Settings!$B$6)+(Q18*Settings!$B$9)+(R18*Settings!$B$10)+(S18*Settings!$B$11)+(T18*Settings!$B$12)+(U18*Settings!$B$13)+(X18*Settings!$B$16)," ")</f>
        <v xml:space="preserve"> </v>
      </c>
      <c r="G18" s="11" t="str">
        <f>IFERROR(VLOOKUP(A18,'Standard Deviations'!A1:D536,4,FALSE)," ")</f>
        <v xml:space="preserve"> </v>
      </c>
      <c r="H18" s="9" t="str">
        <f>IFERROR(VLOOKUP($A18,Rankings!B1:I519,8,FALSE)," ")</f>
        <v xml:space="preserve"> </v>
      </c>
      <c r="I18" s="67"/>
      <c r="J18" s="11" t="str">
        <f>IFERROR(VLOOKUP($A18,Hitters!$A1:$R1500,4,FALSE)," ")</f>
        <v xml:space="preserve"> </v>
      </c>
      <c r="K18" s="11" t="str">
        <f>IFERROR(VLOOKUP($A18,Hitters!$A1:$R1500,5,FALSE)," ")</f>
        <v xml:space="preserve"> </v>
      </c>
      <c r="L18" s="11" t="str">
        <f>IFERROR(VLOOKUP($A18,Hitters!$A1:$R1500,6,FALSE)," ")</f>
        <v xml:space="preserve"> </v>
      </c>
      <c r="M18" s="11" t="str">
        <f>IFERROR(VLOOKUP($A18,Hitters!$A1:$R1500,7,FALSE)," ")</f>
        <v xml:space="preserve"> </v>
      </c>
      <c r="N18" s="11" t="str">
        <f>IFERROR(VLOOKUP($A18,Hitters!$A1:$R1500,8,FALSE)," ")</f>
        <v xml:space="preserve"> </v>
      </c>
      <c r="O18" s="11" t="str">
        <f>IFERROR(VLOOKUP($A18,Hitters!$A1:$R1500,9,FALSE)," ")</f>
        <v xml:space="preserve"> </v>
      </c>
      <c r="P18" s="11" t="str">
        <f>IFERROR(VLOOKUP($A18,Hitters!$A1:$R1500,10,FALSE)," ")</f>
        <v xml:space="preserve"> </v>
      </c>
      <c r="Q18" s="11" t="str">
        <f>IFERROR(VLOOKUP($A18,Hitters!$A1:$R1500,11,FALSE)," ")</f>
        <v xml:space="preserve"> </v>
      </c>
      <c r="R18" s="11" t="str">
        <f>IFERROR(VLOOKUP($A18,Hitters!$A1:$R1500,12,FALSE)," ")</f>
        <v xml:space="preserve"> </v>
      </c>
      <c r="S18" s="11" t="str">
        <f>IFERROR(VLOOKUP($A18,Hitters!$A1:$R1500,13,FALSE)," ")</f>
        <v xml:space="preserve"> </v>
      </c>
      <c r="T18" s="11" t="str">
        <f>IFERROR(VLOOKUP($A18,Hitters!$A1:$R1500,14,FALSE)," ")</f>
        <v xml:space="preserve"> </v>
      </c>
      <c r="U18" s="11" t="str">
        <f>IFERROR(VLOOKUP($A18,Hitters!$A1:$R1500,15,FALSE)," ")</f>
        <v xml:space="preserve"> </v>
      </c>
      <c r="V18" s="11" t="str">
        <f>IFERROR(VLOOKUP($A18,Hitters!$A1:$R1500,16,FALSE)," ")</f>
        <v xml:space="preserve"> </v>
      </c>
      <c r="W18" s="11" t="str">
        <f>IFERROR(VLOOKUP($A18,Hitters!$A1:$R1500,17,FALSE)," ")</f>
        <v xml:space="preserve"> </v>
      </c>
      <c r="X18" s="11" t="str">
        <f>IFERROR(VLOOKUP($A18,Hitters!$A1:$R1500,18,FALSE)," ")</f>
        <v xml:space="preserve"> </v>
      </c>
      <c r="Y18" s="6"/>
    </row>
    <row r="19" spans="1:25" ht="18.600000000000001" customHeight="1">
      <c r="A19" s="63"/>
      <c r="B19" s="11" t="str">
        <f>IFERROR(VLOOKUP($A19,Rankings!B1:C519,2,FALSE)," ")</f>
        <v xml:space="preserve"> </v>
      </c>
      <c r="C19" s="11" t="str">
        <f>IFERROR(VLOOKUP($A19,Rankings!B1:D519,3,FALSE)," ")</f>
        <v xml:space="preserve"> </v>
      </c>
      <c r="D19" s="84" t="s">
        <v>23</v>
      </c>
      <c r="E19" s="86" t="str">
        <f>IFERROR(VLOOKUP($A19,Rankings!B1:F519,5,FALSE)," ")</f>
        <v xml:space="preserve"> </v>
      </c>
      <c r="F19" s="66" t="str">
        <f>IFERROR((J19*Settings!$B$2)+(K19*Settings!$B$3)+(L19*Settings!$B$4)+(M19*Settings!$B$5)+(N19*Settings!$B$6)+(Q19*Settings!$B$9)+(R19*Settings!$B$10)+(S19*Settings!$B$11)+(T19*Settings!$B$12)+(U19*Settings!$B$13)+(X19*Settings!$B$16)," ")</f>
        <v xml:space="preserve"> </v>
      </c>
      <c r="G19" s="11" t="str">
        <f>IFERROR(VLOOKUP(A19,'Standard Deviations'!A1:D536,4,FALSE)," ")</f>
        <v xml:space="preserve"> </v>
      </c>
      <c r="H19" s="9" t="str">
        <f>IFERROR(VLOOKUP($A19,Rankings!B1:I519,8,FALSE)," ")</f>
        <v xml:space="preserve"> </v>
      </c>
      <c r="I19" s="67"/>
      <c r="J19" s="11" t="str">
        <f>IFERROR(VLOOKUP($A19,Hitters!$A1:$R1500,4,FALSE)," ")</f>
        <v xml:space="preserve"> </v>
      </c>
      <c r="K19" s="11" t="str">
        <f>IFERROR(VLOOKUP($A19,Hitters!$A1:$R1500,5,FALSE)," ")</f>
        <v xml:space="preserve"> </v>
      </c>
      <c r="L19" s="11" t="str">
        <f>IFERROR(VLOOKUP($A19,Hitters!$A1:$R1500,6,FALSE)," ")</f>
        <v xml:space="preserve"> </v>
      </c>
      <c r="M19" s="11" t="str">
        <f>IFERROR(VLOOKUP($A19,Hitters!$A1:$R1500,7,FALSE)," ")</f>
        <v xml:space="preserve"> </v>
      </c>
      <c r="N19" s="11" t="str">
        <f>IFERROR(VLOOKUP($A19,Hitters!$A1:$R1500,8,FALSE)," ")</f>
        <v xml:space="preserve"> </v>
      </c>
      <c r="O19" s="11" t="str">
        <f>IFERROR(VLOOKUP($A19,Hitters!$A1:$R1500,9,FALSE)," ")</f>
        <v xml:space="preserve"> </v>
      </c>
      <c r="P19" s="11" t="str">
        <f>IFERROR(VLOOKUP($A19,Hitters!$A1:$R1500,10,FALSE)," ")</f>
        <v xml:space="preserve"> </v>
      </c>
      <c r="Q19" s="11" t="str">
        <f>IFERROR(VLOOKUP($A19,Hitters!$A1:$R1500,11,FALSE)," ")</f>
        <v xml:space="preserve"> </v>
      </c>
      <c r="R19" s="11" t="str">
        <f>IFERROR(VLOOKUP($A19,Hitters!$A1:$R1500,12,FALSE)," ")</f>
        <v xml:space="preserve"> </v>
      </c>
      <c r="S19" s="11" t="str">
        <f>IFERROR(VLOOKUP($A19,Hitters!$A1:$R1500,13,FALSE)," ")</f>
        <v xml:space="preserve"> </v>
      </c>
      <c r="T19" s="11" t="str">
        <f>IFERROR(VLOOKUP($A19,Hitters!$A1:$R1500,14,FALSE)," ")</f>
        <v xml:space="preserve"> </v>
      </c>
      <c r="U19" s="11" t="str">
        <f>IFERROR(VLOOKUP($A19,Hitters!$A1:$R1500,15,FALSE)," ")</f>
        <v xml:space="preserve"> </v>
      </c>
      <c r="V19" s="11" t="str">
        <f>IFERROR(VLOOKUP($A19,Hitters!$A1:$R1500,16,FALSE)," ")</f>
        <v xml:space="preserve"> </v>
      </c>
      <c r="W19" s="11" t="str">
        <f>IFERROR(VLOOKUP($A19,Hitters!$A1:$R1500,17,FALSE)," ")</f>
        <v xml:space="preserve"> </v>
      </c>
      <c r="X19" s="11" t="str">
        <f>IFERROR(VLOOKUP($A19,Hitters!$A1:$R1500,18,FALSE)," ")</f>
        <v xml:space="preserve"> </v>
      </c>
      <c r="Y19" s="6"/>
    </row>
    <row r="20" spans="1:25" ht="18.600000000000001" customHeight="1">
      <c r="A20" s="63"/>
      <c r="B20" s="11" t="str">
        <f>IFERROR(VLOOKUP($A20,Rankings!B1:C519,2,FALSE)," ")</f>
        <v xml:space="preserve"> </v>
      </c>
      <c r="C20" s="11" t="str">
        <f>IFERROR(VLOOKUP($A20,Rankings!B1:D519,3,FALSE)," ")</f>
        <v xml:space="preserve"> </v>
      </c>
      <c r="D20" s="84" t="s">
        <v>23</v>
      </c>
      <c r="E20" s="86" t="str">
        <f>IFERROR(VLOOKUP($A20,Rankings!B1:F519,5,FALSE)," ")</f>
        <v xml:space="preserve"> </v>
      </c>
      <c r="F20" s="66" t="str">
        <f>IFERROR((J20*Settings!$B$2)+(K20*Settings!$B$3)+(L20*Settings!$B$4)+(M20*Settings!$B$5)+(N20*Settings!$B$6)+(Q20*Settings!$B$9)+(R20*Settings!$B$10)+(S20*Settings!$B$11)+(T20*Settings!$B$12)+(U20*Settings!$B$13)+(X20*Settings!$B$16)," ")</f>
        <v xml:space="preserve"> </v>
      </c>
      <c r="G20" s="11" t="str">
        <f>IFERROR(VLOOKUP(A20,'Standard Deviations'!A1:D536,4,FALSE)," ")</f>
        <v xml:space="preserve"> </v>
      </c>
      <c r="H20" s="9" t="str">
        <f>IFERROR(VLOOKUP($A20,Rankings!B1:I519,8,FALSE)," ")</f>
        <v xml:space="preserve"> </v>
      </c>
      <c r="I20" s="67"/>
      <c r="J20" s="11" t="str">
        <f>IFERROR(VLOOKUP($A20,Hitters!$A1:$R1500,4,FALSE)," ")</f>
        <v xml:space="preserve"> </v>
      </c>
      <c r="K20" s="11" t="str">
        <f>IFERROR(VLOOKUP($A20,Hitters!$A1:$R1500,5,FALSE)," ")</f>
        <v xml:space="preserve"> </v>
      </c>
      <c r="L20" s="11" t="str">
        <f>IFERROR(VLOOKUP($A20,Hitters!$A1:$R1500,6,FALSE)," ")</f>
        <v xml:space="preserve"> </v>
      </c>
      <c r="M20" s="11" t="str">
        <f>IFERROR(VLOOKUP($A20,Hitters!$A1:$R1500,7,FALSE)," ")</f>
        <v xml:space="preserve"> </v>
      </c>
      <c r="N20" s="11" t="str">
        <f>IFERROR(VLOOKUP($A20,Hitters!$A1:$R1500,8,FALSE)," ")</f>
        <v xml:space="preserve"> </v>
      </c>
      <c r="O20" s="11" t="str">
        <f>IFERROR(VLOOKUP($A20,Hitters!$A1:$R1500,9,FALSE)," ")</f>
        <v xml:space="preserve"> </v>
      </c>
      <c r="P20" s="11" t="str">
        <f>IFERROR(VLOOKUP($A20,Hitters!$A1:$R1500,10,FALSE)," ")</f>
        <v xml:space="preserve"> </v>
      </c>
      <c r="Q20" s="11" t="str">
        <f>IFERROR(VLOOKUP($A20,Hitters!$A1:$R1500,11,FALSE)," ")</f>
        <v xml:space="preserve"> </v>
      </c>
      <c r="R20" s="11" t="str">
        <f>IFERROR(VLOOKUP($A20,Hitters!$A1:$R1500,12,FALSE)," ")</f>
        <v xml:space="preserve"> </v>
      </c>
      <c r="S20" s="11" t="str">
        <f>IFERROR(VLOOKUP($A20,Hitters!$A1:$R1500,13,FALSE)," ")</f>
        <v xml:space="preserve"> </v>
      </c>
      <c r="T20" s="11" t="str">
        <f>IFERROR(VLOOKUP($A20,Hitters!$A1:$R1500,14,FALSE)," ")</f>
        <v xml:space="preserve"> </v>
      </c>
      <c r="U20" s="11" t="str">
        <f>IFERROR(VLOOKUP($A20,Hitters!$A1:$R1500,15,FALSE)," ")</f>
        <v xml:space="preserve"> </v>
      </c>
      <c r="V20" s="11" t="str">
        <f>IFERROR(VLOOKUP($A20,Hitters!$A1:$R1500,16,FALSE)," ")</f>
        <v xml:space="preserve"> </v>
      </c>
      <c r="W20" s="11" t="str">
        <f>IFERROR(VLOOKUP($A20,Hitters!$A1:$R1500,17,FALSE)," ")</f>
        <v xml:space="preserve"> </v>
      </c>
      <c r="X20" s="11" t="str">
        <f>IFERROR(VLOOKUP($A20,Hitters!$A1:$R1500,18,FALSE)," ")</f>
        <v xml:space="preserve"> </v>
      </c>
      <c r="Y20" s="6"/>
    </row>
    <row r="21" spans="1:25" ht="18.600000000000001" customHeight="1">
      <c r="A21" s="63"/>
      <c r="B21" s="11" t="str">
        <f>IFERROR(VLOOKUP($A21,Rankings!B1:C519,2,FALSE)," ")</f>
        <v xml:space="preserve"> </v>
      </c>
      <c r="C21" s="11" t="str">
        <f>IFERROR(VLOOKUP($A21,Rankings!B1:D519,3,FALSE)," ")</f>
        <v xml:space="preserve"> </v>
      </c>
      <c r="D21" s="84" t="s">
        <v>23</v>
      </c>
      <c r="E21" s="86" t="str">
        <f>IFERROR(VLOOKUP($A21,Rankings!B1:F519,5,FALSE)," ")</f>
        <v xml:space="preserve"> </v>
      </c>
      <c r="F21" s="66" t="str">
        <f>IFERROR((J21*Settings!$B$2)+(K21*Settings!$B$3)+(L21*Settings!$B$4)+(M21*Settings!$B$5)+(N21*Settings!$B$6)+(Q21*Settings!$B$9)+(R21*Settings!$B$10)+(S21*Settings!$B$11)+(T21*Settings!$B$12)+(U21*Settings!$B$13)+(X21*Settings!$B$16)," ")</f>
        <v xml:space="preserve"> </v>
      </c>
      <c r="G21" s="11" t="str">
        <f>IFERROR(VLOOKUP(A21,'Standard Deviations'!A1:D536,4,FALSE)," ")</f>
        <v xml:space="preserve"> </v>
      </c>
      <c r="H21" s="9" t="str">
        <f>IFERROR(VLOOKUP($A21,Rankings!B1:I519,8,FALSE)," ")</f>
        <v xml:space="preserve"> </v>
      </c>
      <c r="I21" s="67"/>
      <c r="J21" s="11" t="str">
        <f>IFERROR(VLOOKUP($A21,Hitters!$A1:$R1500,4,FALSE)," ")</f>
        <v xml:space="preserve"> </v>
      </c>
      <c r="K21" s="11" t="str">
        <f>IFERROR(VLOOKUP($A21,Hitters!$A1:$R1500,5,FALSE)," ")</f>
        <v xml:space="preserve"> </v>
      </c>
      <c r="L21" s="11" t="str">
        <f>IFERROR(VLOOKUP($A21,Hitters!$A1:$R1500,6,FALSE)," ")</f>
        <v xml:space="preserve"> </v>
      </c>
      <c r="M21" s="11" t="str">
        <f>IFERROR(VLOOKUP($A21,Hitters!$A1:$R1500,7,FALSE)," ")</f>
        <v xml:space="preserve"> </v>
      </c>
      <c r="N21" s="11" t="str">
        <f>IFERROR(VLOOKUP($A21,Hitters!$A1:$R1500,8,FALSE)," ")</f>
        <v xml:space="preserve"> </v>
      </c>
      <c r="O21" s="11" t="str">
        <f>IFERROR(VLOOKUP($A21,Hitters!$A1:$R1500,9,FALSE)," ")</f>
        <v xml:space="preserve"> </v>
      </c>
      <c r="P21" s="11" t="str">
        <f>IFERROR(VLOOKUP($A21,Hitters!$A1:$R1500,10,FALSE)," ")</f>
        <v xml:space="preserve"> </v>
      </c>
      <c r="Q21" s="11" t="str">
        <f>IFERROR(VLOOKUP($A21,Hitters!$A1:$R1500,11,FALSE)," ")</f>
        <v xml:space="preserve"> </v>
      </c>
      <c r="R21" s="11" t="str">
        <f>IFERROR(VLOOKUP($A21,Hitters!$A1:$R1500,12,FALSE)," ")</f>
        <v xml:space="preserve"> </v>
      </c>
      <c r="S21" s="11" t="str">
        <f>IFERROR(VLOOKUP($A21,Hitters!$A1:$R1500,13,FALSE)," ")</f>
        <v xml:space="preserve"> </v>
      </c>
      <c r="T21" s="11" t="str">
        <f>IFERROR(VLOOKUP($A21,Hitters!$A1:$R1500,14,FALSE)," ")</f>
        <v xml:space="preserve"> </v>
      </c>
      <c r="U21" s="11" t="str">
        <f>IFERROR(VLOOKUP($A21,Hitters!$A1:$R1500,15,FALSE)," ")</f>
        <v xml:space="preserve"> </v>
      </c>
      <c r="V21" s="11" t="str">
        <f>IFERROR(VLOOKUP($A21,Hitters!$A1:$R1500,16,FALSE)," ")</f>
        <v xml:space="preserve"> </v>
      </c>
      <c r="W21" s="11" t="str">
        <f>IFERROR(VLOOKUP($A21,Hitters!$A1:$R1500,17,FALSE)," ")</f>
        <v xml:space="preserve"> </v>
      </c>
      <c r="X21" s="11" t="str">
        <f>IFERROR(VLOOKUP($A21,Hitters!$A1:$R1500,18,FALSE)," ")</f>
        <v xml:space="preserve"> </v>
      </c>
      <c r="Y21" s="6"/>
    </row>
    <row r="22" spans="1:25" ht="18.600000000000001" customHeight="1">
      <c r="A22" s="87"/>
      <c r="B22" s="88" t="str">
        <f>IFERROR(VLOOKUP($A22,Rankings!B1:C519,2,FALSE)," ")</f>
        <v xml:space="preserve"> </v>
      </c>
      <c r="C22" s="88" t="str">
        <f>IFERROR(VLOOKUP($A22,Rankings!B1:D519,3,FALSE)," ")</f>
        <v xml:space="preserve"> </v>
      </c>
      <c r="D22" s="89" t="s">
        <v>23</v>
      </c>
      <c r="E22" s="90" t="str">
        <f>IFERROR(VLOOKUP($A22,Rankings!B1:F519,5,FALSE)," ")</f>
        <v xml:space="preserve"> </v>
      </c>
      <c r="F22" s="91" t="str">
        <f>IFERROR((J22*Settings!$B$2)+(K22*Settings!$B$3)+(L22*Settings!$B$4)+(M22*Settings!$B$5)+(N22*Settings!$B$6)+(Q22*Settings!$B$9)+(R22*Settings!$B$10)+(S22*Settings!$B$11)+(T22*Settings!$B$12)+(U22*Settings!$B$13)+(X22*Settings!$B$16)," ")</f>
        <v xml:space="preserve"> </v>
      </c>
      <c r="G22" s="88" t="str">
        <f>IFERROR(VLOOKUP(A22,'Standard Deviations'!A1:D536,4,FALSE)," ")</f>
        <v xml:space="preserve"> </v>
      </c>
      <c r="H22" s="92" t="str">
        <f>IFERROR(VLOOKUP($A22,Rankings!B1:I519,8,FALSE)," ")</f>
        <v xml:space="preserve"> </v>
      </c>
      <c r="I22" s="93"/>
      <c r="J22" s="88" t="str">
        <f>IFERROR(VLOOKUP($A22,Hitters!$A1:$R1500,4,FALSE)," ")</f>
        <v xml:space="preserve"> </v>
      </c>
      <c r="K22" s="88" t="str">
        <f>IFERROR(VLOOKUP($A22,Hitters!$A1:$R1500,5,FALSE)," ")</f>
        <v xml:space="preserve"> </v>
      </c>
      <c r="L22" s="88" t="str">
        <f>IFERROR(VLOOKUP($A22,Hitters!$A1:$R1500,6,FALSE)," ")</f>
        <v xml:space="preserve"> </v>
      </c>
      <c r="M22" s="88" t="str">
        <f>IFERROR(VLOOKUP($A22,Hitters!$A1:$R1500,7,FALSE)," ")</f>
        <v xml:space="preserve"> </v>
      </c>
      <c r="N22" s="88" t="str">
        <f>IFERROR(VLOOKUP($A22,Hitters!$A1:$R1500,8,FALSE)," ")</f>
        <v xml:space="preserve"> </v>
      </c>
      <c r="O22" s="88" t="str">
        <f>IFERROR(VLOOKUP($A22,Hitters!$A1:$R1500,9,FALSE)," ")</f>
        <v xml:space="preserve"> </v>
      </c>
      <c r="P22" s="88" t="str">
        <f>IFERROR(VLOOKUP($A22,Hitters!$A1:$R1500,10,FALSE)," ")</f>
        <v xml:space="preserve"> </v>
      </c>
      <c r="Q22" s="88" t="str">
        <f>IFERROR(VLOOKUP($A22,Hitters!$A1:$R1500,11,FALSE)," ")</f>
        <v xml:space="preserve"> </v>
      </c>
      <c r="R22" s="88" t="str">
        <f>IFERROR(VLOOKUP($A22,Hitters!$A1:$R1500,12,FALSE)," ")</f>
        <v xml:space="preserve"> </v>
      </c>
      <c r="S22" s="88" t="str">
        <f>IFERROR(VLOOKUP($A22,Hitters!$A1:$R1500,13,FALSE)," ")</f>
        <v xml:space="preserve"> </v>
      </c>
      <c r="T22" s="88" t="str">
        <f>IFERROR(VLOOKUP($A22,Hitters!$A1:$R1500,14,FALSE)," ")</f>
        <v xml:space="preserve"> </v>
      </c>
      <c r="U22" s="88" t="str">
        <f>IFERROR(VLOOKUP($A22,Hitters!$A1:$R1500,15,FALSE)," ")</f>
        <v xml:space="preserve"> </v>
      </c>
      <c r="V22" s="88" t="str">
        <f>IFERROR(VLOOKUP($A22,Hitters!$A1:$R1500,16,FALSE)," ")</f>
        <v xml:space="preserve"> </v>
      </c>
      <c r="W22" s="88" t="str">
        <f>IFERROR(VLOOKUP($A22,Hitters!$A1:$R1500,17,FALSE)," ")</f>
        <v xml:space="preserve"> </v>
      </c>
      <c r="X22" s="88" t="str">
        <f>IFERROR(VLOOKUP($A22,Hitters!$A1:$R1500,18,FALSE)," ")</f>
        <v xml:space="preserve"> </v>
      </c>
      <c r="Y22" s="94"/>
    </row>
    <row r="23" spans="1:25" ht="18.600000000000001" customHeight="1">
      <c r="A23" s="55" t="s">
        <v>748</v>
      </c>
      <c r="B23" s="56" t="str">
        <f>IFERROR(VLOOKUP($A23,Rankings!B1:C519,2,FALSE)," ")</f>
        <v xml:space="preserve"> </v>
      </c>
      <c r="C23" s="95"/>
      <c r="D23" s="96"/>
      <c r="E23" s="97" t="str">
        <f>IFERROR(VLOOKUP($A23,Rankings!B1:F519,5,FALSE)," ")</f>
        <v xml:space="preserve"> </v>
      </c>
      <c r="F23" s="59">
        <f>SUM(F2:F22)</f>
        <v>3254.3333333333339</v>
      </c>
      <c r="G23" s="60">
        <f>SUM(G2:G22)</f>
        <v>45.045266379532507</v>
      </c>
      <c r="H23" s="61">
        <f ca="1">SUM(H2:H22)</f>
        <v>36.62428091252945</v>
      </c>
      <c r="I23" s="60"/>
      <c r="J23" s="60">
        <f>SUM(J2:J22)</f>
        <v>3148</v>
      </c>
      <c r="K23" s="60">
        <f>SUM(K2:K22)</f>
        <v>533.40000000000032</v>
      </c>
      <c r="L23" s="60">
        <f>SUM(L2:L22)</f>
        <v>178.1333333333333</v>
      </c>
      <c r="M23" s="60">
        <f>SUM(M2:M22)</f>
        <v>536.60000000000025</v>
      </c>
      <c r="N23" s="60">
        <f>SUM(N2:N22)</f>
        <v>72.96666666666664</v>
      </c>
      <c r="O23" s="62">
        <f>Q23/J23</f>
        <v>0.27484116899618805</v>
      </c>
      <c r="P23" s="62">
        <f>AVERAGE(P2:P22)</f>
        <v>0.34782758029315136</v>
      </c>
      <c r="Q23" s="60">
        <f>SUM(Q2:Q22)</f>
        <v>865.2</v>
      </c>
      <c r="R23" s="60">
        <f>SUM(R2:R22)</f>
        <v>178.03333333333342</v>
      </c>
      <c r="S23" s="60">
        <f>SUM(S2:S22)</f>
        <v>13.133333333333322</v>
      </c>
      <c r="T23" s="60">
        <f>SUM(T2:T22)</f>
        <v>385.29999999999995</v>
      </c>
      <c r="U23" s="60">
        <f>SUM(U2:U22)</f>
        <v>640.1999999999997</v>
      </c>
      <c r="V23" s="62">
        <f>((Q23-R23-S23-L23)+(R23*2)+(S23*3)+(L23*4))/J23</f>
        <v>0.50949809402795432</v>
      </c>
      <c r="W23" s="62">
        <f>V23+P23</f>
        <v>0.85732567432110574</v>
      </c>
      <c r="X23" s="60">
        <f>SUM(X2:X22)</f>
        <v>0</v>
      </c>
      <c r="Y23" s="60"/>
    </row>
    <row r="24" spans="1:25" ht="18.600000000000001" customHeight="1">
      <c r="A24" s="98"/>
      <c r="B24" s="99" t="str">
        <f>IFERROR(VLOOKUP($A24,Rankings!B1:C519,2,FALSE)," ")</f>
        <v xml:space="preserve"> </v>
      </c>
      <c r="C24" s="100"/>
      <c r="D24" s="101"/>
      <c r="E24" s="101"/>
      <c r="F24" s="102" t="str">
        <f>IFERROR((J24*Settings!$B$2)+(K24*Settings!$B$3)+(L24*Settings!$B$4)+(M24*Settings!$B$5)+(N24*Settings!$B$6)+(Q24*Settings!$B$9)+(R24*Settings!$B$10)+(S24*Settings!$B$11)+(T24*Settings!$B$12)+(U24*Settings!$B$13)+(X24*Settings!$B$16)," ")</f>
        <v xml:space="preserve"> </v>
      </c>
      <c r="G24" s="99" t="str">
        <f>IFERROR(VLOOKUP(A24,'Standard Deviations'!A1:D536,4,FALSE)," ")</f>
        <v xml:space="preserve"> </v>
      </c>
      <c r="H24" s="103" t="str">
        <f>IFERROR(VLOOKUP($A24,Rankings!B1:I519,8,FALSE)," ")</f>
        <v xml:space="preserve"> </v>
      </c>
      <c r="I24" s="104"/>
      <c r="J24" s="99" t="str">
        <f>IFERROR(VLOOKUP($A24,Hitters!$A1:$R308,4,FALSE)," ")</f>
        <v xml:space="preserve"> </v>
      </c>
      <c r="K24" s="99" t="str">
        <f>IFERROR(VLOOKUP($A24,Hitters!$A1:$R308,5,FALSE)," ")</f>
        <v xml:space="preserve"> </v>
      </c>
      <c r="L24" s="99" t="str">
        <f>IFERROR(VLOOKUP($A24,Hitters!$A1:$R308,6,FALSE)," ")</f>
        <v xml:space="preserve"> </v>
      </c>
      <c r="M24" s="99" t="str">
        <f>IFERROR(VLOOKUP($A24,Hitters!$A1:$R308,7,FALSE)," ")</f>
        <v xml:space="preserve"> </v>
      </c>
      <c r="N24" s="99" t="str">
        <f>IFERROR(VLOOKUP($A24,Hitters!$A1:$R308,8,FALSE)," ")</f>
        <v xml:space="preserve"> </v>
      </c>
      <c r="O24" s="99" t="str">
        <f>IFERROR(VLOOKUP($A24,Hitters!$A1:$R308,9,FALSE)," ")</f>
        <v xml:space="preserve"> </v>
      </c>
      <c r="P24" s="99" t="str">
        <f>IFERROR(VLOOKUP($A24,Hitters!$A1:$R308,10,FALSE)," ")</f>
        <v xml:space="preserve"> </v>
      </c>
      <c r="Q24" s="99" t="str">
        <f>IFERROR(VLOOKUP($A24,Hitters!$A1:$R308,11,FALSE)," ")</f>
        <v xml:space="preserve"> </v>
      </c>
      <c r="R24" s="99" t="str">
        <f>IFERROR(VLOOKUP($A24,Hitters!$A1:$R308,12,FALSE)," ")</f>
        <v xml:space="preserve"> </v>
      </c>
      <c r="S24" s="99" t="str">
        <f>IFERROR(VLOOKUP($A24,Hitters!$A1:$R308,13,FALSE)," ")</f>
        <v xml:space="preserve"> </v>
      </c>
      <c r="T24" s="99" t="str">
        <f>IFERROR(VLOOKUP($A24,Hitters!$A1:$R308,14,FALSE)," ")</f>
        <v xml:space="preserve"> </v>
      </c>
      <c r="U24" s="99" t="str">
        <f>IFERROR(VLOOKUP($A24,Hitters!$A1:$R308,15,FALSE)," ")</f>
        <v xml:space="preserve"> </v>
      </c>
      <c r="V24" s="99" t="str">
        <f>IFERROR(VLOOKUP($A24,Hitters!$A1:$R308,16,FALSE)," ")</f>
        <v xml:space="preserve"> </v>
      </c>
      <c r="W24" s="99" t="str">
        <f>IFERROR(VLOOKUP($A24,Hitters!$A1:$R308,17,FALSE)," ")</f>
        <v xml:space="preserve"> </v>
      </c>
      <c r="X24" s="99" t="str">
        <f>IFERROR(VLOOKUP($A24,Hitters!$A1:$R308,18,FALSE)," ")</f>
        <v xml:space="preserve"> </v>
      </c>
      <c r="Y24" s="100"/>
    </row>
    <row r="25" spans="1:25" ht="18.600000000000001" customHeight="1">
      <c r="A25" s="50" t="s">
        <v>749</v>
      </c>
      <c r="B25" s="51" t="s">
        <v>60</v>
      </c>
      <c r="C25" s="52" t="s">
        <v>61</v>
      </c>
      <c r="D25" s="157" t="s">
        <v>62</v>
      </c>
      <c r="E25" s="158"/>
      <c r="F25" s="53" t="s">
        <v>63</v>
      </c>
      <c r="G25" s="51" t="s">
        <v>64</v>
      </c>
      <c r="H25" s="51" t="s">
        <v>65</v>
      </c>
      <c r="I25" s="54"/>
      <c r="J25" s="51" t="s">
        <v>6</v>
      </c>
      <c r="K25" s="51" t="s">
        <v>10</v>
      </c>
      <c r="L25" s="51" t="s">
        <v>14</v>
      </c>
      <c r="M25" s="51" t="s">
        <v>18</v>
      </c>
      <c r="N25" s="51" t="s">
        <v>22</v>
      </c>
      <c r="O25" s="51" t="s">
        <v>26</v>
      </c>
      <c r="P25" s="51" t="s">
        <v>30</v>
      </c>
      <c r="Q25" s="51" t="s">
        <v>33</v>
      </c>
      <c r="R25" s="51" t="s">
        <v>36</v>
      </c>
      <c r="S25" s="51" t="s">
        <v>13</v>
      </c>
      <c r="T25" s="51" t="s">
        <v>39</v>
      </c>
      <c r="U25" s="51" t="s">
        <v>41</v>
      </c>
      <c r="V25" s="51" t="s">
        <v>46</v>
      </c>
      <c r="W25" s="51" t="s">
        <v>48</v>
      </c>
      <c r="X25" s="51" t="s">
        <v>53</v>
      </c>
      <c r="Y25" s="51" t="s">
        <v>56</v>
      </c>
    </row>
    <row r="26" spans="1:25" ht="18.600000000000001" customHeight="1">
      <c r="A26" s="55" t="s">
        <v>93</v>
      </c>
      <c r="B26" s="56" t="str">
        <f>IFERROR(VLOOKUP($A26,Rankings!B1:C519,2,FALSE)," ")</f>
        <v>NYY</v>
      </c>
      <c r="C26" s="56" t="str">
        <f>IFERROR(VLOOKUP($A26,Rankings!B1:D519,3,FALSE)," ")</f>
        <v>AL</v>
      </c>
      <c r="D26" s="105" t="s">
        <v>31</v>
      </c>
      <c r="E26" s="106">
        <f ca="1">IFERROR(VLOOKUP($A26,Rankings!B1:F519,5,FALSE)," ")</f>
        <v>3</v>
      </c>
      <c r="F26" s="59">
        <f>IFERROR((J26*Settings!$B$2)+(K26*Settings!$B$3)+(L26*Settings!$B$4)+(M26*Settings!$B$5)+(N26*Settings!$B$6)+(Q26*Settings!$B$9)+(R26*Settings!$B$10)+(S26*Settings!$B$11)+(T26*Settings!$B$12)+(U26*Settings!$B$13)+(X26*Settings!$B$16)," ")</f>
        <v>617.83914849428879</v>
      </c>
      <c r="G26" s="60">
        <f>IFERROR(VLOOKUP(A26,'Standard Deviations'!A1:D536,4,FALSE)," ")</f>
        <v>7.166949272117388</v>
      </c>
      <c r="H26" s="61">
        <f ca="1">IFERROR(VLOOKUP($A26,Rankings!B1:I519,8,FALSE)," ")</f>
        <v>7.0309626052911858</v>
      </c>
      <c r="I26" s="60"/>
      <c r="J26" s="60">
        <f>IFERROR(VLOOKUP($A26,Pitchers!$A1:$S1000,4,FALSE)," ")</f>
        <v>192.6</v>
      </c>
      <c r="K26" s="62">
        <f>IFERROR(VLOOKUP($A26,Pitchers!$A1:$S1000,5,FALSE)," ")</f>
        <v>3.2959501557632396</v>
      </c>
      <c r="L26" s="62">
        <f>IFERROR(VLOOKUP($A26,Pitchers!$A1:$S1000,6,FALSE)," ")</f>
        <v>1.0441329179646937</v>
      </c>
      <c r="M26" s="60">
        <f>IFERROR(VLOOKUP($A26,Pitchers!$A1:$S1000,7,FALSE)," ")</f>
        <v>242.9</v>
      </c>
      <c r="N26" s="60">
        <f>IFERROR(VLOOKUP($A26,Pitchers!$A1:$S1000,8,FALSE)," ")</f>
        <v>14.133333333333333</v>
      </c>
      <c r="O26" s="60">
        <f>IFERROR(VLOOKUP($A26,Pitchers!$A1:$S1000,9,FALSE)," ")</f>
        <v>0</v>
      </c>
      <c r="P26" s="60">
        <f>IFERROR(VLOOKUP($A26,Pitchers!$A1:$S1000,10,FALSE)," ")</f>
        <v>70.533333333333331</v>
      </c>
      <c r="Q26" s="60">
        <f>IFERROR(VLOOKUP($A26,Pitchers!$A1:$S1000,11,FALSE)," ")</f>
        <v>153.79999999999998</v>
      </c>
      <c r="R26" s="60">
        <f>IFERROR(VLOOKUP($A26,Pitchers!$A1:$S1000,12,FALSE)," ")</f>
        <v>47.300000000000004</v>
      </c>
      <c r="S26" s="60">
        <f>IFERROR(VLOOKUP($A26,Pitchers!$A1:$S1000,13,FALSE)," ")</f>
        <v>25</v>
      </c>
      <c r="T26" s="60">
        <f>IFERROR(VLOOKUP($A26,Pitchers!$A1:$S1000,14,FALSE)," ")</f>
        <v>31.599999999999998</v>
      </c>
      <c r="U26" s="60">
        <f>IFERROR(VLOOKUP($A26,Pitchers!$A1:$S1000,15,FALSE)," ")</f>
        <v>31.599999999999998</v>
      </c>
      <c r="V26" s="60">
        <f>IFERROR(VLOOKUP($A26,Pitchers!$A1:$S1000,16,FALSE)," ")</f>
        <v>7.8</v>
      </c>
      <c r="W26" s="60">
        <f>IFERROR(VLOOKUP($A26,Pitchers!$A1:$S1000,17,FALSE)," ")</f>
        <v>21</v>
      </c>
      <c r="X26" s="60">
        <f>IFERROR(VLOOKUP($A26,Pitchers!$A1:$S1000,18,FALSE)," ")</f>
        <v>0</v>
      </c>
      <c r="Y26" s="60">
        <f>IFERROR(VLOOKUP($A26,Pitchers!$A1:$S1000,19,FALSE)," ")</f>
        <v>0</v>
      </c>
    </row>
    <row r="27" spans="1:25" ht="18.600000000000001" customHeight="1">
      <c r="A27" s="63"/>
      <c r="B27" s="11" t="str">
        <f>IFERROR(VLOOKUP($A27,Rankings!B1:C519,2,FALSE)," ")</f>
        <v xml:space="preserve"> </v>
      </c>
      <c r="C27" s="11" t="str">
        <f>IFERROR(VLOOKUP($A27,Rankings!B1:D519,3,FALSE)," ")</f>
        <v xml:space="preserve"> </v>
      </c>
      <c r="D27" s="107" t="s">
        <v>31</v>
      </c>
      <c r="E27" s="108" t="str">
        <f>IFERROR(VLOOKUP($A27,Rankings!B1:F519,5,FALSE)," ")</f>
        <v xml:space="preserve"> </v>
      </c>
      <c r="F27" s="66" t="str">
        <f>IFERROR((J27*Settings!$B$2)+(K27*Settings!$B$3)+(L27*Settings!$B$4)+(M27*Settings!$B$5)+(N27*Settings!$B$6)+(Q27*Settings!$B$9)+(R27*Settings!$B$10)+(S27*Settings!$B$11)+(T27*Settings!$B$12)+(U27*Settings!$B$13)+(X27*Settings!$B$16)," ")</f>
        <v xml:space="preserve"> </v>
      </c>
      <c r="G27" s="11" t="str">
        <f>IFERROR(VLOOKUP(A27,'Standard Deviations'!A1:D536,4,FALSE)," ")</f>
        <v xml:space="preserve"> </v>
      </c>
      <c r="H27" s="9" t="str">
        <f>IFERROR(VLOOKUP($A27,Rankings!B1:I519,8,FALSE)," ")</f>
        <v xml:space="preserve"> </v>
      </c>
      <c r="I27" s="67"/>
      <c r="J27" s="11" t="str">
        <f>IFERROR(VLOOKUP($A27,Pitchers!$A1:$S1000,4,FALSE)," ")</f>
        <v xml:space="preserve"> </v>
      </c>
      <c r="K27" s="11" t="str">
        <f>IFERROR(VLOOKUP($A27,Pitchers!$A1:$S1000,5,FALSE)," ")</f>
        <v xml:space="preserve"> </v>
      </c>
      <c r="L27" s="11" t="str">
        <f>IFERROR(VLOOKUP($A27,Pitchers!$A1:$S1000,6,FALSE)," ")</f>
        <v xml:space="preserve"> </v>
      </c>
      <c r="M27" s="11" t="str">
        <f>IFERROR(VLOOKUP($A27,Pitchers!$A1:$S1000,7,FALSE)," ")</f>
        <v xml:space="preserve"> </v>
      </c>
      <c r="N27" s="11" t="str">
        <f>IFERROR(VLOOKUP($A27,Pitchers!$A1:$S1000,8,FALSE)," ")</f>
        <v xml:space="preserve"> </v>
      </c>
      <c r="O27" s="11" t="str">
        <f>IFERROR(VLOOKUP($A27,Pitchers!$A1:$S1000,9,FALSE)," ")</f>
        <v xml:space="preserve"> </v>
      </c>
      <c r="P27" s="11" t="str">
        <f>IFERROR(VLOOKUP($A27,Pitchers!$A1:$S1000,10,FALSE)," ")</f>
        <v xml:space="preserve"> </v>
      </c>
      <c r="Q27" s="11" t="str">
        <f>IFERROR(VLOOKUP($A27,Pitchers!$A1:$S1000,11,FALSE)," ")</f>
        <v xml:space="preserve"> </v>
      </c>
      <c r="R27" s="11" t="str">
        <f>IFERROR(VLOOKUP($A27,Pitchers!$A1:$S1000,12,FALSE)," ")</f>
        <v xml:space="preserve"> </v>
      </c>
      <c r="S27" s="11" t="str">
        <f>IFERROR(VLOOKUP($A27,Pitchers!$A1:$S1000,13,FALSE)," ")</f>
        <v xml:space="preserve"> </v>
      </c>
      <c r="T27" s="11" t="str">
        <f>IFERROR(VLOOKUP($A27,Pitchers!$A1:$S1000,14,FALSE)," ")</f>
        <v xml:space="preserve"> </v>
      </c>
      <c r="U27" s="11" t="str">
        <f>IFERROR(VLOOKUP($A27,Pitchers!$A1:$S1000,15,FALSE)," ")</f>
        <v xml:space="preserve"> </v>
      </c>
      <c r="V27" s="11" t="str">
        <f>IFERROR(VLOOKUP($A27,Pitchers!$A1:$S1000,16,FALSE)," ")</f>
        <v xml:space="preserve"> </v>
      </c>
      <c r="W27" s="11" t="str">
        <f>IFERROR(VLOOKUP($A27,Pitchers!$A1:$S1000,17,FALSE)," ")</f>
        <v xml:space="preserve"> </v>
      </c>
      <c r="X27" s="11" t="str">
        <f>IFERROR(VLOOKUP($A27,Pitchers!$A1:$S1000,18,FALSE)," ")</f>
        <v xml:space="preserve"> </v>
      </c>
      <c r="Y27" s="11" t="str">
        <f>IFERROR(VLOOKUP($A27,Pitchers!$A1:$S1000,19,FALSE)," ")</f>
        <v xml:space="preserve"> </v>
      </c>
    </row>
    <row r="28" spans="1:25" ht="18.600000000000001" customHeight="1">
      <c r="A28" s="63"/>
      <c r="B28" s="11" t="str">
        <f>IFERROR(VLOOKUP($A28,Rankings!B1:C519,2,FALSE)," ")</f>
        <v xml:space="preserve"> </v>
      </c>
      <c r="C28" s="11" t="str">
        <f>IFERROR(VLOOKUP($A28,Rankings!B1:D519,3,FALSE)," ")</f>
        <v xml:space="preserve"> </v>
      </c>
      <c r="D28" s="107" t="s">
        <v>31</v>
      </c>
      <c r="E28" s="108" t="str">
        <f>IFERROR(VLOOKUP($A28,Rankings!B1:F519,5,FALSE)," ")</f>
        <v xml:space="preserve"> </v>
      </c>
      <c r="F28" s="66" t="str">
        <f>IFERROR((J28*Settings!$B$2)+(K28*Settings!$B$3)+(L28*Settings!$B$4)+(M28*Settings!$B$5)+(N28*Settings!$B$6)+(Q28*Settings!$B$9)+(R28*Settings!$B$10)+(S28*Settings!$B$11)+(T28*Settings!$B$12)+(U28*Settings!$B$13)+(X28*Settings!$B$16)," ")</f>
        <v xml:space="preserve"> </v>
      </c>
      <c r="G28" s="11" t="str">
        <f>IFERROR(VLOOKUP(A28,'Standard Deviations'!A1:D536,4,FALSE)," ")</f>
        <v xml:space="preserve"> </v>
      </c>
      <c r="H28" s="9" t="str">
        <f>IFERROR(VLOOKUP($A28,Rankings!B1:I519,8,FALSE)," ")</f>
        <v xml:space="preserve"> </v>
      </c>
      <c r="I28" s="67"/>
      <c r="J28" s="11" t="str">
        <f>IFERROR(VLOOKUP($A28,Pitchers!$A1:$S1000,4,FALSE)," ")</f>
        <v xml:space="preserve"> </v>
      </c>
      <c r="K28" s="11" t="str">
        <f>IFERROR(VLOOKUP($A28,Pitchers!$A1:$S1000,5,FALSE)," ")</f>
        <v xml:space="preserve"> </v>
      </c>
      <c r="L28" s="11" t="str">
        <f>IFERROR(VLOOKUP($A28,Pitchers!$A1:$S1000,6,FALSE)," ")</f>
        <v xml:space="preserve"> </v>
      </c>
      <c r="M28" s="11" t="str">
        <f>IFERROR(VLOOKUP($A28,Pitchers!$A1:$S1000,7,FALSE)," ")</f>
        <v xml:space="preserve"> </v>
      </c>
      <c r="N28" s="11" t="str">
        <f>IFERROR(VLOOKUP($A28,Pitchers!$A1:$S1000,8,FALSE)," ")</f>
        <v xml:space="preserve"> </v>
      </c>
      <c r="O28" s="11" t="str">
        <f>IFERROR(VLOOKUP($A28,Pitchers!$A1:$S1000,9,FALSE)," ")</f>
        <v xml:space="preserve"> </v>
      </c>
      <c r="P28" s="11" t="str">
        <f>IFERROR(VLOOKUP($A28,Pitchers!$A1:$S1000,10,FALSE)," ")</f>
        <v xml:space="preserve"> </v>
      </c>
      <c r="Q28" s="11" t="str">
        <f>IFERROR(VLOOKUP($A28,Pitchers!$A1:$S1000,11,FALSE)," ")</f>
        <v xml:space="preserve"> </v>
      </c>
      <c r="R28" s="11" t="str">
        <f>IFERROR(VLOOKUP($A28,Pitchers!$A1:$S1000,12,FALSE)," ")</f>
        <v xml:space="preserve"> </v>
      </c>
      <c r="S28" s="11" t="str">
        <f>IFERROR(VLOOKUP($A28,Pitchers!$A1:$S1000,13,FALSE)," ")</f>
        <v xml:space="preserve"> </v>
      </c>
      <c r="T28" s="11" t="str">
        <f>IFERROR(VLOOKUP($A28,Pitchers!$A1:$S1000,14,FALSE)," ")</f>
        <v xml:space="preserve"> </v>
      </c>
      <c r="U28" s="11" t="str">
        <f>IFERROR(VLOOKUP($A28,Pitchers!$A1:$S1000,15,FALSE)," ")</f>
        <v xml:space="preserve"> </v>
      </c>
      <c r="V28" s="11" t="str">
        <f>IFERROR(VLOOKUP($A28,Pitchers!$A1:$S1000,16,FALSE)," ")</f>
        <v xml:space="preserve"> </v>
      </c>
      <c r="W28" s="11" t="str">
        <f>IFERROR(VLOOKUP($A28,Pitchers!$A1:$S1000,17,FALSE)," ")</f>
        <v xml:space="preserve"> </v>
      </c>
      <c r="X28" s="11" t="str">
        <f>IFERROR(VLOOKUP($A28,Pitchers!$A1:$S1000,18,FALSE)," ")</f>
        <v xml:space="preserve"> </v>
      </c>
      <c r="Y28" s="11" t="str">
        <f>IFERROR(VLOOKUP($A28,Pitchers!$A1:$S1000,19,FALSE)," ")</f>
        <v xml:space="preserve"> </v>
      </c>
    </row>
    <row r="29" spans="1:25" ht="18.600000000000001" customHeight="1">
      <c r="A29" s="63"/>
      <c r="B29" s="11" t="str">
        <f>IFERROR(VLOOKUP($A29,Rankings!B1:C519,2,FALSE)," ")</f>
        <v xml:space="preserve"> </v>
      </c>
      <c r="C29" s="11" t="str">
        <f>IFERROR(VLOOKUP($A29,Rankings!B1:D519,3,FALSE)," ")</f>
        <v xml:space="preserve"> </v>
      </c>
      <c r="D29" s="107" t="s">
        <v>31</v>
      </c>
      <c r="E29" s="108" t="str">
        <f>IFERROR(VLOOKUP($A29,Rankings!B1:F519,5,FALSE)," ")</f>
        <v xml:space="preserve"> </v>
      </c>
      <c r="F29" s="66" t="str">
        <f>IFERROR((J29*Settings!$B$2)+(K29*Settings!$B$3)+(L29*Settings!$B$4)+(M29*Settings!$B$5)+(N29*Settings!$B$6)+(Q29*Settings!$B$9)+(R29*Settings!$B$10)+(S29*Settings!$B$11)+(T29*Settings!$B$12)+(U29*Settings!$B$13)+(X29*Settings!$B$16)," ")</f>
        <v xml:space="preserve"> </v>
      </c>
      <c r="G29" s="11" t="str">
        <f>IFERROR(VLOOKUP(A29,'Standard Deviations'!A1:D536,4,FALSE)," ")</f>
        <v xml:space="preserve"> </v>
      </c>
      <c r="H29" s="9" t="str">
        <f>IFERROR(VLOOKUP($A29,Rankings!B1:I519,8,FALSE)," ")</f>
        <v xml:space="preserve"> </v>
      </c>
      <c r="I29" s="67"/>
      <c r="J29" s="11" t="str">
        <f>IFERROR(VLOOKUP($A29,Pitchers!$A1:$S1000,4,FALSE)," ")</f>
        <v xml:space="preserve"> </v>
      </c>
      <c r="K29" s="11" t="str">
        <f>IFERROR(VLOOKUP($A29,Pitchers!$A1:$S1000,5,FALSE)," ")</f>
        <v xml:space="preserve"> </v>
      </c>
      <c r="L29" s="11" t="str">
        <f>IFERROR(VLOOKUP($A29,Pitchers!$A1:$S1000,6,FALSE)," ")</f>
        <v xml:space="preserve"> </v>
      </c>
      <c r="M29" s="11" t="str">
        <f>IFERROR(VLOOKUP($A29,Pitchers!$A1:$S1000,7,FALSE)," ")</f>
        <v xml:space="preserve"> </v>
      </c>
      <c r="N29" s="11" t="str">
        <f>IFERROR(VLOOKUP($A29,Pitchers!$A1:$S1000,8,FALSE)," ")</f>
        <v xml:space="preserve"> </v>
      </c>
      <c r="O29" s="11" t="str">
        <f>IFERROR(VLOOKUP($A29,Pitchers!$A1:$S1000,9,FALSE)," ")</f>
        <v xml:space="preserve"> </v>
      </c>
      <c r="P29" s="11" t="str">
        <f>IFERROR(VLOOKUP($A29,Pitchers!$A1:$S1000,10,FALSE)," ")</f>
        <v xml:space="preserve"> </v>
      </c>
      <c r="Q29" s="11" t="str">
        <f>IFERROR(VLOOKUP($A29,Pitchers!$A1:$S1000,11,FALSE)," ")</f>
        <v xml:space="preserve"> </v>
      </c>
      <c r="R29" s="11" t="str">
        <f>IFERROR(VLOOKUP($A29,Pitchers!$A1:$S1000,12,FALSE)," ")</f>
        <v xml:space="preserve"> </v>
      </c>
      <c r="S29" s="11" t="str">
        <f>IFERROR(VLOOKUP($A29,Pitchers!$A1:$S1000,13,FALSE)," ")</f>
        <v xml:space="preserve"> </v>
      </c>
      <c r="T29" s="11" t="str">
        <f>IFERROR(VLOOKUP($A29,Pitchers!$A1:$S1000,14,FALSE)," ")</f>
        <v xml:space="preserve"> </v>
      </c>
      <c r="U29" s="11" t="str">
        <f>IFERROR(VLOOKUP($A29,Pitchers!$A1:$S1000,15,FALSE)," ")</f>
        <v xml:space="preserve"> </v>
      </c>
      <c r="V29" s="11" t="str">
        <f>IFERROR(VLOOKUP($A29,Pitchers!$A1:$S1000,16,FALSE)," ")</f>
        <v xml:space="preserve"> </v>
      </c>
      <c r="W29" s="11" t="str">
        <f>IFERROR(VLOOKUP($A29,Pitchers!$A1:$S1000,17,FALSE)," ")</f>
        <v xml:space="preserve"> </v>
      </c>
      <c r="X29" s="11" t="str">
        <f>IFERROR(VLOOKUP($A29,Pitchers!$A1:$S1000,18,FALSE)," ")</f>
        <v xml:space="preserve"> </v>
      </c>
      <c r="Y29" s="11" t="str">
        <f>IFERROR(VLOOKUP($A29,Pitchers!$A1:$S1000,19,FALSE)," ")</f>
        <v xml:space="preserve"> </v>
      </c>
    </row>
    <row r="30" spans="1:25" ht="18.600000000000001" customHeight="1">
      <c r="A30" s="63"/>
      <c r="B30" s="11" t="str">
        <f>IFERROR(VLOOKUP($A30,Rankings!B1:C519,2,FALSE)," ")</f>
        <v xml:space="preserve"> </v>
      </c>
      <c r="C30" s="11" t="str">
        <f>IFERROR(VLOOKUP($A30,Rankings!B1:D519,3,FALSE)," ")</f>
        <v xml:space="preserve"> </v>
      </c>
      <c r="D30" s="107" t="s">
        <v>31</v>
      </c>
      <c r="E30" s="108" t="str">
        <f>IFERROR(VLOOKUP($A30,Rankings!B1:F519,5,FALSE)," ")</f>
        <v xml:space="preserve"> </v>
      </c>
      <c r="F30" s="66" t="str">
        <f>IFERROR((J30*Settings!$B$2)+(K30*Settings!$B$3)+(L30*Settings!$B$4)+(M30*Settings!$B$5)+(N30*Settings!$B$6)+(Q30*Settings!$B$9)+(R30*Settings!$B$10)+(S30*Settings!$B$11)+(T30*Settings!$B$12)+(U30*Settings!$B$13)+(X30*Settings!$B$16)," ")</f>
        <v xml:space="preserve"> </v>
      </c>
      <c r="G30" s="11" t="str">
        <f>IFERROR(VLOOKUP(A30,'Standard Deviations'!A1:D536,4,FALSE)," ")</f>
        <v xml:space="preserve"> </v>
      </c>
      <c r="H30" s="9" t="str">
        <f>IFERROR(VLOOKUP($A30,Rankings!B1:I519,8,FALSE)," ")</f>
        <v xml:space="preserve"> </v>
      </c>
      <c r="I30" s="67"/>
      <c r="J30" s="11" t="str">
        <f>IFERROR(VLOOKUP($A30,Pitchers!$A1:$S1000,4,FALSE)," ")</f>
        <v xml:space="preserve"> </v>
      </c>
      <c r="K30" s="11" t="str">
        <f>IFERROR(VLOOKUP($A30,Pitchers!$A1:$S1000,5,FALSE)," ")</f>
        <v xml:space="preserve"> </v>
      </c>
      <c r="L30" s="11" t="str">
        <f>IFERROR(VLOOKUP($A30,Pitchers!$A1:$S1000,6,FALSE)," ")</f>
        <v xml:space="preserve"> </v>
      </c>
      <c r="M30" s="11" t="str">
        <f>IFERROR(VLOOKUP($A30,Pitchers!$A1:$S1000,7,FALSE)," ")</f>
        <v xml:space="preserve"> </v>
      </c>
      <c r="N30" s="11" t="str">
        <f>IFERROR(VLOOKUP($A30,Pitchers!$A1:$S1000,8,FALSE)," ")</f>
        <v xml:space="preserve"> </v>
      </c>
      <c r="O30" s="11" t="str">
        <f>IFERROR(VLOOKUP($A30,Pitchers!$A1:$S1000,9,FALSE)," ")</f>
        <v xml:space="preserve"> </v>
      </c>
      <c r="P30" s="11" t="str">
        <f>IFERROR(VLOOKUP($A30,Pitchers!$A1:$S1000,10,FALSE)," ")</f>
        <v xml:space="preserve"> </v>
      </c>
      <c r="Q30" s="11" t="str">
        <f>IFERROR(VLOOKUP($A30,Pitchers!$A1:$S1000,11,FALSE)," ")</f>
        <v xml:space="preserve"> </v>
      </c>
      <c r="R30" s="11" t="str">
        <f>IFERROR(VLOOKUP($A30,Pitchers!$A1:$S1000,12,FALSE)," ")</f>
        <v xml:space="preserve"> </v>
      </c>
      <c r="S30" s="11" t="str">
        <f>IFERROR(VLOOKUP($A30,Pitchers!$A1:$S1000,13,FALSE)," ")</f>
        <v xml:space="preserve"> </v>
      </c>
      <c r="T30" s="11" t="str">
        <f>IFERROR(VLOOKUP($A30,Pitchers!$A1:$S1000,14,FALSE)," ")</f>
        <v xml:space="preserve"> </v>
      </c>
      <c r="U30" s="11" t="str">
        <f>IFERROR(VLOOKUP($A30,Pitchers!$A1:$S1000,15,FALSE)," ")</f>
        <v xml:space="preserve"> </v>
      </c>
      <c r="V30" s="11" t="str">
        <f>IFERROR(VLOOKUP($A30,Pitchers!$A1:$S1000,16,FALSE)," ")</f>
        <v xml:space="preserve"> </v>
      </c>
      <c r="W30" s="11" t="str">
        <f>IFERROR(VLOOKUP($A30,Pitchers!$A1:$S1000,17,FALSE)," ")</f>
        <v xml:space="preserve"> </v>
      </c>
      <c r="X30" s="11" t="str">
        <f>IFERROR(VLOOKUP($A30,Pitchers!$A1:$S1000,18,FALSE)," ")</f>
        <v xml:space="preserve"> </v>
      </c>
      <c r="Y30" s="11" t="str">
        <f>IFERROR(VLOOKUP($A30,Pitchers!$A1:$S1000,19,FALSE)," ")</f>
        <v xml:space="preserve"> </v>
      </c>
    </row>
    <row r="31" spans="1:25" ht="18.600000000000001" customHeight="1">
      <c r="A31" s="63"/>
      <c r="B31" s="11" t="str">
        <f>IFERROR(VLOOKUP($A31,Rankings!B1:C519,2,FALSE)," ")</f>
        <v xml:space="preserve"> </v>
      </c>
      <c r="C31" s="11" t="str">
        <f>IFERROR(VLOOKUP($A31,Rankings!B1:D519,3,FALSE)," ")</f>
        <v xml:space="preserve"> </v>
      </c>
      <c r="D31" s="107" t="s">
        <v>31</v>
      </c>
      <c r="E31" s="108" t="str">
        <f>IFERROR(VLOOKUP($A31,Rankings!B1:F519,5,FALSE)," ")</f>
        <v xml:space="preserve"> </v>
      </c>
      <c r="F31" s="66" t="str">
        <f>IFERROR((J31*Settings!$B$2)+(K31*Settings!$B$3)+(L31*Settings!$B$4)+(M31*Settings!$B$5)+(N31*Settings!$B$6)+(Q31*Settings!$B$9)+(R31*Settings!$B$10)+(S31*Settings!$B$11)+(T31*Settings!$B$12)+(U31*Settings!$B$13)+(X31*Settings!$B$16)," ")</f>
        <v xml:space="preserve"> </v>
      </c>
      <c r="G31" s="11" t="str">
        <f>IFERROR(VLOOKUP(A31,'Standard Deviations'!A1:D536,4,FALSE)," ")</f>
        <v xml:space="preserve"> </v>
      </c>
      <c r="H31" s="9" t="str">
        <f>IFERROR(VLOOKUP($A31,Rankings!B1:I519,8,FALSE)," ")</f>
        <v xml:space="preserve"> </v>
      </c>
      <c r="I31" s="67"/>
      <c r="J31" s="11" t="str">
        <f>IFERROR(VLOOKUP($A31,Pitchers!$A1:$S1000,4,FALSE)," ")</f>
        <v xml:space="preserve"> </v>
      </c>
      <c r="K31" s="11" t="str">
        <f>IFERROR(VLOOKUP($A31,Pitchers!$A1:$S1000,5,FALSE)," ")</f>
        <v xml:space="preserve"> </v>
      </c>
      <c r="L31" s="11" t="str">
        <f>IFERROR(VLOOKUP($A31,Pitchers!$A1:$S1000,6,FALSE)," ")</f>
        <v xml:space="preserve"> </v>
      </c>
      <c r="M31" s="11" t="str">
        <f>IFERROR(VLOOKUP($A31,Pitchers!$A1:$S1000,7,FALSE)," ")</f>
        <v xml:space="preserve"> </v>
      </c>
      <c r="N31" s="11" t="str">
        <f>IFERROR(VLOOKUP($A31,Pitchers!$A1:$S1000,8,FALSE)," ")</f>
        <v xml:space="preserve"> </v>
      </c>
      <c r="O31" s="11" t="str">
        <f>IFERROR(VLOOKUP($A31,Pitchers!$A1:$S1000,9,FALSE)," ")</f>
        <v xml:space="preserve"> </v>
      </c>
      <c r="P31" s="11" t="str">
        <f>IFERROR(VLOOKUP($A31,Pitchers!$A1:$S1000,10,FALSE)," ")</f>
        <v xml:space="preserve"> </v>
      </c>
      <c r="Q31" s="11" t="str">
        <f>IFERROR(VLOOKUP($A31,Pitchers!$A1:$S1000,11,FALSE)," ")</f>
        <v xml:space="preserve"> </v>
      </c>
      <c r="R31" s="11" t="str">
        <f>IFERROR(VLOOKUP($A31,Pitchers!$A1:$S1000,12,FALSE)," ")</f>
        <v xml:space="preserve"> </v>
      </c>
      <c r="S31" s="11" t="str">
        <f>IFERROR(VLOOKUP($A31,Pitchers!$A1:$S1000,13,FALSE)," ")</f>
        <v xml:space="preserve"> </v>
      </c>
      <c r="T31" s="11" t="str">
        <f>IFERROR(VLOOKUP($A31,Pitchers!$A1:$S1000,14,FALSE)," ")</f>
        <v xml:space="preserve"> </v>
      </c>
      <c r="U31" s="11" t="str">
        <f>IFERROR(VLOOKUP($A31,Pitchers!$A1:$S1000,15,FALSE)," ")</f>
        <v xml:space="preserve"> </v>
      </c>
      <c r="V31" s="11" t="str">
        <f>IFERROR(VLOOKUP($A31,Pitchers!$A1:$S1000,16,FALSE)," ")</f>
        <v xml:space="preserve"> </v>
      </c>
      <c r="W31" s="11" t="str">
        <f>IFERROR(VLOOKUP($A31,Pitchers!$A1:$S1000,17,FALSE)," ")</f>
        <v xml:space="preserve"> </v>
      </c>
      <c r="X31" s="11" t="str">
        <f>IFERROR(VLOOKUP($A31,Pitchers!$A1:$S1000,18,FALSE)," ")</f>
        <v xml:space="preserve"> </v>
      </c>
      <c r="Y31" s="11" t="str">
        <f>IFERROR(VLOOKUP($A31,Pitchers!$A1:$S1000,19,FALSE)," ")</f>
        <v xml:space="preserve"> </v>
      </c>
    </row>
    <row r="32" spans="1:25" ht="18.600000000000001" customHeight="1">
      <c r="A32" s="63"/>
      <c r="B32" s="11" t="str">
        <f>IFERROR(VLOOKUP($A32,Rankings!B1:C519,2,FALSE)," ")</f>
        <v xml:space="preserve"> </v>
      </c>
      <c r="C32" s="11" t="str">
        <f>IFERROR(VLOOKUP($A32,Rankings!B1:D519,3,FALSE)," ")</f>
        <v xml:space="preserve"> </v>
      </c>
      <c r="D32" s="107" t="s">
        <v>31</v>
      </c>
      <c r="E32" s="108" t="str">
        <f>IFERROR(VLOOKUP($A32,Rankings!B1:F519,5,FALSE)," ")</f>
        <v xml:space="preserve"> </v>
      </c>
      <c r="F32" s="66" t="str">
        <f>IFERROR((J32*Settings!$B$2)+(K32*Settings!$B$3)+(L32*Settings!$B$4)+(M32*Settings!$B$5)+(N32*Settings!$B$6)+(Q32*Settings!$B$9)+(R32*Settings!$B$10)+(S32*Settings!$B$11)+(T32*Settings!$B$12)+(U32*Settings!$B$13)+(X32*Settings!$B$16)," ")</f>
        <v xml:space="preserve"> </v>
      </c>
      <c r="G32" s="11" t="str">
        <f>IFERROR(VLOOKUP(A32,'Standard Deviations'!A1:D536,4,FALSE)," ")</f>
        <v xml:space="preserve"> </v>
      </c>
      <c r="H32" s="9" t="str">
        <f>IFERROR(VLOOKUP($A32,Rankings!B1:I519,8,FALSE)," ")</f>
        <v xml:space="preserve"> </v>
      </c>
      <c r="I32" s="67"/>
      <c r="J32" s="11" t="str">
        <f>IFERROR(VLOOKUP($A32,Pitchers!$A1:$S1000,4,FALSE)," ")</f>
        <v xml:space="preserve"> </v>
      </c>
      <c r="K32" s="11" t="str">
        <f>IFERROR(VLOOKUP($A32,Pitchers!$A1:$S1000,5,FALSE)," ")</f>
        <v xml:space="preserve"> </v>
      </c>
      <c r="L32" s="11" t="str">
        <f>IFERROR(VLOOKUP($A32,Pitchers!$A1:$S1000,6,FALSE)," ")</f>
        <v xml:space="preserve"> </v>
      </c>
      <c r="M32" s="11" t="str">
        <f>IFERROR(VLOOKUP($A32,Pitchers!$A1:$S1000,7,FALSE)," ")</f>
        <v xml:space="preserve"> </v>
      </c>
      <c r="N32" s="11" t="str">
        <f>IFERROR(VLOOKUP($A32,Pitchers!$A1:$S1000,8,FALSE)," ")</f>
        <v xml:space="preserve"> </v>
      </c>
      <c r="O32" s="11" t="str">
        <f>IFERROR(VLOOKUP($A32,Pitchers!$A1:$S1000,9,FALSE)," ")</f>
        <v xml:space="preserve"> </v>
      </c>
      <c r="P32" s="11" t="str">
        <f>IFERROR(VLOOKUP($A32,Pitchers!$A1:$S1000,10,FALSE)," ")</f>
        <v xml:space="preserve"> </v>
      </c>
      <c r="Q32" s="11" t="str">
        <f>IFERROR(VLOOKUP($A32,Pitchers!$A1:$S1000,11,FALSE)," ")</f>
        <v xml:space="preserve"> </v>
      </c>
      <c r="R32" s="11" t="str">
        <f>IFERROR(VLOOKUP($A32,Pitchers!$A1:$S1000,12,FALSE)," ")</f>
        <v xml:space="preserve"> </v>
      </c>
      <c r="S32" s="11" t="str">
        <f>IFERROR(VLOOKUP($A32,Pitchers!$A1:$S1000,13,FALSE)," ")</f>
        <v xml:space="preserve"> </v>
      </c>
      <c r="T32" s="11" t="str">
        <f>IFERROR(VLOOKUP($A32,Pitchers!$A1:$S1000,14,FALSE)," ")</f>
        <v xml:space="preserve"> </v>
      </c>
      <c r="U32" s="11" t="str">
        <f>IFERROR(VLOOKUP($A32,Pitchers!$A1:$S1000,15,FALSE)," ")</f>
        <v xml:space="preserve"> </v>
      </c>
      <c r="V32" s="11" t="str">
        <f>IFERROR(VLOOKUP($A32,Pitchers!$A1:$S1000,16,FALSE)," ")</f>
        <v xml:space="preserve"> </v>
      </c>
      <c r="W32" s="11" t="str">
        <f>IFERROR(VLOOKUP($A32,Pitchers!$A1:$S1000,17,FALSE)," ")</f>
        <v xml:space="preserve"> </v>
      </c>
      <c r="X32" s="11" t="str">
        <f>IFERROR(VLOOKUP($A32,Pitchers!$A1:$S1000,18,FALSE)," ")</f>
        <v xml:space="preserve"> </v>
      </c>
      <c r="Y32" s="11" t="str">
        <f>IFERROR(VLOOKUP($A32,Pitchers!$A1:$S1000,19,FALSE)," ")</f>
        <v xml:space="preserve"> </v>
      </c>
    </row>
    <row r="33" spans="1:25" ht="18.600000000000001" customHeight="1">
      <c r="A33" s="63"/>
      <c r="B33" s="11" t="str">
        <f>IFERROR(VLOOKUP($A33,Rankings!B1:C519,2,FALSE)," ")</f>
        <v xml:space="preserve"> </v>
      </c>
      <c r="C33" s="11" t="str">
        <f>IFERROR(VLOOKUP($A33,Rankings!B1:D519,3,FALSE)," ")</f>
        <v xml:space="preserve"> </v>
      </c>
      <c r="D33" s="107" t="s">
        <v>31</v>
      </c>
      <c r="E33" s="108" t="str">
        <f>IFERROR(VLOOKUP($A33,Rankings!B1:F519,5,FALSE)," ")</f>
        <v xml:space="preserve"> </v>
      </c>
      <c r="F33" s="66" t="str">
        <f>IFERROR((J33*Settings!$B$2)+(K33*Settings!$B$3)+(L33*Settings!$B$4)+(M33*Settings!$B$5)+(N33*Settings!$B$6)+(Q33*Settings!$B$9)+(R33*Settings!$B$10)+(S33*Settings!$B$11)+(T33*Settings!$B$12)+(U33*Settings!$B$13)+(X33*Settings!$B$16)," ")</f>
        <v xml:space="preserve"> </v>
      </c>
      <c r="G33" s="11" t="str">
        <f>IFERROR(VLOOKUP(A33,'Standard Deviations'!A1:D536,4,FALSE)," ")</f>
        <v xml:space="preserve"> </v>
      </c>
      <c r="H33" s="9" t="str">
        <f>IFERROR(VLOOKUP($A33,Rankings!B1:I519,8,FALSE)," ")</f>
        <v xml:space="preserve"> </v>
      </c>
      <c r="I33" s="67"/>
      <c r="J33" s="11" t="str">
        <f>IFERROR(VLOOKUP($A33,Pitchers!$A1:$S1000,4,FALSE)," ")</f>
        <v xml:space="preserve"> </v>
      </c>
      <c r="K33" s="11" t="str">
        <f>IFERROR(VLOOKUP($A33,Pitchers!$A1:$S1000,5,FALSE)," ")</f>
        <v xml:space="preserve"> </v>
      </c>
      <c r="L33" s="11" t="str">
        <f>IFERROR(VLOOKUP($A33,Pitchers!$A1:$S1000,6,FALSE)," ")</f>
        <v xml:space="preserve"> </v>
      </c>
      <c r="M33" s="11" t="str">
        <f>IFERROR(VLOOKUP($A33,Pitchers!$A1:$S1000,7,FALSE)," ")</f>
        <v xml:space="preserve"> </v>
      </c>
      <c r="N33" s="11" t="str">
        <f>IFERROR(VLOOKUP($A33,Pitchers!$A1:$S1000,8,FALSE)," ")</f>
        <v xml:space="preserve"> </v>
      </c>
      <c r="O33" s="11" t="str">
        <f>IFERROR(VLOOKUP($A33,Pitchers!$A1:$S1000,9,FALSE)," ")</f>
        <v xml:space="preserve"> </v>
      </c>
      <c r="P33" s="11" t="str">
        <f>IFERROR(VLOOKUP($A33,Pitchers!$A1:$S1000,10,FALSE)," ")</f>
        <v xml:space="preserve"> </v>
      </c>
      <c r="Q33" s="11" t="str">
        <f>IFERROR(VLOOKUP($A33,Pitchers!$A1:$S1000,11,FALSE)," ")</f>
        <v xml:space="preserve"> </v>
      </c>
      <c r="R33" s="11" t="str">
        <f>IFERROR(VLOOKUP($A33,Pitchers!$A1:$S1000,12,FALSE)," ")</f>
        <v xml:space="preserve"> </v>
      </c>
      <c r="S33" s="11" t="str">
        <f>IFERROR(VLOOKUP($A33,Pitchers!$A1:$S1000,13,FALSE)," ")</f>
        <v xml:space="preserve"> </v>
      </c>
      <c r="T33" s="11" t="str">
        <f>IFERROR(VLOOKUP($A33,Pitchers!$A1:$S1000,14,FALSE)," ")</f>
        <v xml:space="preserve"> </v>
      </c>
      <c r="U33" s="11" t="str">
        <f>IFERROR(VLOOKUP($A33,Pitchers!$A1:$S1000,15,FALSE)," ")</f>
        <v xml:space="preserve"> </v>
      </c>
      <c r="V33" s="11" t="str">
        <f>IFERROR(VLOOKUP($A33,Pitchers!$A1:$S1000,16,FALSE)," ")</f>
        <v xml:space="preserve"> </v>
      </c>
      <c r="W33" s="11" t="str">
        <f>IFERROR(VLOOKUP($A33,Pitchers!$A1:$S1000,17,FALSE)," ")</f>
        <v xml:space="preserve"> </v>
      </c>
      <c r="X33" s="11" t="str">
        <f>IFERROR(VLOOKUP($A33,Pitchers!$A1:$S1000,18,FALSE)," ")</f>
        <v xml:space="preserve"> </v>
      </c>
      <c r="Y33" s="11" t="str">
        <f>IFERROR(VLOOKUP($A33,Pitchers!$A1:$S1000,19,FALSE)," ")</f>
        <v xml:space="preserve"> </v>
      </c>
    </row>
    <row r="34" spans="1:25" ht="18.600000000000001" customHeight="1">
      <c r="A34" s="68" t="s">
        <v>243</v>
      </c>
      <c r="B34" s="11" t="str">
        <f>IFERROR(VLOOKUP($A34,Rankings!B1:C519,2,FALSE)," ")</f>
        <v xml:space="preserve"> </v>
      </c>
      <c r="C34" s="11" t="str">
        <f>IFERROR(VLOOKUP($A34,Rankings!B1:D519,3,FALSE)," ")</f>
        <v xml:space="preserve"> </v>
      </c>
      <c r="D34" s="109" t="s">
        <v>34</v>
      </c>
      <c r="E34" s="110" t="str">
        <f>IFERROR(VLOOKUP($A34,Rankings!B1:F519,5,FALSE)," ")</f>
        <v xml:space="preserve"> </v>
      </c>
      <c r="F34" s="71">
        <f>IFERROR((J34*Settings!$B$2)+(K34*Settings!$B$3)+(L34*Settings!$B$4)+(M34*Settings!$B$5)+(N34*Settings!$B$6)+(Q34*Settings!$B$9)+(R34*Settings!$B$10)+(S34*Settings!$B$11)+(T34*Settings!$B$12)+(U34*Settings!$B$13)+(X34*Settings!$B$16)," ")</f>
        <v>127.26238256294626</v>
      </c>
      <c r="G34" s="11" t="str">
        <f>IFERROR(VLOOKUP(A34,'Standard Deviations'!A1:D536,4,FALSE)," ")</f>
        <v xml:space="preserve"> </v>
      </c>
      <c r="H34" s="72" t="str">
        <f>IFERROR(VLOOKUP($A34,Rankings!B1:I519,8,FALSE)," ")</f>
        <v xml:space="preserve"> </v>
      </c>
      <c r="I34" s="67"/>
      <c r="J34" s="67">
        <f>IFERROR(VLOOKUP($A34,Pitchers!$A1:$S1000,4,FALSE)," ")</f>
        <v>29.566666666666663</v>
      </c>
      <c r="K34" s="73">
        <f>IFERROR(VLOOKUP($A34,Pitchers!$A1:$S1000,5,FALSE)," ")</f>
        <v>2.6482525366403613</v>
      </c>
      <c r="L34" s="73">
        <f>IFERROR(VLOOKUP($A34,Pitchers!$A1:$S1000,6,FALSE)," ")</f>
        <v>0.93686583990980843</v>
      </c>
      <c r="M34" s="67">
        <f>IFERROR(VLOOKUP($A34,Pitchers!$A1:$S1000,7,FALSE)," ")</f>
        <v>42.43333333333333</v>
      </c>
      <c r="N34" s="67">
        <f>IFERROR(VLOOKUP($A34,Pitchers!$A1:$S1000,8,FALSE)," ")</f>
        <v>1.9000000000000001</v>
      </c>
      <c r="O34" s="67">
        <f>IFERROR(VLOOKUP($A34,Pitchers!$A1:$S1000,9,FALSE)," ")</f>
        <v>13</v>
      </c>
      <c r="P34" s="67">
        <f>IFERROR(VLOOKUP($A34,Pitchers!$A1:$S1000,10,FALSE)," ")</f>
        <v>8.7000000000000011</v>
      </c>
      <c r="Q34" s="67">
        <f>IFERROR(VLOOKUP($A34,Pitchers!$A1:$S1000,11,FALSE)," ")</f>
        <v>21.3</v>
      </c>
      <c r="R34" s="67">
        <f>IFERROR(VLOOKUP($A34,Pitchers!$A1:$S1000,12,FALSE)," ")</f>
        <v>6.3999999999999995</v>
      </c>
      <c r="S34" s="67">
        <f>IFERROR(VLOOKUP($A34,Pitchers!$A1:$S1000,13,FALSE)," ")</f>
        <v>4</v>
      </c>
      <c r="T34" s="67">
        <f>IFERROR(VLOOKUP($A34,Pitchers!$A1:$S1000,14,FALSE)," ")</f>
        <v>28.533333333333331</v>
      </c>
      <c r="U34" s="67">
        <f>IFERROR(VLOOKUP($A34,Pitchers!$A1:$S1000,15,FALSE)," ")</f>
        <v>0</v>
      </c>
      <c r="V34" s="67">
        <f>IFERROR(VLOOKUP($A34,Pitchers!$A1:$S1000,16,FALSE)," ")</f>
        <v>1.5</v>
      </c>
      <c r="W34" s="67">
        <f>IFERROR(VLOOKUP($A34,Pitchers!$A1:$S1000,17,FALSE)," ")</f>
        <v>0</v>
      </c>
      <c r="X34" s="67">
        <f>IFERROR(VLOOKUP($A34,Pitchers!$A1:$S1000,18,FALSE)," ")</f>
        <v>0</v>
      </c>
      <c r="Y34" s="67">
        <f>IFERROR(VLOOKUP($A34,Pitchers!$A1:$S1000,19,FALSE)," ")</f>
        <v>3</v>
      </c>
    </row>
    <row r="35" spans="1:25" ht="18.600000000000001" customHeight="1">
      <c r="A35" s="63"/>
      <c r="B35" s="11" t="str">
        <f>IFERROR(VLOOKUP($A35,Rankings!B1:C519,2,FALSE)," ")</f>
        <v xml:space="preserve"> </v>
      </c>
      <c r="C35" s="11" t="str">
        <f>IFERROR(VLOOKUP($A35,Rankings!B1:D519,3,FALSE)," ")</f>
        <v xml:space="preserve"> </v>
      </c>
      <c r="D35" s="109" t="s">
        <v>34</v>
      </c>
      <c r="E35" s="111" t="str">
        <f>IFERROR(VLOOKUP($A35,Rankings!B1:F519,5,FALSE)," ")</f>
        <v xml:space="preserve"> </v>
      </c>
      <c r="F35" s="66" t="str">
        <f>IFERROR((J35*Settings!$B$2)+(K35*Settings!$B$3)+(L35*Settings!$B$4)+(M35*Settings!$B$5)+(N35*Settings!$B$6)+(Q35*Settings!$B$9)+(R35*Settings!$B$10)+(S35*Settings!$B$11)+(T35*Settings!$B$12)+(U35*Settings!$B$13)+(X35*Settings!$B$16)," ")</f>
        <v xml:space="preserve"> </v>
      </c>
      <c r="G35" s="11" t="str">
        <f>IFERROR(VLOOKUP(A35,'Standard Deviations'!A1:D536,4,FALSE)," ")</f>
        <v xml:space="preserve"> </v>
      </c>
      <c r="H35" s="9" t="str">
        <f>IFERROR(VLOOKUP($A35,Rankings!B1:I519,8,FALSE)," ")</f>
        <v xml:space="preserve"> </v>
      </c>
      <c r="I35" s="67"/>
      <c r="J35" s="11" t="str">
        <f>IFERROR(VLOOKUP($A35,Pitchers!$A1:$S1000,4,FALSE)," ")</f>
        <v xml:space="preserve"> </v>
      </c>
      <c r="K35" s="11" t="str">
        <f>IFERROR(VLOOKUP($A35,Pitchers!$A1:$S1000,5,FALSE)," ")</f>
        <v xml:space="preserve"> </v>
      </c>
      <c r="L35" s="11" t="str">
        <f>IFERROR(VLOOKUP($A35,Pitchers!$A1:$S1000,6,FALSE)," ")</f>
        <v xml:space="preserve"> </v>
      </c>
      <c r="M35" s="11" t="str">
        <f>IFERROR(VLOOKUP($A35,Pitchers!$A1:$S1000,7,FALSE)," ")</f>
        <v xml:space="preserve"> </v>
      </c>
      <c r="N35" s="11" t="str">
        <f>IFERROR(VLOOKUP($A35,Pitchers!$A1:$S1000,8,FALSE)," ")</f>
        <v xml:space="preserve"> </v>
      </c>
      <c r="O35" s="11" t="str">
        <f>IFERROR(VLOOKUP($A35,Pitchers!$A1:$S1000,9,FALSE)," ")</f>
        <v xml:space="preserve"> </v>
      </c>
      <c r="P35" s="11" t="str">
        <f>IFERROR(VLOOKUP($A35,Pitchers!$A1:$S1000,10,FALSE)," ")</f>
        <v xml:space="preserve"> </v>
      </c>
      <c r="Q35" s="11" t="str">
        <f>IFERROR(VLOOKUP($A35,Pitchers!$A1:$S1000,11,FALSE)," ")</f>
        <v xml:space="preserve"> </v>
      </c>
      <c r="R35" s="11" t="str">
        <f>IFERROR(VLOOKUP($A35,Pitchers!$A1:$S1000,12,FALSE)," ")</f>
        <v xml:space="preserve"> </v>
      </c>
      <c r="S35" s="11" t="str">
        <f>IFERROR(VLOOKUP($A35,Pitchers!$A1:$S1000,13,FALSE)," ")</f>
        <v xml:space="preserve"> </v>
      </c>
      <c r="T35" s="11" t="str">
        <f>IFERROR(VLOOKUP($A35,Pitchers!$A1:$S1000,14,FALSE)," ")</f>
        <v xml:space="preserve"> </v>
      </c>
      <c r="U35" s="11" t="str">
        <f>IFERROR(VLOOKUP($A35,Pitchers!$A1:$S1000,15,FALSE)," ")</f>
        <v xml:space="preserve"> </v>
      </c>
      <c r="V35" s="11" t="str">
        <f>IFERROR(VLOOKUP($A35,Pitchers!$A1:$S1000,16,FALSE)," ")</f>
        <v xml:space="preserve"> </v>
      </c>
      <c r="W35" s="11" t="str">
        <f>IFERROR(VLOOKUP($A35,Pitchers!$A1:$S1000,17,FALSE)," ")</f>
        <v xml:space="preserve"> </v>
      </c>
      <c r="X35" s="11" t="str">
        <f>IFERROR(VLOOKUP($A35,Pitchers!$A1:$S1000,18,FALSE)," ")</f>
        <v xml:space="preserve"> </v>
      </c>
      <c r="Y35" s="11" t="str">
        <f>IFERROR(VLOOKUP($A35,Pitchers!$A1:$S1000,19,FALSE)," ")</f>
        <v xml:space="preserve"> </v>
      </c>
    </row>
    <row r="36" spans="1:25" ht="18.600000000000001" customHeight="1">
      <c r="A36" s="63"/>
      <c r="B36" s="11" t="str">
        <f>IFERROR(VLOOKUP($A36,Rankings!B1:C519,2,FALSE)," ")</f>
        <v xml:space="preserve"> </v>
      </c>
      <c r="C36" s="11" t="str">
        <f>IFERROR(VLOOKUP($A36,Rankings!B1:D519,3,FALSE)," ")</f>
        <v xml:space="preserve"> </v>
      </c>
      <c r="D36" s="109" t="s">
        <v>34</v>
      </c>
      <c r="E36" s="111" t="str">
        <f>IFERROR(VLOOKUP($A36,Rankings!B1:F519,5,FALSE)," ")</f>
        <v xml:space="preserve"> </v>
      </c>
      <c r="F36" s="66" t="str">
        <f>IFERROR((J36*Settings!$B$2)+(K36*Settings!$B$3)+(L36*Settings!$B$4)+(M36*Settings!$B$5)+(N36*Settings!$B$6)+(Q36*Settings!$B$9)+(R36*Settings!$B$10)+(S36*Settings!$B$11)+(T36*Settings!$B$12)+(U36*Settings!$B$13)+(X36*Settings!$B$16)," ")</f>
        <v xml:space="preserve"> </v>
      </c>
      <c r="G36" s="11" t="str">
        <f>IFERROR(VLOOKUP(A36,'Standard Deviations'!A1:D536,4,FALSE)," ")</f>
        <v xml:space="preserve"> </v>
      </c>
      <c r="H36" s="9" t="str">
        <f>IFERROR(VLOOKUP($A36,Rankings!B1:I519,8,FALSE)," ")</f>
        <v xml:space="preserve"> </v>
      </c>
      <c r="I36" s="67"/>
      <c r="J36" s="11" t="str">
        <f>IFERROR(VLOOKUP($A36,Pitchers!$A1:$S1000,4,FALSE)," ")</f>
        <v xml:space="preserve"> </v>
      </c>
      <c r="K36" s="11" t="str">
        <f>IFERROR(VLOOKUP($A36,Pitchers!$A1:$S1000,5,FALSE)," ")</f>
        <v xml:space="preserve"> </v>
      </c>
      <c r="L36" s="11" t="str">
        <f>IFERROR(VLOOKUP($A36,Pitchers!$A1:$S1000,6,FALSE)," ")</f>
        <v xml:space="preserve"> </v>
      </c>
      <c r="M36" s="11" t="str">
        <f>IFERROR(VLOOKUP($A36,Pitchers!$A1:$S1000,7,FALSE)," ")</f>
        <v xml:space="preserve"> </v>
      </c>
      <c r="N36" s="11" t="str">
        <f>IFERROR(VLOOKUP($A36,Pitchers!$A1:$S1000,8,FALSE)," ")</f>
        <v xml:space="preserve"> </v>
      </c>
      <c r="O36" s="11" t="str">
        <f>IFERROR(VLOOKUP($A36,Pitchers!$A1:$S1000,9,FALSE)," ")</f>
        <v xml:space="preserve"> </v>
      </c>
      <c r="P36" s="11" t="str">
        <f>IFERROR(VLOOKUP($A36,Pitchers!$A1:$S1000,10,FALSE)," ")</f>
        <v xml:space="preserve"> </v>
      </c>
      <c r="Q36" s="11" t="str">
        <f>IFERROR(VLOOKUP($A36,Pitchers!$A1:$S1000,11,FALSE)," ")</f>
        <v xml:space="preserve"> </v>
      </c>
      <c r="R36" s="11" t="str">
        <f>IFERROR(VLOOKUP($A36,Pitchers!$A1:$S1000,12,FALSE)," ")</f>
        <v xml:space="preserve"> </v>
      </c>
      <c r="S36" s="11" t="str">
        <f>IFERROR(VLOOKUP($A36,Pitchers!$A1:$S1000,13,FALSE)," ")</f>
        <v xml:space="preserve"> </v>
      </c>
      <c r="T36" s="11" t="str">
        <f>IFERROR(VLOOKUP($A36,Pitchers!$A1:$S1000,14,FALSE)," ")</f>
        <v xml:space="preserve"> </v>
      </c>
      <c r="U36" s="11" t="str">
        <f>IFERROR(VLOOKUP($A36,Pitchers!$A1:$S1000,15,FALSE)," ")</f>
        <v xml:space="preserve"> </v>
      </c>
      <c r="V36" s="11" t="str">
        <f>IFERROR(VLOOKUP($A36,Pitchers!$A1:$S1000,16,FALSE)," ")</f>
        <v xml:space="preserve"> </v>
      </c>
      <c r="W36" s="11" t="str">
        <f>IFERROR(VLOOKUP($A36,Pitchers!$A1:$S1000,17,FALSE)," ")</f>
        <v xml:space="preserve"> </v>
      </c>
      <c r="X36" s="11" t="str">
        <f>IFERROR(VLOOKUP($A36,Pitchers!$A1:$S1000,18,FALSE)," ")</f>
        <v xml:space="preserve"> </v>
      </c>
      <c r="Y36" s="11" t="str">
        <f>IFERROR(VLOOKUP($A36,Pitchers!$A1:$S1000,19,FALSE)," ")</f>
        <v xml:space="preserve"> </v>
      </c>
    </row>
    <row r="37" spans="1:25" ht="18.600000000000001" customHeight="1">
      <c r="A37" s="63"/>
      <c r="B37" s="11" t="str">
        <f>IFERROR(VLOOKUP($A37,Rankings!B1:C519,2,FALSE)," ")</f>
        <v xml:space="preserve"> </v>
      </c>
      <c r="C37" s="11" t="str">
        <f>IFERROR(VLOOKUP($A37,Rankings!B1:D519,3,FALSE)," ")</f>
        <v xml:space="preserve"> </v>
      </c>
      <c r="D37" s="109" t="s">
        <v>34</v>
      </c>
      <c r="E37" s="111" t="str">
        <f>IFERROR(VLOOKUP($A37,Rankings!B1:F519,5,FALSE)," ")</f>
        <v xml:space="preserve"> </v>
      </c>
      <c r="F37" s="66" t="str">
        <f>IFERROR((J37*Settings!$B$2)+(K37*Settings!$B$3)+(L37*Settings!$B$4)+(M37*Settings!$B$5)+(N37*Settings!$B$6)+(Q37*Settings!$B$9)+(R37*Settings!$B$10)+(S37*Settings!$B$11)+(T37*Settings!$B$12)+(U37*Settings!$B$13)+(X37*Settings!$B$16)," ")</f>
        <v xml:space="preserve"> </v>
      </c>
      <c r="G37" s="11" t="str">
        <f>IFERROR(VLOOKUP(A37,'Standard Deviations'!A1:D536,4,FALSE)," ")</f>
        <v xml:space="preserve"> </v>
      </c>
      <c r="H37" s="9" t="str">
        <f>IFERROR(VLOOKUP($A37,Rankings!B1:I519,8,FALSE)," ")</f>
        <v xml:space="preserve"> </v>
      </c>
      <c r="I37" s="67"/>
      <c r="J37" s="11" t="str">
        <f>IFERROR(VLOOKUP($A37,Pitchers!$A1:$S1000,4,FALSE)," ")</f>
        <v xml:space="preserve"> </v>
      </c>
      <c r="K37" s="11" t="str">
        <f>IFERROR(VLOOKUP($A37,Pitchers!$A1:$S1000,5,FALSE)," ")</f>
        <v xml:space="preserve"> </v>
      </c>
      <c r="L37" s="11" t="str">
        <f>IFERROR(VLOOKUP($A37,Pitchers!$A1:$S1000,6,FALSE)," ")</f>
        <v xml:space="preserve"> </v>
      </c>
      <c r="M37" s="11" t="str">
        <f>IFERROR(VLOOKUP($A37,Pitchers!$A1:$S1000,7,FALSE)," ")</f>
        <v xml:space="preserve"> </v>
      </c>
      <c r="N37" s="11" t="str">
        <f>IFERROR(VLOOKUP($A37,Pitchers!$A1:$S1000,8,FALSE)," ")</f>
        <v xml:space="preserve"> </v>
      </c>
      <c r="O37" s="11" t="str">
        <f>IFERROR(VLOOKUP($A37,Pitchers!$A1:$S1000,9,FALSE)," ")</f>
        <v xml:space="preserve"> </v>
      </c>
      <c r="P37" s="11" t="str">
        <f>IFERROR(VLOOKUP($A37,Pitchers!$A1:$S1000,10,FALSE)," ")</f>
        <v xml:space="preserve"> </v>
      </c>
      <c r="Q37" s="11" t="str">
        <f>IFERROR(VLOOKUP($A37,Pitchers!$A1:$S1000,11,FALSE)," ")</f>
        <v xml:space="preserve"> </v>
      </c>
      <c r="R37" s="11" t="str">
        <f>IFERROR(VLOOKUP($A37,Pitchers!$A1:$S1000,12,FALSE)," ")</f>
        <v xml:space="preserve"> </v>
      </c>
      <c r="S37" s="11" t="str">
        <f>IFERROR(VLOOKUP($A37,Pitchers!$A1:$S1000,13,FALSE)," ")</f>
        <v xml:space="preserve"> </v>
      </c>
      <c r="T37" s="11" t="str">
        <f>IFERROR(VLOOKUP($A37,Pitchers!$A1:$S1000,14,FALSE)," ")</f>
        <v xml:space="preserve"> </v>
      </c>
      <c r="U37" s="11" t="str">
        <f>IFERROR(VLOOKUP($A37,Pitchers!$A1:$S1000,15,FALSE)," ")</f>
        <v xml:space="preserve"> </v>
      </c>
      <c r="V37" s="11" t="str">
        <f>IFERROR(VLOOKUP($A37,Pitchers!$A1:$S1000,16,FALSE)," ")</f>
        <v xml:space="preserve"> </v>
      </c>
      <c r="W37" s="11" t="str">
        <f>IFERROR(VLOOKUP($A37,Pitchers!$A1:$S1000,17,FALSE)," ")</f>
        <v xml:space="preserve"> </v>
      </c>
      <c r="X37" s="11" t="str">
        <f>IFERROR(VLOOKUP($A37,Pitchers!$A1:$S1000,18,FALSE)," ")</f>
        <v xml:space="preserve"> </v>
      </c>
      <c r="Y37" s="11" t="str">
        <f>IFERROR(VLOOKUP($A37,Pitchers!$A1:$S1000,19,FALSE)," ")</f>
        <v xml:space="preserve"> </v>
      </c>
    </row>
    <row r="38" spans="1:25" ht="18.600000000000001" customHeight="1">
      <c r="A38" s="63"/>
      <c r="B38" s="11" t="str">
        <f>IFERROR(VLOOKUP($A38,Rankings!B1:C519,2,FALSE)," ")</f>
        <v xml:space="preserve"> </v>
      </c>
      <c r="C38" s="11" t="str">
        <f>IFERROR(VLOOKUP($A38,Rankings!B1:D519,3,FALSE)," ")</f>
        <v xml:space="preserve"> </v>
      </c>
      <c r="D38" s="109" t="s">
        <v>34</v>
      </c>
      <c r="E38" s="111" t="str">
        <f>IFERROR(VLOOKUP($A38,Rankings!B1:F519,5,FALSE)," ")</f>
        <v xml:space="preserve"> </v>
      </c>
      <c r="F38" s="66" t="str">
        <f>IFERROR((J38*Settings!$B$2)+(K38*Settings!$B$3)+(L38*Settings!$B$4)+(M38*Settings!$B$5)+(N38*Settings!$B$6)+(Q38*Settings!$B$9)+(R38*Settings!$B$10)+(S38*Settings!$B$11)+(T38*Settings!$B$12)+(U38*Settings!$B$13)+(X38*Settings!$B$16)," ")</f>
        <v xml:space="preserve"> </v>
      </c>
      <c r="G38" s="11" t="str">
        <f>IFERROR(VLOOKUP(A38,'Standard Deviations'!A1:D536,4,FALSE)," ")</f>
        <v xml:space="preserve"> </v>
      </c>
      <c r="H38" s="9" t="str">
        <f>IFERROR(VLOOKUP($A38,Rankings!B1:I519,8,FALSE)," ")</f>
        <v xml:space="preserve"> </v>
      </c>
      <c r="I38" s="67"/>
      <c r="J38" s="11" t="str">
        <f>IFERROR(VLOOKUP($A38,Pitchers!$A1:$S1000,4,FALSE)," ")</f>
        <v xml:space="preserve"> </v>
      </c>
      <c r="K38" s="11" t="str">
        <f>IFERROR(VLOOKUP($A38,Pitchers!$A1:$S1000,5,FALSE)," ")</f>
        <v xml:space="preserve"> </v>
      </c>
      <c r="L38" s="11" t="str">
        <f>IFERROR(VLOOKUP($A38,Pitchers!$A1:$S1000,6,FALSE)," ")</f>
        <v xml:space="preserve"> </v>
      </c>
      <c r="M38" s="11" t="str">
        <f>IFERROR(VLOOKUP($A38,Pitchers!$A1:$S1000,7,FALSE)," ")</f>
        <v xml:space="preserve"> </v>
      </c>
      <c r="N38" s="11" t="str">
        <f>IFERROR(VLOOKUP($A38,Pitchers!$A1:$S1000,8,FALSE)," ")</f>
        <v xml:space="preserve"> </v>
      </c>
      <c r="O38" s="11" t="str">
        <f>IFERROR(VLOOKUP($A38,Pitchers!$A1:$S1000,9,FALSE)," ")</f>
        <v xml:space="preserve"> </v>
      </c>
      <c r="P38" s="11" t="str">
        <f>IFERROR(VLOOKUP($A38,Pitchers!$A1:$S1000,10,FALSE)," ")</f>
        <v xml:space="preserve"> </v>
      </c>
      <c r="Q38" s="11" t="str">
        <f>IFERROR(VLOOKUP($A38,Pitchers!$A1:$S1000,11,FALSE)," ")</f>
        <v xml:space="preserve"> </v>
      </c>
      <c r="R38" s="11" t="str">
        <f>IFERROR(VLOOKUP($A38,Pitchers!$A1:$S1000,12,FALSE)," ")</f>
        <v xml:space="preserve"> </v>
      </c>
      <c r="S38" s="11" t="str">
        <f>IFERROR(VLOOKUP($A38,Pitchers!$A1:$S1000,13,FALSE)," ")</f>
        <v xml:space="preserve"> </v>
      </c>
      <c r="T38" s="11" t="str">
        <f>IFERROR(VLOOKUP($A38,Pitchers!$A1:$S1000,14,FALSE)," ")</f>
        <v xml:space="preserve"> </v>
      </c>
      <c r="U38" s="11" t="str">
        <f>IFERROR(VLOOKUP($A38,Pitchers!$A1:$S1000,15,FALSE)," ")</f>
        <v xml:space="preserve"> </v>
      </c>
      <c r="V38" s="11" t="str">
        <f>IFERROR(VLOOKUP($A38,Pitchers!$A1:$S1000,16,FALSE)," ")</f>
        <v xml:space="preserve"> </v>
      </c>
      <c r="W38" s="11" t="str">
        <f>IFERROR(VLOOKUP($A38,Pitchers!$A1:$S1000,17,FALSE)," ")</f>
        <v xml:space="preserve"> </v>
      </c>
      <c r="X38" s="11" t="str">
        <f>IFERROR(VLOOKUP($A38,Pitchers!$A1:$S1000,18,FALSE)," ")</f>
        <v xml:space="preserve"> </v>
      </c>
      <c r="Y38" s="11" t="str">
        <f>IFERROR(VLOOKUP($A38,Pitchers!$A1:$S1000,19,FALSE)," ")</f>
        <v xml:space="preserve"> </v>
      </c>
    </row>
    <row r="39" spans="1:25" ht="18.600000000000001" customHeight="1">
      <c r="A39" s="63"/>
      <c r="B39" s="11" t="str">
        <f>IFERROR(VLOOKUP($A39,Rankings!B1:C519,2,FALSE)," ")</f>
        <v xml:space="preserve"> </v>
      </c>
      <c r="C39" s="11" t="str">
        <f>IFERROR(VLOOKUP($A39,Rankings!B1:D519,3,FALSE)," ")</f>
        <v xml:space="preserve"> </v>
      </c>
      <c r="D39" s="109" t="s">
        <v>34</v>
      </c>
      <c r="E39" s="111" t="str">
        <f>IFERROR(VLOOKUP($A39,Rankings!B1:F519,5,FALSE)," ")</f>
        <v xml:space="preserve"> </v>
      </c>
      <c r="F39" s="66" t="str">
        <f>IFERROR((J39*Settings!$B$2)+(K39*Settings!$B$3)+(L39*Settings!$B$4)+(M39*Settings!$B$5)+(N39*Settings!$B$6)+(Q39*Settings!$B$9)+(R39*Settings!$B$10)+(S39*Settings!$B$11)+(T39*Settings!$B$12)+(U39*Settings!$B$13)+(X39*Settings!$B$16)," ")</f>
        <v xml:space="preserve"> </v>
      </c>
      <c r="G39" s="11" t="str">
        <f>IFERROR(VLOOKUP(A39,'Standard Deviations'!A1:D536,4,FALSE)," ")</f>
        <v xml:space="preserve"> </v>
      </c>
      <c r="H39" s="9" t="str">
        <f>IFERROR(VLOOKUP($A39,Rankings!B1:I519,8,FALSE)," ")</f>
        <v xml:space="preserve"> </v>
      </c>
      <c r="I39" s="67"/>
      <c r="J39" s="11" t="str">
        <f>IFERROR(VLOOKUP($A39,Pitchers!$A1:$S1000,4,FALSE)," ")</f>
        <v xml:space="preserve"> </v>
      </c>
      <c r="K39" s="11" t="str">
        <f>IFERROR(VLOOKUP($A39,Pitchers!$A1:$S1000,5,FALSE)," ")</f>
        <v xml:space="preserve"> </v>
      </c>
      <c r="L39" s="11" t="str">
        <f>IFERROR(VLOOKUP($A39,Pitchers!$A1:$S1000,6,FALSE)," ")</f>
        <v xml:space="preserve"> </v>
      </c>
      <c r="M39" s="11" t="str">
        <f>IFERROR(VLOOKUP($A39,Pitchers!$A1:$S1000,7,FALSE)," ")</f>
        <v xml:space="preserve"> </v>
      </c>
      <c r="N39" s="11" t="str">
        <f>IFERROR(VLOOKUP($A39,Pitchers!$A1:$S1000,8,FALSE)," ")</f>
        <v xml:space="preserve"> </v>
      </c>
      <c r="O39" s="11" t="str">
        <f>IFERROR(VLOOKUP($A39,Pitchers!$A1:$S1000,9,FALSE)," ")</f>
        <v xml:space="preserve"> </v>
      </c>
      <c r="P39" s="11" t="str">
        <f>IFERROR(VLOOKUP($A39,Pitchers!$A1:$S1000,10,FALSE)," ")</f>
        <v xml:space="preserve"> </v>
      </c>
      <c r="Q39" s="11" t="str">
        <f>IFERROR(VLOOKUP($A39,Pitchers!$A1:$S1000,11,FALSE)," ")</f>
        <v xml:space="preserve"> </v>
      </c>
      <c r="R39" s="11" t="str">
        <f>IFERROR(VLOOKUP($A39,Pitchers!$A1:$S1000,12,FALSE)," ")</f>
        <v xml:space="preserve"> </v>
      </c>
      <c r="S39" s="11" t="str">
        <f>IFERROR(VLOOKUP($A39,Pitchers!$A1:$S1000,13,FALSE)," ")</f>
        <v xml:space="preserve"> </v>
      </c>
      <c r="T39" s="11" t="str">
        <f>IFERROR(VLOOKUP($A39,Pitchers!$A1:$S1000,14,FALSE)," ")</f>
        <v xml:space="preserve"> </v>
      </c>
      <c r="U39" s="11" t="str">
        <f>IFERROR(VLOOKUP($A39,Pitchers!$A1:$S1000,15,FALSE)," ")</f>
        <v xml:space="preserve"> </v>
      </c>
      <c r="V39" s="11" t="str">
        <f>IFERROR(VLOOKUP($A39,Pitchers!$A1:$S1000,16,FALSE)," ")</f>
        <v xml:space="preserve"> </v>
      </c>
      <c r="W39" s="11" t="str">
        <f>IFERROR(VLOOKUP($A39,Pitchers!$A1:$S1000,17,FALSE)," ")</f>
        <v xml:space="preserve"> </v>
      </c>
      <c r="X39" s="11" t="str">
        <f>IFERROR(VLOOKUP($A39,Pitchers!$A1:$S1000,18,FALSE)," ")</f>
        <v xml:space="preserve"> </v>
      </c>
      <c r="Y39" s="11" t="str">
        <f>IFERROR(VLOOKUP($A39,Pitchers!$A1:$S1000,19,FALSE)," ")</f>
        <v xml:space="preserve"> </v>
      </c>
    </row>
    <row r="40" spans="1:25" ht="18.600000000000001" customHeight="1">
      <c r="A40" s="63"/>
      <c r="B40" s="11" t="str">
        <f>IFERROR(VLOOKUP($A40,Rankings!B1:C519,2,FALSE)," ")</f>
        <v xml:space="preserve"> </v>
      </c>
      <c r="C40" s="11" t="str">
        <f>IFERROR(VLOOKUP($A40,Rankings!B1:D519,3,FALSE)," ")</f>
        <v xml:space="preserve"> </v>
      </c>
      <c r="D40" s="109" t="s">
        <v>34</v>
      </c>
      <c r="E40" s="111" t="str">
        <f>IFERROR(VLOOKUP($A40,Rankings!B1:F519,5,FALSE)," ")</f>
        <v xml:space="preserve"> </v>
      </c>
      <c r="F40" s="66" t="str">
        <f>IFERROR((J40*Settings!$B$2)+(K40*Settings!$B$3)+(L40*Settings!$B$4)+(M40*Settings!$B$5)+(N40*Settings!$B$6)+(Q40*Settings!$B$9)+(R40*Settings!$B$10)+(S40*Settings!$B$11)+(T40*Settings!$B$12)+(U40*Settings!$B$13)+(X40*Settings!$B$16)," ")</f>
        <v xml:space="preserve"> </v>
      </c>
      <c r="G40" s="11" t="str">
        <f>IFERROR(VLOOKUP(A40,'Standard Deviations'!A1:D536,4,FALSE)," ")</f>
        <v xml:space="preserve"> </v>
      </c>
      <c r="H40" s="9" t="str">
        <f>IFERROR(VLOOKUP($A40,Rankings!B1:I519,8,FALSE)," ")</f>
        <v xml:space="preserve"> </v>
      </c>
      <c r="I40" s="67"/>
      <c r="J40" s="11" t="str">
        <f>IFERROR(VLOOKUP($A40,Pitchers!$A1:$S1000,4,FALSE)," ")</f>
        <v xml:space="preserve"> </v>
      </c>
      <c r="K40" s="11" t="str">
        <f>IFERROR(VLOOKUP($A40,Pitchers!$A1:$S1000,5,FALSE)," ")</f>
        <v xml:space="preserve"> </v>
      </c>
      <c r="L40" s="11" t="str">
        <f>IFERROR(VLOOKUP($A40,Pitchers!$A1:$S1000,6,FALSE)," ")</f>
        <v xml:space="preserve"> </v>
      </c>
      <c r="M40" s="11" t="str">
        <f>IFERROR(VLOOKUP($A40,Pitchers!$A1:$S1000,7,FALSE)," ")</f>
        <v xml:space="preserve"> </v>
      </c>
      <c r="N40" s="11" t="str">
        <f>IFERROR(VLOOKUP($A40,Pitchers!$A1:$S1000,8,FALSE)," ")</f>
        <v xml:space="preserve"> </v>
      </c>
      <c r="O40" s="11" t="str">
        <f>IFERROR(VLOOKUP($A40,Pitchers!$A1:$S1000,9,FALSE)," ")</f>
        <v xml:space="preserve"> </v>
      </c>
      <c r="P40" s="11" t="str">
        <f>IFERROR(VLOOKUP($A40,Pitchers!$A1:$S1000,10,FALSE)," ")</f>
        <v xml:space="preserve"> </v>
      </c>
      <c r="Q40" s="11" t="str">
        <f>IFERROR(VLOOKUP($A40,Pitchers!$A1:$S1000,11,FALSE)," ")</f>
        <v xml:space="preserve"> </v>
      </c>
      <c r="R40" s="11" t="str">
        <f>IFERROR(VLOOKUP($A40,Pitchers!$A1:$S1000,12,FALSE)," ")</f>
        <v xml:space="preserve"> </v>
      </c>
      <c r="S40" s="11" t="str">
        <f>IFERROR(VLOOKUP($A40,Pitchers!$A1:$S1000,13,FALSE)," ")</f>
        <v xml:space="preserve"> </v>
      </c>
      <c r="T40" s="11" t="str">
        <f>IFERROR(VLOOKUP($A40,Pitchers!$A1:$S1000,14,FALSE)," ")</f>
        <v xml:space="preserve"> </v>
      </c>
      <c r="U40" s="11" t="str">
        <f>IFERROR(VLOOKUP($A40,Pitchers!$A1:$S1000,15,FALSE)," ")</f>
        <v xml:space="preserve"> </v>
      </c>
      <c r="V40" s="11" t="str">
        <f>IFERROR(VLOOKUP($A40,Pitchers!$A1:$S1000,16,FALSE)," ")</f>
        <v xml:space="preserve"> </v>
      </c>
      <c r="W40" s="11" t="str">
        <f>IFERROR(VLOOKUP($A40,Pitchers!$A1:$S1000,17,FALSE)," ")</f>
        <v xml:space="preserve"> </v>
      </c>
      <c r="X40" s="11" t="str">
        <f>IFERROR(VLOOKUP($A40,Pitchers!$A1:$S1000,18,FALSE)," ")</f>
        <v xml:space="preserve"> </v>
      </c>
      <c r="Y40" s="11" t="str">
        <f>IFERROR(VLOOKUP($A40,Pitchers!$A1:$S1000,19,FALSE)," ")</f>
        <v xml:space="preserve"> </v>
      </c>
    </row>
    <row r="41" spans="1:25" ht="18.600000000000001" customHeight="1">
      <c r="A41" s="87"/>
      <c r="B41" s="88" t="str">
        <f>IFERROR(VLOOKUP($A41,Rankings!B1:C519,2,FALSE)," ")</f>
        <v xml:space="preserve"> </v>
      </c>
      <c r="C41" s="88" t="str">
        <f>IFERROR(VLOOKUP($A41,Rankings!B1:D519,3,FALSE)," ")</f>
        <v xml:space="preserve"> </v>
      </c>
      <c r="D41" s="112" t="s">
        <v>34</v>
      </c>
      <c r="E41" s="113" t="str">
        <f>IFERROR(VLOOKUP($A41,Rankings!B1:F519,5,FALSE)," ")</f>
        <v xml:space="preserve"> </v>
      </c>
      <c r="F41" s="91" t="str">
        <f>IFERROR((J41*Settings!$B$2)+(K41*Settings!$B$3)+(L41*Settings!$B$4)+(M41*Settings!$B$5)+(N41*Settings!$B$6)+(Q41*Settings!$B$9)+(R41*Settings!$B$10)+(S41*Settings!$B$11)+(T41*Settings!$B$12)+(U41*Settings!$B$13)+(X41*Settings!$B$16)," ")</f>
        <v xml:space="preserve"> </v>
      </c>
      <c r="G41" s="88" t="str">
        <f>IFERROR(VLOOKUP(A41,'Standard Deviations'!A1:D536,4,FALSE)," ")</f>
        <v xml:space="preserve"> </v>
      </c>
      <c r="H41" s="92" t="str">
        <f>IFERROR(VLOOKUP($A41,Rankings!B1:I519,8,FALSE)," ")</f>
        <v xml:space="preserve"> </v>
      </c>
      <c r="I41" s="93"/>
      <c r="J41" s="88" t="str">
        <f>IFERROR(VLOOKUP($A41,Pitchers!$A1:$S1000,4,FALSE)," ")</f>
        <v xml:space="preserve"> </v>
      </c>
      <c r="K41" s="88" t="str">
        <f>IFERROR(VLOOKUP($A41,Pitchers!$A1:$S1000,5,FALSE)," ")</f>
        <v xml:space="preserve"> </v>
      </c>
      <c r="L41" s="88" t="str">
        <f>IFERROR(VLOOKUP($A41,Pitchers!$A1:$S1000,6,FALSE)," ")</f>
        <v xml:space="preserve"> </v>
      </c>
      <c r="M41" s="88" t="str">
        <f>IFERROR(VLOOKUP($A41,Pitchers!$A1:$S1000,7,FALSE)," ")</f>
        <v xml:space="preserve"> </v>
      </c>
      <c r="N41" s="88" t="str">
        <f>IFERROR(VLOOKUP($A41,Pitchers!$A1:$S1000,8,FALSE)," ")</f>
        <v xml:space="preserve"> </v>
      </c>
      <c r="O41" s="88" t="str">
        <f>IFERROR(VLOOKUP($A41,Pitchers!$A1:$S1000,9,FALSE)," ")</f>
        <v xml:space="preserve"> </v>
      </c>
      <c r="P41" s="88" t="str">
        <f>IFERROR(VLOOKUP($A41,Pitchers!$A1:$S1000,10,FALSE)," ")</f>
        <v xml:space="preserve"> </v>
      </c>
      <c r="Q41" s="88" t="str">
        <f>IFERROR(VLOOKUP($A41,Pitchers!$A1:$S1000,11,FALSE)," ")</f>
        <v xml:space="preserve"> </v>
      </c>
      <c r="R41" s="88" t="str">
        <f>IFERROR(VLOOKUP($A41,Pitchers!$A1:$S1000,12,FALSE)," ")</f>
        <v xml:space="preserve"> </v>
      </c>
      <c r="S41" s="88" t="str">
        <f>IFERROR(VLOOKUP($A41,Pitchers!$A1:$S1000,13,FALSE)," ")</f>
        <v xml:space="preserve"> </v>
      </c>
      <c r="T41" s="88" t="str">
        <f>IFERROR(VLOOKUP($A41,Pitchers!$A1:$S1000,14,FALSE)," ")</f>
        <v xml:space="preserve"> </v>
      </c>
      <c r="U41" s="88" t="str">
        <f>IFERROR(VLOOKUP($A41,Pitchers!$A1:$S1000,15,FALSE)," ")</f>
        <v xml:space="preserve"> </v>
      </c>
      <c r="V41" s="88" t="str">
        <f>IFERROR(VLOOKUP($A41,Pitchers!$A1:$S1000,16,FALSE)," ")</f>
        <v xml:space="preserve"> </v>
      </c>
      <c r="W41" s="88" t="str">
        <f>IFERROR(VLOOKUP($A41,Pitchers!$A1:$S1000,17,FALSE)," ")</f>
        <v xml:space="preserve"> </v>
      </c>
      <c r="X41" s="88" t="str">
        <f>IFERROR(VLOOKUP($A41,Pitchers!$A1:$S1000,18,FALSE)," ")</f>
        <v xml:space="preserve"> </v>
      </c>
      <c r="Y41" s="88" t="str">
        <f>IFERROR(VLOOKUP($A41,Pitchers!$A1:$S1000,19,FALSE)," ")</f>
        <v xml:space="preserve"> </v>
      </c>
    </row>
    <row r="42" spans="1:25" ht="18.600000000000001" customHeight="1">
      <c r="A42" s="55" t="s">
        <v>748</v>
      </c>
      <c r="B42" s="56" t="str">
        <f>IFERROR(VLOOKUP($A42,Rankings!B1:C519,2,FALSE)," ")</f>
        <v xml:space="preserve"> </v>
      </c>
      <c r="C42" s="95"/>
      <c r="D42" s="96"/>
      <c r="E42" s="97" t="str">
        <f>IFERROR(VLOOKUP($A42,Rankings!B1:F519,5,FALSE)," ")</f>
        <v xml:space="preserve"> </v>
      </c>
      <c r="F42" s="59">
        <f>SUM(F26:F41)</f>
        <v>745.10153105723509</v>
      </c>
      <c r="G42" s="60">
        <f>SUM(G26:G41)</f>
        <v>7.166949272117388</v>
      </c>
      <c r="H42" s="61">
        <f ca="1">SUM(H26:H41)</f>
        <v>7.0309626052911858</v>
      </c>
      <c r="I42" s="60"/>
      <c r="J42" s="60">
        <f>SUM(J26:J41)</f>
        <v>222.16666666666666</v>
      </c>
      <c r="K42" s="62">
        <f>AVERAGE(K26:K41)</f>
        <v>2.9721013462018004</v>
      </c>
      <c r="L42" s="62">
        <f>AVERAGE(L26:L41)</f>
        <v>0.99049937893725104</v>
      </c>
      <c r="M42" s="60">
        <f t="shared" ref="M42:Y42" si="0">SUM(M26:M41)</f>
        <v>285.33333333333331</v>
      </c>
      <c r="N42" s="60">
        <f t="shared" si="0"/>
        <v>16.033333333333331</v>
      </c>
      <c r="O42" s="60">
        <f t="shared" si="0"/>
        <v>13</v>
      </c>
      <c r="P42" s="60">
        <f t="shared" si="0"/>
        <v>79.233333333333334</v>
      </c>
      <c r="Q42" s="60">
        <f t="shared" si="0"/>
        <v>175.1</v>
      </c>
      <c r="R42" s="60">
        <f t="shared" si="0"/>
        <v>53.7</v>
      </c>
      <c r="S42" s="60">
        <f t="shared" si="0"/>
        <v>29</v>
      </c>
      <c r="T42" s="60">
        <f t="shared" si="0"/>
        <v>60.133333333333326</v>
      </c>
      <c r="U42" s="60">
        <f t="shared" si="0"/>
        <v>31.599999999999998</v>
      </c>
      <c r="V42" s="60">
        <f t="shared" si="0"/>
        <v>9.3000000000000007</v>
      </c>
      <c r="W42" s="60">
        <f t="shared" si="0"/>
        <v>21</v>
      </c>
      <c r="X42" s="60">
        <f t="shared" si="0"/>
        <v>0</v>
      </c>
      <c r="Y42" s="60">
        <f t="shared" si="0"/>
        <v>3</v>
      </c>
    </row>
  </sheetData>
  <mergeCells count="2">
    <mergeCell ref="D1:E1"/>
    <mergeCell ref="D25:E25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K65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6.28515625" defaultRowHeight="20.100000000000001" customHeight="1"/>
  <cols>
    <col min="1" max="1" width="23.7109375" style="1" customWidth="1"/>
    <col min="2" max="2" width="7.140625" style="1" customWidth="1"/>
    <col min="3" max="3" width="8" style="1" customWidth="1"/>
    <col min="4" max="4" width="7.140625" style="1" customWidth="1"/>
    <col min="5" max="5" width="2.28515625" style="1" customWidth="1"/>
    <col min="6" max="20" width="7.140625" style="1" customWidth="1"/>
    <col min="21" max="21" width="2.28515625" style="1" customWidth="1"/>
    <col min="22" max="37" width="7.140625" style="1" customWidth="1"/>
    <col min="38" max="38" width="16.28515625" style="1" customWidth="1"/>
    <col min="39" max="16384" width="16.28515625" style="1"/>
  </cols>
  <sheetData>
    <row r="1" spans="1:37" ht="18.600000000000001" customHeight="1">
      <c r="A1" s="114" t="s">
        <v>59</v>
      </c>
      <c r="B1" s="115" t="s">
        <v>60</v>
      </c>
      <c r="C1" s="115" t="s">
        <v>62</v>
      </c>
      <c r="D1" s="116" t="s">
        <v>64</v>
      </c>
      <c r="E1" s="117"/>
      <c r="F1" s="116" t="s">
        <v>5</v>
      </c>
      <c r="G1" s="116" t="s">
        <v>9</v>
      </c>
      <c r="H1" s="116" t="s">
        <v>13</v>
      </c>
      <c r="I1" s="116" t="s">
        <v>17</v>
      </c>
      <c r="J1" s="116" t="s">
        <v>21</v>
      </c>
      <c r="K1" s="116" t="s">
        <v>25</v>
      </c>
      <c r="L1" s="116" t="s">
        <v>29</v>
      </c>
      <c r="M1" s="116" t="s">
        <v>33</v>
      </c>
      <c r="N1" s="116" t="s">
        <v>11</v>
      </c>
      <c r="O1" s="116" t="s">
        <v>15</v>
      </c>
      <c r="P1" s="116" t="s">
        <v>36</v>
      </c>
      <c r="Q1" s="116" t="s">
        <v>40</v>
      </c>
      <c r="R1" s="116" t="s">
        <v>45</v>
      </c>
      <c r="S1" s="116" t="s">
        <v>47</v>
      </c>
      <c r="T1" s="116" t="s">
        <v>52</v>
      </c>
      <c r="U1" s="117"/>
      <c r="V1" s="116" t="s">
        <v>6</v>
      </c>
      <c r="W1" s="116" t="s">
        <v>10</v>
      </c>
      <c r="X1" s="116" t="s">
        <v>14</v>
      </c>
      <c r="Y1" s="116" t="s">
        <v>18</v>
      </c>
      <c r="Z1" s="116" t="s">
        <v>22</v>
      </c>
      <c r="AA1" s="116" t="s">
        <v>26</v>
      </c>
      <c r="AB1" s="116" t="s">
        <v>30</v>
      </c>
      <c r="AC1" s="116" t="s">
        <v>33</v>
      </c>
      <c r="AD1" s="116" t="s">
        <v>36</v>
      </c>
      <c r="AE1" s="116" t="s">
        <v>13</v>
      </c>
      <c r="AF1" s="116" t="s">
        <v>39</v>
      </c>
      <c r="AG1" s="116" t="s">
        <v>41</v>
      </c>
      <c r="AH1" s="116" t="s">
        <v>46</v>
      </c>
      <c r="AI1" s="116" t="s">
        <v>48</v>
      </c>
      <c r="AJ1" s="116" t="s">
        <v>53</v>
      </c>
      <c r="AK1" s="116" t="s">
        <v>56</v>
      </c>
    </row>
    <row r="2" spans="1:37" ht="18.600000000000001" customHeight="1">
      <c r="A2" s="18" t="s">
        <v>94</v>
      </c>
      <c r="B2" s="19" t="s">
        <v>95</v>
      </c>
      <c r="C2" s="118" t="s">
        <v>7</v>
      </c>
      <c r="D2" s="60">
        <f>(F2*Settings!$C$2)+(G2*Settings!$C$3)+(H2*Settings!$C$4)+(I2*Settings!$C$5)+(J2*Settings!$C$6)+(M2*Settings!$C$9)+(N2*Settings!$C$10)+(O2*Settings!$C$11)+(P2*Settings!$C$12)+(Q2*Settings!$C$13)+(T2*Settings!$C$16)+(K2*Settings!$C$7)+(L2*Settings!$C$8)+(R2*Settings!$C$14)+(S2*Settings!$C$15)</f>
        <v>9.4681026225587495</v>
      </c>
      <c r="E2" s="60"/>
      <c r="F2" s="119">
        <f>(VLOOKUP($A2,Hitters!$A1:$R401,4,FALSE)-AVERAGE(Rankings!M2:M651))/STDEV(Rankings!M2:M651)</f>
        <v>1.5809342071710764</v>
      </c>
      <c r="G2" s="119">
        <f>(VLOOKUP($A2,Hitters!$A1:$R401,5,FALSE)-AVERAGE(Rankings!N2:N651))/STDEV(Rankings!N2:N651)</f>
        <v>2.2067091972341006</v>
      </c>
      <c r="H2" s="119">
        <f>(VLOOKUP($A2,Hitters!$A1:$R401,6,FALSE)-AVERAGE(Rankings!O2:O651))/STDEV(Rankings!O2:O651)</f>
        <v>2.8031588634309976</v>
      </c>
      <c r="I2" s="119">
        <f>(VLOOKUP($A2,Hitters!$A1:$R401,7,FALSE)-AVERAGE(Rankings!P2:P651))/STDEV(Rankings!P2:P651)</f>
        <v>2.4831009041035719</v>
      </c>
      <c r="J2" s="119">
        <f>(VLOOKUP($A2,Hitters!$A1:$R401,8,FALSE)-AVERAGE(Rankings!Q2:Q651))/STDEV(Rankings!Q2:Q651)</f>
        <v>-4.8668967724170835E-2</v>
      </c>
      <c r="K2" s="119">
        <f>(VLOOKUP($A2,Hitters!$A1:$R401,9,FALSE)-AVERAGE(Rankings!R2:R651))/STDEV(Rankings!R2:R651)</f>
        <v>2.0238026255142501</v>
      </c>
      <c r="L2" s="119">
        <f>(VLOOKUP($A2,Hitters!$A1:$R401,10,FALSE)-AVERAGE(Rankings!S2:S651))/STDEV(Rankings!S2:S651)</f>
        <v>2.0226864185305695</v>
      </c>
      <c r="M2" s="119">
        <f>(VLOOKUP($A2,Hitters!$A1:$R401,11,FALSE)-AVERAGE(Rankings!T2:T651))/STDEV(Rankings!T2:T651)</f>
        <v>1.9987589476524301</v>
      </c>
      <c r="N2" s="119">
        <f>(VLOOKUP($A2,Hitters!$A1:$R401,12,FALSE)-AVERAGE(Rankings!U2:U651))/STDEV(Rankings!U2:U651)</f>
        <v>1.678476371909345</v>
      </c>
      <c r="O2" s="119">
        <f>(VLOOKUP($A2,Hitters!$A1:$R401,13,FALSE)-AVERAGE(Rankings!V2:V651))/STDEV(Rankings!V2:V651)</f>
        <v>-0.5903871328757041</v>
      </c>
      <c r="P2" s="119">
        <f>(VLOOKUP($A2,Hitters!$A1:$R401,14,FALSE)-AVERAGE(Rankings!W2:W651))/STDEV(Rankings!W2:W651)</f>
        <v>1.6157577468734441</v>
      </c>
      <c r="Q2" s="119">
        <f>(VLOOKUP($A2,Hitters!$A1:$R401,15,FALSE)-AVERAGE(Rankings!X2:X651))/STDEV(Rankings!X2:X651)</f>
        <v>0.31511875001826178</v>
      </c>
      <c r="R2" s="119">
        <f>(VLOOKUP($A2,Hitters!$A1:$R401,16,FALSE)-AVERAGE(Rankings!Y2:Y651))/STDEV(Rankings!Y2:Y651)</f>
        <v>2.7695760758504098</v>
      </c>
      <c r="S2" s="119">
        <f>(VLOOKUP($A2,Hitters!$A1:$R401,17,FALSE)-AVERAGE(Rankings!Z2:Z651))/STDEV(Rankings!Z2:Z651)</f>
        <v>2.8099503848442837</v>
      </c>
      <c r="T2" s="119">
        <f>IFERROR((VLOOKUP($A2,Hitters!$A1:$R401,18,FALSE)-AVERAGE(Rankings!AA2:AA651))/STDEV(Rankings!AA2:AA651),0)</f>
        <v>0</v>
      </c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</row>
    <row r="3" spans="1:37" ht="18.600000000000001" customHeight="1">
      <c r="A3" s="25" t="s">
        <v>107</v>
      </c>
      <c r="B3" s="26" t="s">
        <v>82</v>
      </c>
      <c r="C3" s="120" t="s">
        <v>7</v>
      </c>
      <c r="D3" s="67">
        <f>(F3*Settings!$C$2)+(G3*Settings!$C$3)+(H3*Settings!$C$4)+(I3*Settings!$C$5)+(J3*Settings!$C$6)+(M3*Settings!$C$9)+(N3*Settings!$C$10)+(O3*Settings!$C$11)+(P3*Settings!$C$12)+(Q3*Settings!$C$13)+(T3*Settings!$C$16)+(K3*Settings!$C$7)+(L3*Settings!$C$8)+(R3*Settings!$C$14)+(S3*Settings!$C$15)</f>
        <v>8.9273219011733111</v>
      </c>
      <c r="E3" s="67"/>
      <c r="F3" s="121">
        <f>(VLOOKUP($A3,Hitters!$A1:$R401,4,FALSE)-AVERAGE(Rankings!M2:M651))/STDEV(Rankings!M2:M651)</f>
        <v>1.4738518658366118</v>
      </c>
      <c r="G3" s="121">
        <f>(VLOOKUP($A3,Hitters!$A1:$R401,5,FALSE)-AVERAGE(Rankings!N2:N651))/STDEV(Rankings!N2:N651)</f>
        <v>2.5117994517758864</v>
      </c>
      <c r="H3" s="121">
        <f>(VLOOKUP($A3,Hitters!$A1:$R401,6,FALSE)-AVERAGE(Rankings!O2:O651))/STDEV(Rankings!O2:O651)</f>
        <v>1.3203206825948628</v>
      </c>
      <c r="I3" s="121">
        <f>(VLOOKUP($A3,Hitters!$A1:$R401,7,FALSE)-AVERAGE(Rankings!P2:P651))/STDEV(Rankings!P2:P651)</f>
        <v>1.8664924004069035</v>
      </c>
      <c r="J3" s="121">
        <f>(VLOOKUP($A3,Hitters!$A1:$R401,8,FALSE)-AVERAGE(Rankings!Q2:Q651))/STDEV(Rankings!Q2:Q651)</f>
        <v>0.40311243870647329</v>
      </c>
      <c r="K3" s="121">
        <f>(VLOOKUP($A3,Hitters!$A1:$R401,9,FALSE)-AVERAGE(Rankings!R2:R651))/STDEV(Rankings!R2:R651)</f>
        <v>2.8255969276891864</v>
      </c>
      <c r="L3" s="121">
        <f>(VLOOKUP($A3,Hitters!$A1:$R401,10,FALSE)-AVERAGE(Rankings!S2:S651))/STDEV(Rankings!S2:S651)</f>
        <v>3.3207150736438575</v>
      </c>
      <c r="M3" s="121">
        <f>(VLOOKUP($A3,Hitters!$A1:$R401,11,FALSE)-AVERAGE(Rankings!T2:T651))/STDEV(Rankings!T2:T651)</f>
        <v>2.1452503666982432</v>
      </c>
      <c r="N3" s="121">
        <f>(VLOOKUP($A3,Hitters!$A1:$R401,12,FALSE)-AVERAGE(Rankings!U2:U651))/STDEV(Rankings!U2:U651)</f>
        <v>2.4013034439358303</v>
      </c>
      <c r="O3" s="121">
        <f>(VLOOKUP($A3,Hitters!$A1:$R401,13,FALSE)-AVERAGE(Rankings!V2:V651))/STDEV(Rankings!V2:V651)</f>
        <v>0.18395409140518312</v>
      </c>
      <c r="P3" s="121">
        <f>(VLOOKUP($A3,Hitters!$A1:$R401,14,FALSE)-AVERAGE(Rankings!W2:W651))/STDEV(Rankings!W2:W651)</f>
        <v>2.483236160484855</v>
      </c>
      <c r="Q3" s="121">
        <f>(VLOOKUP($A3,Hitters!$A1:$R401,15,FALSE)-AVERAGE(Rankings!X2:X651))/STDEV(Rankings!X2:X651)</f>
        <v>0.17184074425239115</v>
      </c>
      <c r="R3" s="121">
        <f>(VLOOKUP($A3,Hitters!$A1:$R401,16,FALSE)-AVERAGE(Rankings!Y2:Y651))/STDEV(Rankings!Y2:Y651)</f>
        <v>2.1635168776595783</v>
      </c>
      <c r="S3" s="121">
        <f>(VLOOKUP($A3,Hitters!$A1:$R401,17,FALSE)-AVERAGE(Rankings!Z2:Z651))/STDEV(Rankings!Z2:Z651)</f>
        <v>2.8783016930650844</v>
      </c>
      <c r="T3" s="121">
        <f>IFERROR((VLOOKUP($A3,Hitters!$A1:$R401,18,FALSE)-AVERAGE(Rankings!AA2:AA651))/STDEV(Rankings!AA2:AA651),0)</f>
        <v>0</v>
      </c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</row>
    <row r="4" spans="1:37" ht="18.600000000000001" customHeight="1">
      <c r="A4" s="25" t="s">
        <v>129</v>
      </c>
      <c r="B4" s="26" t="s">
        <v>97</v>
      </c>
      <c r="C4" s="120" t="s">
        <v>7</v>
      </c>
      <c r="D4" s="67">
        <f>(F4*Settings!$C$2)+(G4*Settings!$C$3)+(H4*Settings!$C$4)+(I4*Settings!$C$5)+(J4*Settings!$C$6)+(M4*Settings!$C$9)+(N4*Settings!$C$10)+(O4*Settings!$C$11)+(P4*Settings!$C$12)+(Q4*Settings!$C$13)+(T4*Settings!$C$16)+(K4*Settings!$C$7)+(L4*Settings!$C$8)+(R4*Settings!$C$14)+(S4*Settings!$C$15)</f>
        <v>7.6621743959130857</v>
      </c>
      <c r="E4" s="67"/>
      <c r="F4" s="121">
        <f>(VLOOKUP($A4,Hitters!$A1:$R401,4,FALSE)-AVERAGE(Rankings!M2:M651))/STDEV(Rankings!M2:M651)</f>
        <v>1.4294518706491495</v>
      </c>
      <c r="G4" s="121">
        <f>(VLOOKUP($A4,Hitters!$A1:$R401,5,FALSE)-AVERAGE(Rankings!N2:N651))/STDEV(Rankings!N2:N651)</f>
        <v>1.6451002709631528</v>
      </c>
      <c r="H4" s="121">
        <f>(VLOOKUP($A4,Hitters!$A1:$R401,6,FALSE)-AVERAGE(Rankings!O2:O651))/STDEV(Rankings!O2:O651)</f>
        <v>2.9994782845557864</v>
      </c>
      <c r="I4" s="121">
        <f>(VLOOKUP($A4,Hitters!$A1:$R401,7,FALSE)-AVERAGE(Rankings!P2:P651))/STDEV(Rankings!P2:P651)</f>
        <v>2.7266612630637721</v>
      </c>
      <c r="J4" s="121">
        <f>(VLOOKUP($A4,Hitters!$A1:$R401,8,FALSE)-AVERAGE(Rankings!Q2:Q651))/STDEV(Rankings!Q2:Q651)</f>
        <v>-0.39503471265433132</v>
      </c>
      <c r="K4" s="121">
        <f>(VLOOKUP($A4,Hitters!$A1:$R401,9,FALSE)-AVERAGE(Rankings!R2:R651))/STDEV(Rankings!R2:R651)</f>
        <v>0.68596928998470463</v>
      </c>
      <c r="L4" s="121">
        <f>(VLOOKUP($A4,Hitters!$A1:$R401,10,FALSE)-AVERAGE(Rankings!S2:S651))/STDEV(Rankings!S2:S651)</f>
        <v>1.0390152554186822</v>
      </c>
      <c r="M4" s="121">
        <f>(VLOOKUP($A4,Hitters!$A1:$R401,11,FALSE)-AVERAGE(Rankings!T2:T651))/STDEV(Rankings!T2:T651)</f>
        <v>1.4237118865533893</v>
      </c>
      <c r="N4" s="121">
        <f>(VLOOKUP($A4,Hitters!$A1:$R401,12,FALSE)-AVERAGE(Rankings!U2:U651))/STDEV(Rankings!U2:U651)</f>
        <v>0.74730502618111327</v>
      </c>
      <c r="O4" s="121">
        <f>(VLOOKUP($A4,Hitters!$A1:$R401,13,FALSE)-AVERAGE(Rankings!V2:V651))/STDEV(Rankings!V2:V651)</f>
        <v>-0.50742200170275464</v>
      </c>
      <c r="P4" s="121">
        <f>(VLOOKUP($A4,Hitters!$A1:$R401,14,FALSE)-AVERAGE(Rankings!W2:W651))/STDEV(Rankings!W2:W651)</f>
        <v>1.5451706382712291</v>
      </c>
      <c r="Q4" s="121">
        <f>(VLOOKUP($A4,Hitters!$A1:$R401,15,FALSE)-AVERAGE(Rankings!X2:X651))/STDEV(Rankings!X2:X651)</f>
        <v>0.99057220577169214</v>
      </c>
      <c r="R4" s="121">
        <f>(VLOOKUP($A4,Hitters!$A1:$R401,16,FALSE)-AVERAGE(Rankings!Y2:Y651))/STDEV(Rankings!Y2:Y651)</f>
        <v>2.2450374839041105</v>
      </c>
      <c r="S4" s="121">
        <f>(VLOOKUP($A4,Hitters!$A1:$R401,17,FALSE)-AVERAGE(Rankings!Z2:Z651))/STDEV(Rankings!Z2:Z651)</f>
        <v>2.0420200453437638</v>
      </c>
      <c r="T4" s="121">
        <f>IFERROR((VLOOKUP($A4,Hitters!$A1:$R401,18,FALSE)-AVERAGE(Rankings!AA2:AA651))/STDEV(Rankings!AA2:AA651),0)</f>
        <v>0</v>
      </c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</row>
    <row r="5" spans="1:37" ht="18.600000000000001" customHeight="1">
      <c r="A5" s="25" t="s">
        <v>134</v>
      </c>
      <c r="B5" s="26" t="s">
        <v>125</v>
      </c>
      <c r="C5" s="120" t="s">
        <v>7</v>
      </c>
      <c r="D5" s="67">
        <f>(F5*Settings!$C$2)+(G5*Settings!$C$3)+(H5*Settings!$C$4)+(I5*Settings!$C$5)+(J5*Settings!$C$6)+(M5*Settings!$C$9)+(N5*Settings!$C$10)+(O5*Settings!$C$11)+(P5*Settings!$C$12)+(Q5*Settings!$C$13)+(T5*Settings!$C$16)+(K5*Settings!$C$7)+(L5*Settings!$C$8)+(R5*Settings!$C$14)+(S5*Settings!$C$15)</f>
        <v>7.5538979698138036</v>
      </c>
      <c r="E5" s="67"/>
      <c r="F5" s="121">
        <f>(VLOOKUP($A5,Hitters!$A1:$R401,4,FALSE)-AVERAGE(Rankings!M2:M651))/STDEV(Rankings!M2:M651)</f>
        <v>1.2884165918183945</v>
      </c>
      <c r="G5" s="121">
        <f>(VLOOKUP($A5,Hitters!$A1:$R401,5,FALSE)-AVERAGE(Rankings!N2:N651))/STDEV(Rankings!N2:N651)</f>
        <v>1.859118807731271</v>
      </c>
      <c r="H5" s="121">
        <f>(VLOOKUP($A5,Hitters!$A1:$R401,6,FALSE)-AVERAGE(Rankings!O2:O651))/STDEV(Rankings!O2:O651)</f>
        <v>1.7714376502858573</v>
      </c>
      <c r="I5" s="121">
        <f>(VLOOKUP($A5,Hitters!$A1:$R401,7,FALSE)-AVERAGE(Rankings!P2:P651))/STDEV(Rankings!P2:P651)</f>
        <v>1.9713158460353339</v>
      </c>
      <c r="J5" s="121">
        <f>(VLOOKUP($A5,Hitters!$A1:$R401,8,FALSE)-AVERAGE(Rankings!Q2:Q651))/STDEV(Rankings!Q2:Q651)</f>
        <v>1.1568553133248437E-2</v>
      </c>
      <c r="K5" s="121">
        <f>(VLOOKUP($A5,Hitters!$A1:$R401,9,FALSE)-AVERAGE(Rankings!R2:R651))/STDEV(Rankings!R2:R651)</f>
        <v>1.9404571126280932</v>
      </c>
      <c r="L5" s="121">
        <f>(VLOOKUP($A5,Hitters!$A1:$R401,10,FALSE)-AVERAGE(Rankings!S2:S651))/STDEV(Rankings!S2:S651)</f>
        <v>2.4088648885000059</v>
      </c>
      <c r="M5" s="121">
        <f>(VLOOKUP($A5,Hitters!$A1:$R401,11,FALSE)-AVERAGE(Rankings!T2:T651))/STDEV(Rankings!T2:T651)</f>
        <v>1.6766598026697292</v>
      </c>
      <c r="N5" s="121">
        <f>(VLOOKUP($A5,Hitters!$A1:$R401,12,FALSE)-AVERAGE(Rankings!U2:U651))/STDEV(Rankings!U2:U651)</f>
        <v>1.6614686760969619</v>
      </c>
      <c r="O5" s="121">
        <f>(VLOOKUP($A5,Hitters!$A1:$R401,13,FALSE)-AVERAGE(Rankings!V2:V651))/STDEV(Rankings!V2:V651)</f>
        <v>-0.5903871328757041</v>
      </c>
      <c r="P5" s="121">
        <f>(VLOOKUP($A5,Hitters!$A1:$R401,14,FALSE)-AVERAGE(Rankings!W2:W651))/STDEV(Rankings!W2:W651)</f>
        <v>1.9612630679263845</v>
      </c>
      <c r="Q5" s="121">
        <f>(VLOOKUP($A5,Hitters!$A1:$R401,15,FALSE)-AVERAGE(Rankings!X2:X651))/STDEV(Rankings!X2:X651)</f>
        <v>1.1767361452362122</v>
      </c>
      <c r="R5" s="121">
        <f>(VLOOKUP($A5,Hitters!$A1:$R401,16,FALSE)-AVERAGE(Rankings!Y2:Y651))/STDEV(Rankings!Y2:Y651)</f>
        <v>2.0833120883556582</v>
      </c>
      <c r="S5" s="121">
        <f>(VLOOKUP($A5,Hitters!$A1:$R401,17,FALSE)-AVERAGE(Rankings!Z2:Z651))/STDEV(Rankings!Z2:Z651)</f>
        <v>2.4619971579471915</v>
      </c>
      <c r="T5" s="121">
        <f>IFERROR((VLOOKUP($A5,Hitters!$A1:$R401,18,FALSE)-AVERAGE(Rankings!AA2:AA651))/STDEV(Rankings!AA2:AA651),0)</f>
        <v>0</v>
      </c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</row>
    <row r="6" spans="1:37" ht="18.600000000000001" customHeight="1">
      <c r="A6" s="25" t="s">
        <v>182</v>
      </c>
      <c r="B6" s="26" t="s">
        <v>74</v>
      </c>
      <c r="C6" s="120" t="s">
        <v>7</v>
      </c>
      <c r="D6" s="67">
        <f>(F6*Settings!$C$2)+(G6*Settings!$C$3)+(H6*Settings!$C$4)+(I6*Settings!$C$5)+(J6*Settings!$C$6)+(M6*Settings!$C$9)+(N6*Settings!$C$10)+(O6*Settings!$C$11)+(P6*Settings!$C$12)+(Q6*Settings!$C$13)+(T6*Settings!$C$16)+(K6*Settings!$C$7)+(L6*Settings!$C$8)+(R6*Settings!$C$14)+(S6*Settings!$C$15)</f>
        <v>5.9191901441863566</v>
      </c>
      <c r="E6" s="67"/>
      <c r="F6" s="121">
        <f>(VLOOKUP($A6,Hitters!$A1:$R401,4,FALSE)-AVERAGE(Rankings!M2:M651))/STDEV(Rankings!M2:M651)</f>
        <v>1.4607930437226506</v>
      </c>
      <c r="G6" s="121">
        <f>(VLOOKUP($A6,Hitters!$A1:$R401,5,FALSE)-AVERAGE(Rankings!N2:N651))/STDEV(Rankings!N2:N651)</f>
        <v>1.7134040592934034</v>
      </c>
      <c r="H6" s="121">
        <f>(VLOOKUP($A6,Hitters!$A1:$R401,6,FALSE)-AVERAGE(Rankings!O2:O651))/STDEV(Rankings!O2:O651)</f>
        <v>2.5065912272637654</v>
      </c>
      <c r="I6" s="121">
        <f>(VLOOKUP($A6,Hitters!$A1:$R401,7,FALSE)-AVERAGE(Rankings!P2:P651))/STDEV(Rankings!P2:P651)</f>
        <v>2.4075663624007455</v>
      </c>
      <c r="J6" s="121">
        <f>(VLOOKUP($A6,Hitters!$A1:$R401,8,FALSE)-AVERAGE(Rankings!Q2:Q651))/STDEV(Rankings!Q2:Q651)</f>
        <v>-0.68116293672707262</v>
      </c>
      <c r="K6" s="121">
        <f>(VLOOKUP($A6,Hitters!$A1:$R401,9,FALSE)-AVERAGE(Rankings!R2:R651))/STDEV(Rankings!R2:R651)</f>
        <v>-2.7208568044486112E-2</v>
      </c>
      <c r="L6" s="121">
        <f>(VLOOKUP($A6,Hitters!$A1:$R401,10,FALSE)-AVERAGE(Rankings!S2:S651))/STDEV(Rankings!S2:S651)</f>
        <v>0.99138075222786493</v>
      </c>
      <c r="M6" s="121">
        <f>(VLOOKUP($A6,Hitters!$A1:$R401,11,FALSE)-AVERAGE(Rankings!T2:T651))/STDEV(Rankings!T2:T651)</f>
        <v>1.2262669304481564</v>
      </c>
      <c r="N6" s="121">
        <f>(VLOOKUP($A6,Hitters!$A1:$R401,12,FALSE)-AVERAGE(Rankings!U2:U651))/STDEV(Rankings!U2:U651)</f>
        <v>1.7209956114403102</v>
      </c>
      <c r="O6" s="121">
        <f>(VLOOKUP($A6,Hitters!$A1:$R401,13,FALSE)-AVERAGE(Rankings!V2:V651))/STDEV(Rankings!V2:V651)</f>
        <v>-0.94990270129182863</v>
      </c>
      <c r="P6" s="121">
        <f>(VLOOKUP($A6,Hitters!$A1:$R401,14,FALSE)-AVERAGE(Rankings!W2:W651))/STDEV(Rankings!W2:W651)</f>
        <v>2.2046028370550648</v>
      </c>
      <c r="Q6" s="121">
        <f>(VLOOKUP($A6,Hitters!$A1:$R401,15,FALSE)-AVERAGE(Rankings!X2:X651))/STDEV(Rankings!X2:X651)</f>
        <v>1.6046208019111745</v>
      </c>
      <c r="R6" s="121">
        <f>(VLOOKUP($A6,Hitters!$A1:$R401,16,FALSE)-AVERAGE(Rankings!Y2:Y651))/STDEV(Rankings!Y2:Y651)</f>
        <v>1.6659284720150689</v>
      </c>
      <c r="S6" s="121">
        <f>(VLOOKUP($A6,Hitters!$A1:$R401,17,FALSE)-AVERAGE(Rankings!Z2:Z651))/STDEV(Rankings!Z2:Z651)</f>
        <v>1.6017839788567088</v>
      </c>
      <c r="T6" s="121">
        <f>IFERROR((VLOOKUP($A6,Hitters!$A1:$R401,18,FALSE)-AVERAGE(Rankings!AA2:AA651))/STDEV(Rankings!AA2:AA651),0)</f>
        <v>0</v>
      </c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</row>
    <row r="7" spans="1:37" ht="18.600000000000001" customHeight="1">
      <c r="A7" s="25" t="s">
        <v>223</v>
      </c>
      <c r="B7" s="26" t="s">
        <v>79</v>
      </c>
      <c r="C7" s="120" t="s">
        <v>7</v>
      </c>
      <c r="D7" s="67">
        <f>(F7*Settings!$C$2)+(G7*Settings!$C$3)+(H7*Settings!$C$4)+(I7*Settings!$C$5)+(J7*Settings!$C$6)+(M7*Settings!$C$9)+(N7*Settings!$C$10)+(O7*Settings!$C$11)+(P7*Settings!$C$12)+(Q7*Settings!$C$13)+(T7*Settings!$C$16)+(K7*Settings!$C$7)+(L7*Settings!$C$8)+(R7*Settings!$C$14)+(S7*Settings!$C$15)</f>
        <v>4.6947448090973927</v>
      </c>
      <c r="E7" s="67"/>
      <c r="F7" s="121">
        <f>(VLOOKUP($A7,Hitters!$A1:$R401,4,FALSE)-AVERAGE(Rankings!M2:M651))/STDEV(Rankings!M2:M651)</f>
        <v>1.3328165870058568</v>
      </c>
      <c r="G7" s="121">
        <f>(VLOOKUP($A7,Hitters!$A1:$R401,5,FALSE)-AVERAGE(Rankings!N2:N651))/STDEV(Rankings!N2:N651)</f>
        <v>1.2792955379055853</v>
      </c>
      <c r="H7" s="121">
        <f>(VLOOKUP($A7,Hitters!$A1:$R401,6,FALSE)-AVERAGE(Rankings!O2:O651))/STDEV(Rankings!O2:O651)</f>
        <v>0.98198295682661707</v>
      </c>
      <c r="I7" s="121">
        <f>(VLOOKUP($A7,Hitters!$A1:$R401,7,FALSE)-AVERAGE(Rankings!P2:P651))/STDEV(Rankings!P2:P651)</f>
        <v>1.7308385295936333</v>
      </c>
      <c r="J7" s="121">
        <f>(VLOOKUP($A7,Hitters!$A1:$R401,8,FALSE)-AVERAGE(Rankings!Q2:Q651))/STDEV(Rankings!Q2:Q651)</f>
        <v>-0.87693487951368454</v>
      </c>
      <c r="K7" s="121">
        <f>(VLOOKUP($A7,Hitters!$A1:$R401,9,FALSE)-AVERAGE(Rankings!R2:R651))/STDEV(Rankings!R2:R651)</f>
        <v>1.5795626642852418</v>
      </c>
      <c r="L7" s="121">
        <f>(VLOOKUP($A7,Hitters!$A1:$R401,10,FALSE)-AVERAGE(Rankings!S2:S651))/STDEV(Rankings!S2:S651)</f>
        <v>1.2993960396392219</v>
      </c>
      <c r="M7" s="121">
        <f>(VLOOKUP($A7,Hitters!$A1:$R401,11,FALSE)-AVERAGE(Rankings!T2:T651))/STDEV(Rankings!T2:T651)</f>
        <v>1.6102382275744358</v>
      </c>
      <c r="N7" s="121">
        <f>(VLOOKUP($A7,Hitters!$A1:$R401,12,FALSE)-AVERAGE(Rankings!U2:U651))/STDEV(Rankings!U2:U651)</f>
        <v>1.6572167521438561</v>
      </c>
      <c r="O7" s="121">
        <f>(VLOOKUP($A7,Hitters!$A1:$R401,13,FALSE)-AVERAGE(Rankings!V2:V651))/STDEV(Rankings!V2:V651)</f>
        <v>-0.56273208915138628</v>
      </c>
      <c r="P7" s="121">
        <f>(VLOOKUP($A7,Hitters!$A1:$R401,14,FALSE)-AVERAGE(Rankings!W2:W651))/STDEV(Rankings!W2:W651)</f>
        <v>0.93774999319428565</v>
      </c>
      <c r="Q7" s="121">
        <f>(VLOOKUP($A7,Hitters!$A1:$R401,15,FALSE)-AVERAGE(Rankings!X2:X651))/STDEV(Rankings!X2:X651)</f>
        <v>0.73618064451390652</v>
      </c>
      <c r="R7" s="121">
        <f>(VLOOKUP($A7,Hitters!$A1:$R401,16,FALSE)-AVERAGE(Rankings!Y2:Y651))/STDEV(Rankings!Y2:Y651)</f>
        <v>1.0908801534083163</v>
      </c>
      <c r="S7" s="121">
        <f>(VLOOKUP($A7,Hitters!$A1:$R401,17,FALSE)-AVERAGE(Rankings!Z2:Z651))/STDEV(Rankings!Z2:Z651)</f>
        <v>1.304104687803743</v>
      </c>
      <c r="T7" s="121">
        <f>IFERROR((VLOOKUP($A7,Hitters!$A1:$R401,18,FALSE)-AVERAGE(Rankings!AA2:AA651))/STDEV(Rankings!AA2:AA651),0)</f>
        <v>0</v>
      </c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</row>
    <row r="8" spans="1:37" ht="18.600000000000001" customHeight="1">
      <c r="A8" s="25" t="s">
        <v>229</v>
      </c>
      <c r="B8" s="26" t="s">
        <v>178</v>
      </c>
      <c r="C8" s="120" t="s">
        <v>7</v>
      </c>
      <c r="D8" s="67">
        <f>(F8*Settings!$C$2)+(G8*Settings!$C$3)+(H8*Settings!$C$4)+(I8*Settings!$C$5)+(J8*Settings!$C$6)+(M8*Settings!$C$9)+(N8*Settings!$C$10)+(O8*Settings!$C$11)+(P8*Settings!$C$12)+(Q8*Settings!$C$13)+(T8*Settings!$C$16)+(K8*Settings!$C$7)+(L8*Settings!$C$8)+(R8*Settings!$C$14)+(S8*Settings!$C$15)</f>
        <v>4.5280295331287848</v>
      </c>
      <c r="E8" s="67"/>
      <c r="F8" s="121">
        <f>(VLOOKUP($A8,Hitters!$A1:$R401,4,FALSE)-AVERAGE(Rankings!M2:M651))/STDEV(Rankings!M2:M651)</f>
        <v>1.1395460197192644</v>
      </c>
      <c r="G8" s="121">
        <f>(VLOOKUP($A8,Hitters!$A1:$R401,5,FALSE)-AVERAGE(Rankings!N2:N651))/STDEV(Rankings!N2:N651)</f>
        <v>1.1184021698387743</v>
      </c>
      <c r="H8" s="121">
        <f>(VLOOKUP($A8,Hitters!$A1:$R401,6,FALSE)-AVERAGE(Rankings!O2:O651))/STDEV(Rankings!O2:O651)</f>
        <v>1.7421985875651362</v>
      </c>
      <c r="I8" s="121">
        <f>(VLOOKUP($A8,Hitters!$A1:$R401,7,FALSE)-AVERAGE(Rankings!P2:P651))/STDEV(Rankings!P2:P651)</f>
        <v>1.9821064948500291</v>
      </c>
      <c r="J8" s="121">
        <f>(VLOOKUP($A8,Hitters!$A1:$R401,8,FALSE)-AVERAGE(Rankings!Q2:Q651))/STDEV(Rankings!Q2:Q651)</f>
        <v>-0.86689529270411469</v>
      </c>
      <c r="K8" s="121">
        <f>(VLOOKUP($A8,Hitters!$A1:$R401,9,FALSE)-AVERAGE(Rankings!R2:R651))/STDEV(Rankings!R2:R651)</f>
        <v>0.55221757357896029</v>
      </c>
      <c r="L8" s="121">
        <f>(VLOOKUP($A8,Hitters!$A1:$R401,10,FALSE)-AVERAGE(Rankings!S2:S651))/STDEV(Rankings!S2:S651)</f>
        <v>0.41882841335730142</v>
      </c>
      <c r="M8" s="121">
        <f>(VLOOKUP($A8,Hitters!$A1:$R401,11,FALSE)-AVERAGE(Rankings!T2:T651))/STDEV(Rankings!T2:T651)</f>
        <v>1.1179906641969273</v>
      </c>
      <c r="N8" s="121">
        <f>(VLOOKUP($A8,Hitters!$A1:$R401,12,FALSE)-AVERAGE(Rankings!U2:U651))/STDEV(Rankings!U2:U651)</f>
        <v>0.91313006035189437</v>
      </c>
      <c r="O8" s="121">
        <f>(VLOOKUP($A8,Hitters!$A1:$R401,13,FALSE)-AVERAGE(Rankings!V2:V651))/STDEV(Rankings!V2:V651)</f>
        <v>0.37753939747540144</v>
      </c>
      <c r="P8" s="121">
        <f>(VLOOKUP($A8,Hitters!$A1:$R401,14,FALSE)-AVERAGE(Rankings!W2:W651))/STDEV(Rankings!W2:W651)</f>
        <v>0.70927066798185745</v>
      </c>
      <c r="Q8" s="121">
        <f>(VLOOKUP($A8,Hitters!$A1:$R401,15,FALSE)-AVERAGE(Rankings!X2:X651))/STDEV(Rankings!X2:X651)</f>
        <v>1.5110514920232536</v>
      </c>
      <c r="R8" s="121">
        <f>(VLOOKUP($A8,Hitters!$A1:$R401,16,FALSE)-AVERAGE(Rankings!Y2:Y651))/STDEV(Rankings!Y2:Y651)</f>
        <v>1.4364200782384391</v>
      </c>
      <c r="S8" s="121">
        <f>(VLOOKUP($A8,Hitters!$A1:$R401,17,FALSE)-AVERAGE(Rankings!Z2:Z651))/STDEV(Rankings!Z2:Z651)</f>
        <v>1.2099825115955789</v>
      </c>
      <c r="T8" s="121">
        <f>IFERROR((VLOOKUP($A8,Hitters!$A1:$R401,18,FALSE)-AVERAGE(Rankings!AA2:AA651))/STDEV(Rankings!AA2:AA651),0)</f>
        <v>0</v>
      </c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</row>
    <row r="9" spans="1:37" ht="18.600000000000001" customHeight="1">
      <c r="A9" s="25" t="s">
        <v>235</v>
      </c>
      <c r="B9" s="26" t="s">
        <v>87</v>
      </c>
      <c r="C9" s="120" t="s">
        <v>7</v>
      </c>
      <c r="D9" s="67">
        <f>(F9*Settings!$C$2)+(G9*Settings!$C$3)+(H9*Settings!$C$4)+(I9*Settings!$C$5)+(J9*Settings!$C$6)+(M9*Settings!$C$9)+(N9*Settings!$C$10)+(O9*Settings!$C$11)+(P9*Settings!$C$12)+(Q9*Settings!$C$13)+(T9*Settings!$C$16)+(K9*Settings!$C$7)+(L9*Settings!$C$8)+(R9*Settings!$C$14)+(S9*Settings!$C$15)</f>
        <v>4.4354477592065642</v>
      </c>
      <c r="E9" s="67"/>
      <c r="F9" s="121">
        <f>(VLOOKUP($A9,Hitters!$A1:$R401,4,FALSE)-AVERAGE(Rankings!M2:M651))/STDEV(Rankings!M2:M651)</f>
        <v>1.1708871927927655</v>
      </c>
      <c r="G9" s="121">
        <f>(VLOOKUP($A9,Hitters!$A1:$R401,5,FALSE)-AVERAGE(Rankings!N2:N651))/STDEV(Rankings!N2:N651)</f>
        <v>0.98938390299274681</v>
      </c>
      <c r="H9" s="121">
        <f>(VLOOKUP($A9,Hitters!$A1:$R401,6,FALSE)-AVERAGE(Rankings!O2:O651))/STDEV(Rankings!O2:O651)</f>
        <v>1.1490633152306848</v>
      </c>
      <c r="I9" s="121">
        <f>(VLOOKUP($A9,Hitters!$A1:$R401,7,FALSE)-AVERAGE(Rankings!P2:P651))/STDEV(Rankings!P2:P651)</f>
        <v>1.188223046340565</v>
      </c>
      <c r="J9" s="121">
        <f>(VLOOKUP($A9,Hitters!$A1:$R401,8,FALSE)-AVERAGE(Rankings!Q2:Q651))/STDEV(Rankings!Q2:Q651)</f>
        <v>-0.35989615882083575</v>
      </c>
      <c r="K9" s="121">
        <f>(VLOOKUP($A9,Hitters!$A1:$R401,9,FALSE)-AVERAGE(Rankings!R2:R651))/STDEV(Rankings!R2:R651)</f>
        <v>1.4686736534634037</v>
      </c>
      <c r="L9" s="121">
        <f>(VLOOKUP($A9,Hitters!$A1:$R401,10,FALSE)-AVERAGE(Rankings!S2:S651))/STDEV(Rankings!S2:S651)</f>
        <v>1.54573316698039</v>
      </c>
      <c r="M9" s="121">
        <f>(VLOOKUP($A9,Hitters!$A1:$R401,11,FALSE)-AVERAGE(Rankings!T2:T651))/STDEV(Rankings!T2:T651)</f>
        <v>1.4182525790113092</v>
      </c>
      <c r="N9" s="121">
        <f>(VLOOKUP($A9,Hitters!$A1:$R401,12,FALSE)-AVERAGE(Rankings!U2:U651))/STDEV(Rankings!U2:U651)</f>
        <v>0.77706849385278798</v>
      </c>
      <c r="O9" s="121">
        <f>(VLOOKUP($A9,Hitters!$A1:$R401,13,FALSE)-AVERAGE(Rankings!V2:V651))/STDEV(Rankings!V2:V651)</f>
        <v>0.70939992216720893</v>
      </c>
      <c r="P9" s="121">
        <f>(VLOOKUP($A9,Hitters!$A1:$R401,14,FALSE)-AVERAGE(Rankings!W2:W651))/STDEV(Rankings!W2:W651)</f>
        <v>1.2238135385822018</v>
      </c>
      <c r="Q9" s="121">
        <f>(VLOOKUP($A9,Hitters!$A1:$R401,15,FALSE)-AVERAGE(Rankings!X2:X651))/STDEV(Rankings!X2:X651)</f>
        <v>1.3765456090593673</v>
      </c>
      <c r="R9" s="121">
        <f>(VLOOKUP($A9,Hitters!$A1:$R401,16,FALSE)-AVERAGE(Rankings!Y2:Y651))/STDEV(Rankings!Y2:Y651)</f>
        <v>1.2068414788903321</v>
      </c>
      <c r="S9" s="121">
        <f>(VLOOKUP($A9,Hitters!$A1:$R401,17,FALSE)-AVERAGE(Rankings!Z2:Z651))/STDEV(Rankings!Z2:Z651)</f>
        <v>1.4852070811497347</v>
      </c>
      <c r="T9" s="121">
        <f>IFERROR((VLOOKUP($A9,Hitters!$A1:$R401,18,FALSE)-AVERAGE(Rankings!AA2:AA651))/STDEV(Rankings!AA2:AA651),0)</f>
        <v>0</v>
      </c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</row>
    <row r="10" spans="1:37" ht="18.600000000000001" customHeight="1">
      <c r="A10" s="25" t="s">
        <v>265</v>
      </c>
      <c r="B10" s="26" t="s">
        <v>122</v>
      </c>
      <c r="C10" s="120" t="s">
        <v>7</v>
      </c>
      <c r="D10" s="67">
        <f>(F10*Settings!$C$2)+(G10*Settings!$C$3)+(H10*Settings!$C$4)+(I10*Settings!$C$5)+(J10*Settings!$C$6)+(M10*Settings!$C$9)+(N10*Settings!$C$10)+(O10*Settings!$C$11)+(P10*Settings!$C$12)+(Q10*Settings!$C$13)+(T10*Settings!$C$16)+(K10*Settings!$C$7)+(L10*Settings!$C$8)+(R10*Settings!$C$14)+(S10*Settings!$C$15)</f>
        <v>3.6561603527555429</v>
      </c>
      <c r="E10" s="67"/>
      <c r="F10" s="121">
        <f>(VLOOKUP($A10,Hitters!$A1:$R401,4,FALSE)-AVERAGE(Rankings!M2:M651))/STDEV(Rankings!M2:M651)</f>
        <v>1.2805812985500193</v>
      </c>
      <c r="G10" s="121">
        <f>(VLOOKUP($A10,Hitters!$A1:$R401,5,FALSE)-AVERAGE(Rankings!N2:N651))/STDEV(Rankings!N2:N651)</f>
        <v>1.1092949980614073</v>
      </c>
      <c r="H10" s="121">
        <f>(VLOOKUP($A10,Hitters!$A1:$R401,6,FALSE)-AVERAGE(Rankings!O2:O651))/STDEV(Rankings!O2:O651)</f>
        <v>1.5208171126797494</v>
      </c>
      <c r="I10" s="121">
        <f>(VLOOKUP($A10,Hitters!$A1:$R401,7,FALSE)-AVERAGE(Rankings!P2:P651))/STDEV(Rankings!P2:P651)</f>
        <v>1.6198489989282323</v>
      </c>
      <c r="J10" s="121">
        <f>(VLOOKUP($A10,Hitters!$A1:$R401,8,FALSE)-AVERAGE(Rankings!Q2:Q651))/STDEV(Rankings!Q2:Q651)</f>
        <v>-0.64100458948879246</v>
      </c>
      <c r="K10" s="121">
        <f>(VLOOKUP($A10,Hitters!$A1:$R401,9,FALSE)-AVERAGE(Rankings!R2:R651))/STDEV(Rankings!R2:R651)</f>
        <v>4.7203832574946543E-2</v>
      </c>
      <c r="L10" s="121">
        <f>(VLOOKUP($A10,Hitters!$A1:$R401,10,FALSE)-AVERAGE(Rankings!S2:S651))/STDEV(Rankings!S2:S651)</f>
        <v>0.38195205792444081</v>
      </c>
      <c r="M10" s="121">
        <f>(VLOOKUP($A10,Hitters!$A1:$R401,11,FALSE)-AVERAGE(Rankings!T2:T651))/STDEV(Rankings!T2:T651)</f>
        <v>1.0925138956672042</v>
      </c>
      <c r="N10" s="121">
        <f>(VLOOKUP($A10,Hitters!$A1:$R401,12,FALSE)-AVERAGE(Rankings!U2:U651))/STDEV(Rankings!U2:U651)</f>
        <v>1.0151762352262212</v>
      </c>
      <c r="O10" s="121">
        <f>(VLOOKUP($A10,Hitters!$A1:$R401,13,FALSE)-AVERAGE(Rankings!V2:V651))/STDEV(Rankings!V2:V651)</f>
        <v>0.29457426630244948</v>
      </c>
      <c r="P10" s="121">
        <f>(VLOOKUP($A10,Hitters!$A1:$R401,14,FALSE)-AVERAGE(Rankings!W2:W651))/STDEV(Rankings!W2:W651)</f>
        <v>1.2219559830926721</v>
      </c>
      <c r="Q10" s="121">
        <f>(VLOOKUP($A10,Hitters!$A1:$R401,15,FALSE)-AVERAGE(Rankings!X2:X651))/STDEV(Rankings!X2:X651)</f>
        <v>1.064647909432983</v>
      </c>
      <c r="R10" s="121">
        <f>(VLOOKUP($A10,Hitters!$A1:$R401,16,FALSE)-AVERAGE(Rankings!Y2:Y651))/STDEV(Rankings!Y2:Y651)</f>
        <v>0.84401604479539338</v>
      </c>
      <c r="S10" s="121">
        <f>(VLOOKUP($A10,Hitters!$A1:$R401,17,FALSE)-AVERAGE(Rankings!Z2:Z651))/STDEV(Rankings!Z2:Z651)</f>
        <v>0.7642917130298359</v>
      </c>
      <c r="T10" s="121">
        <f>IFERROR((VLOOKUP($A10,Hitters!$A1:$R401,18,FALSE)-AVERAGE(Rankings!AA2:AA651))/STDEV(Rankings!AA2:AA651),0)</f>
        <v>0</v>
      </c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</row>
    <row r="11" spans="1:37" ht="18.600000000000001" customHeight="1">
      <c r="A11" s="25" t="s">
        <v>267</v>
      </c>
      <c r="B11" s="26" t="s">
        <v>92</v>
      </c>
      <c r="C11" s="120" t="s">
        <v>7</v>
      </c>
      <c r="D11" s="67">
        <f>(F11*Settings!$C$2)+(G11*Settings!$C$3)+(H11*Settings!$C$4)+(I11*Settings!$C$5)+(J11*Settings!$C$6)+(M11*Settings!$C$9)+(N11*Settings!$C$10)+(O11*Settings!$C$11)+(P11*Settings!$C$12)+(Q11*Settings!$C$13)+(T11*Settings!$C$16)+(K11*Settings!$C$7)+(L11*Settings!$C$8)+(R11*Settings!$C$14)+(S11*Settings!$C$15)</f>
        <v>3.6526892578796741</v>
      </c>
      <c r="E11" s="67"/>
      <c r="F11" s="121">
        <f>(VLOOKUP($A11,Hitters!$A1:$R401,4,FALSE)-AVERAGE(Rankings!M2:M651))/STDEV(Rankings!M2:M651)</f>
        <v>1.0925342601090127</v>
      </c>
      <c r="G11" s="121">
        <f>(VLOOKUP($A11,Hitters!$A1:$R401,5,FALSE)-AVERAGE(Rankings!N2:N651))/STDEV(Rankings!N2:N651)</f>
        <v>1.3172420869779498</v>
      </c>
      <c r="H11" s="121">
        <f>(VLOOKUP($A11,Hitters!$A1:$R401,6,FALSE)-AVERAGE(Rankings!O2:O651))/STDEV(Rankings!O2:O651)</f>
        <v>1.8466238115676894</v>
      </c>
      <c r="I11" s="121">
        <f>(VLOOKUP($A11,Hitters!$A1:$R401,7,FALSE)-AVERAGE(Rankings!P2:P651))/STDEV(Rankings!P2:P651)</f>
        <v>1.4209927564860565</v>
      </c>
      <c r="J11" s="121">
        <f>(VLOOKUP($A11,Hitters!$A1:$R401,8,FALSE)-AVERAGE(Rankings!Q2:Q651))/STDEV(Rankings!Q2:Q651)</f>
        <v>-0.50547016755959939</v>
      </c>
      <c r="K11" s="121">
        <f>(VLOOKUP($A11,Hitters!$A1:$R401,9,FALSE)-AVERAGE(Rankings!R2:R651))/STDEV(Rankings!R2:R651)</f>
        <v>-0.42669922959242212</v>
      </c>
      <c r="L11" s="121">
        <f>(VLOOKUP($A11,Hitters!$A1:$R401,10,FALSE)-AVERAGE(Rankings!S2:S651))/STDEV(Rankings!S2:S651)</f>
        <v>0.63367556442536288</v>
      </c>
      <c r="M11" s="121">
        <f>(VLOOKUP($A11,Hitters!$A1:$R401,11,FALSE)-AVERAGE(Rankings!T2:T651))/STDEV(Rankings!T2:T651)</f>
        <v>0.79043221167214739</v>
      </c>
      <c r="N11" s="121">
        <f>(VLOOKUP($A11,Hitters!$A1:$R401,12,FALSE)-AVERAGE(Rankings!U2:U651))/STDEV(Rankings!U2:U651)</f>
        <v>1.2830474442713287</v>
      </c>
      <c r="O11" s="121">
        <f>(VLOOKUP($A11,Hitters!$A1:$R401,13,FALSE)-AVERAGE(Rankings!V2:V651))/STDEV(Rankings!V2:V651)</f>
        <v>-0.14790643328662451</v>
      </c>
      <c r="P11" s="121">
        <f>(VLOOKUP($A11,Hitters!$A1:$R401,14,FALSE)-AVERAGE(Rankings!W2:W651))/STDEV(Rankings!W2:W651)</f>
        <v>1.7847952964208487</v>
      </c>
      <c r="Q11" s="121">
        <f>(VLOOKUP($A11,Hitters!$A1:$R401,15,FALSE)-AVERAGE(Rankings!X2:X651))/STDEV(Rankings!X2:X651)</f>
        <v>1.5900005972411868</v>
      </c>
      <c r="R11" s="121">
        <f>(VLOOKUP($A11,Hitters!$A1:$R401,16,FALSE)-AVERAGE(Rankings!Y2:Y651))/STDEV(Rankings!Y2:Y651)</f>
        <v>1.2194255872513262</v>
      </c>
      <c r="S11" s="121">
        <f>(VLOOKUP($A11,Hitters!$A1:$R401,17,FALSE)-AVERAGE(Rankings!Z2:Z651))/STDEV(Rankings!Z2:Z651)</f>
        <v>1.1363629609735588</v>
      </c>
      <c r="T11" s="121">
        <f>IFERROR((VLOOKUP($A11,Hitters!$A1:$R401,18,FALSE)-AVERAGE(Rankings!AA2:AA651))/STDEV(Rankings!AA2:AA651),0)</f>
        <v>0</v>
      </c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</row>
    <row r="12" spans="1:37" ht="18.600000000000001" customHeight="1">
      <c r="A12" s="25" t="s">
        <v>262</v>
      </c>
      <c r="B12" s="26" t="s">
        <v>119</v>
      </c>
      <c r="C12" s="120" t="s">
        <v>7</v>
      </c>
      <c r="D12" s="67">
        <f>(F12*Settings!$C$2)+(G12*Settings!$C$3)+(H12*Settings!$C$4)+(I12*Settings!$C$5)+(J12*Settings!$C$6)+(M12*Settings!$C$9)+(N12*Settings!$C$10)+(O12*Settings!$C$11)+(P12*Settings!$C$12)+(Q12*Settings!$C$13)+(T12*Settings!$C$16)+(K12*Settings!$C$7)+(L12*Settings!$C$8)+(R12*Settings!$C$14)+(S12*Settings!$C$15)</f>
        <v>3.7790946206085581</v>
      </c>
      <c r="E12" s="67"/>
      <c r="F12" s="121">
        <f>(VLOOKUP($A12,Hitters!$A1:$R401,4,FALSE)-AVERAGE(Rankings!M2:M651))/STDEV(Rankings!M2:M651)</f>
        <v>1.0429107360759717</v>
      </c>
      <c r="G12" s="121">
        <f>(VLOOKUP($A12,Hitters!$A1:$R401,5,FALSE)-AVERAGE(Rankings!N2:N651))/STDEV(Rankings!N2:N651)</f>
        <v>0.59625765460307933</v>
      </c>
      <c r="H12" s="121">
        <f>(VLOOKUP($A12,Hitters!$A1:$R401,6,FALSE)-AVERAGE(Rankings!O2:O651))/STDEV(Rankings!O2:O651)</f>
        <v>1.0279300553877284</v>
      </c>
      <c r="I12" s="121">
        <f>(VLOOKUP($A12,Hitters!$A1:$R401,7,FALSE)-AVERAGE(Rankings!P2:P651))/STDEV(Rankings!P2:P651)</f>
        <v>1.0248217928609489</v>
      </c>
      <c r="J12" s="121">
        <f>(VLOOKUP($A12,Hitters!$A1:$R401,8,FALSE)-AVERAGE(Rankings!Q2:Q651))/STDEV(Rankings!Q2:Q651)</f>
        <v>-0.58578686203615782</v>
      </c>
      <c r="K12" s="121">
        <f>(VLOOKUP($A12,Hitters!$A1:$R401,9,FALSE)-AVERAGE(Rankings!R2:R651))/STDEV(Rankings!R2:R651)</f>
        <v>1.7158719797929589</v>
      </c>
      <c r="L12" s="121">
        <f>(VLOOKUP($A12,Hitters!$A1:$R401,10,FALSE)-AVERAGE(Rankings!S2:S651))/STDEV(Rankings!S2:S651)</f>
        <v>2.0982186112018875</v>
      </c>
      <c r="M12" s="121">
        <f>(VLOOKUP($A12,Hitters!$A1:$R401,11,FALSE)-AVERAGE(Rankings!T2:T651))/STDEV(Rankings!T2:T651)</f>
        <v>1.3645693881808505</v>
      </c>
      <c r="N12" s="121">
        <f>(VLOOKUP($A12,Hitters!$A1:$R401,12,FALSE)-AVERAGE(Rankings!U2:U651))/STDEV(Rankings!U2:U651)</f>
        <v>0.86210697291473115</v>
      </c>
      <c r="O12" s="121">
        <f>(VLOOKUP($A12,Hitters!$A1:$R401,13,FALSE)-AVERAGE(Rankings!V2:V651))/STDEV(Rankings!V2:V651)</f>
        <v>-0.20321652073526184</v>
      </c>
      <c r="P12" s="121">
        <f>(VLOOKUP($A12,Hitters!$A1:$R401,14,FALSE)-AVERAGE(Rankings!W2:W651))/STDEV(Rankings!W2:W651)</f>
        <v>1.5581735266979504</v>
      </c>
      <c r="Q12" s="121">
        <f>(VLOOKUP($A12,Hitters!$A1:$R401,15,FALSE)-AVERAGE(Rankings!X2:X651))/STDEV(Rankings!X2:X651)</f>
        <v>-0.48996718714238319</v>
      </c>
      <c r="R12" s="121">
        <f>(VLOOKUP($A12,Hitters!$A1:$R401,16,FALSE)-AVERAGE(Rankings!Y2:Y651))/STDEV(Rankings!Y2:Y651)</f>
        <v>1.2622648694269234</v>
      </c>
      <c r="S12" s="121">
        <f>(VLOOKUP($A12,Hitters!$A1:$R401,17,FALSE)-AVERAGE(Rankings!Z2:Z651))/STDEV(Rankings!Z2:Z651)</f>
        <v>1.7424138563761591</v>
      </c>
      <c r="T12" s="121">
        <f>IFERROR((VLOOKUP($A12,Hitters!$A1:$R401,18,FALSE)-AVERAGE(Rankings!AA2:AA651))/STDEV(Rankings!AA2:AA651),0)</f>
        <v>0</v>
      </c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</row>
    <row r="13" spans="1:37" ht="18.600000000000001" customHeight="1">
      <c r="A13" s="25" t="s">
        <v>274</v>
      </c>
      <c r="B13" s="26" t="s">
        <v>101</v>
      </c>
      <c r="C13" s="120" t="s">
        <v>7</v>
      </c>
      <c r="D13" s="67">
        <f>(F13*Settings!$C$2)+(G13*Settings!$C$3)+(H13*Settings!$C$4)+(I13*Settings!$C$5)+(J13*Settings!$C$6)+(M13*Settings!$C$9)+(N13*Settings!$C$10)+(O13*Settings!$C$11)+(P13*Settings!$C$12)+(Q13*Settings!$C$13)+(T13*Settings!$C$16)+(K13*Settings!$C$7)+(L13*Settings!$C$8)+(R13*Settings!$C$14)+(S13*Settings!$C$15)</f>
        <v>3.5366855094160394</v>
      </c>
      <c r="E13" s="67"/>
      <c r="F13" s="121">
        <f>(VLOOKUP($A13,Hitters!$A1:$R401,4,FALSE)-AVERAGE(Rankings!M2:M651))/STDEV(Rankings!M2:M651)</f>
        <v>1.2910283562411911</v>
      </c>
      <c r="G13" s="121">
        <f>(VLOOKUP($A13,Hitters!$A1:$R401,5,FALSE)-AVERAGE(Rankings!N2:N651))/STDEV(Rankings!N2:N651)</f>
        <v>0.75259743678121127</v>
      </c>
      <c r="H13" s="121">
        <f>(VLOOKUP($A13,Hitters!$A1:$R401,6,FALSE)-AVERAGE(Rankings!O2:O651))/STDEV(Rankings!O2:O651)</f>
        <v>1.2409575123529202</v>
      </c>
      <c r="I13" s="121">
        <f>(VLOOKUP($A13,Hitters!$A1:$R401,7,FALSE)-AVERAGE(Rankings!P2:P651))/STDEV(Rankings!P2:P651)</f>
        <v>1.4487401391524064</v>
      </c>
      <c r="J13" s="121">
        <f>(VLOOKUP($A13,Hitters!$A1:$R401,8,FALSE)-AVERAGE(Rankings!Q2:Q651))/STDEV(Rankings!Q2:Q651)</f>
        <v>-0.40005450605911569</v>
      </c>
      <c r="K13" s="121">
        <f>(VLOOKUP($A13,Hitters!$A1:$R401,9,FALSE)-AVERAGE(Rankings!R2:R651))/STDEV(Rankings!R2:R651)</f>
        <v>0.49444492718861732</v>
      </c>
      <c r="L13" s="121">
        <f>(VLOOKUP($A13,Hitters!$A1:$R401,10,FALSE)-AVERAGE(Rankings!S2:S651))/STDEV(Rankings!S2:S651)</f>
        <v>7.2762161098132447E-3</v>
      </c>
      <c r="M13" s="121">
        <f>(VLOOKUP($A13,Hitters!$A1:$R401,11,FALSE)-AVERAGE(Rankings!T2:T651))/STDEV(Rankings!T2:T651)</f>
        <v>1.2380954301226803</v>
      </c>
      <c r="N13" s="121">
        <f>(VLOOKUP($A13,Hitters!$A1:$R401,12,FALSE)-AVERAGE(Rankings!U2:U651))/STDEV(Rankings!U2:U651)</f>
        <v>0.8238396573368586</v>
      </c>
      <c r="O13" s="121">
        <f>(VLOOKUP($A13,Hitters!$A1:$R401,13,FALSE)-AVERAGE(Rankings!V2:V651))/STDEV(Rankings!V2:V651)</f>
        <v>-0.47976695797843194</v>
      </c>
      <c r="P13" s="121">
        <f>(VLOOKUP($A13,Hitters!$A1:$R401,14,FALSE)-AVERAGE(Rankings!W2:W651))/STDEV(Rankings!W2:W651)</f>
        <v>0.38419845731377045</v>
      </c>
      <c r="Q13" s="121">
        <f>(VLOOKUP($A13,Hitters!$A1:$R401,15,FALSE)-AVERAGE(Rankings!X2:X651))/STDEV(Rankings!X2:X651)</f>
        <v>1.7488734879884054</v>
      </c>
      <c r="R13" s="121">
        <f>(VLOOKUP($A13,Hitters!$A1:$R401,16,FALSE)-AVERAGE(Rankings!Y2:Y651))/STDEV(Rankings!Y2:Y651)</f>
        <v>0.62278944396234615</v>
      </c>
      <c r="S13" s="121">
        <f>(VLOOKUP($A13,Hitters!$A1:$R401,17,FALSE)-AVERAGE(Rankings!Z2:Z651))/STDEV(Rankings!Z2:Z651)</f>
        <v>0.45618984301759807</v>
      </c>
      <c r="T13" s="121">
        <f>IFERROR((VLOOKUP($A13,Hitters!$A1:$R401,18,FALSE)-AVERAGE(Rankings!AA2:AA651))/STDEV(Rankings!AA2:AA651),0)</f>
        <v>0</v>
      </c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</row>
    <row r="14" spans="1:37" ht="18.600000000000001" customHeight="1">
      <c r="A14" s="25" t="s">
        <v>287</v>
      </c>
      <c r="B14" s="26" t="s">
        <v>72</v>
      </c>
      <c r="C14" s="120" t="s">
        <v>7</v>
      </c>
      <c r="D14" s="67">
        <f>(F14*Settings!$C$2)+(G14*Settings!$C$3)+(H14*Settings!$C$4)+(I14*Settings!$C$5)+(J14*Settings!$C$6)+(M14*Settings!$C$9)+(N14*Settings!$C$10)+(O14*Settings!$C$11)+(P14*Settings!$C$12)+(Q14*Settings!$C$13)+(T14*Settings!$C$16)+(K14*Settings!$C$7)+(L14*Settings!$C$8)+(R14*Settings!$C$14)+(S14*Settings!$C$15)</f>
        <v>3.2727114217226925</v>
      </c>
      <c r="E14" s="67"/>
      <c r="F14" s="121">
        <f>(VLOOKUP($A14,Hitters!$A1:$R401,4,FALSE)-AVERAGE(Rankings!M2:M651))/STDEV(Rankings!M2:M651)</f>
        <v>1.2570754187448936</v>
      </c>
      <c r="G14" s="121">
        <f>(VLOOKUP($A14,Hitters!$A1:$R401,5,FALSE)-AVERAGE(Rankings!N2:N651))/STDEV(Rankings!N2:N651)</f>
        <v>1.024294728139316</v>
      </c>
      <c r="H14" s="121">
        <f>(VLOOKUP($A14,Hitters!$A1:$R401,6,FALSE)-AVERAGE(Rankings!O2:O651))/STDEV(Rankings!O2:O651)</f>
        <v>0.68123831169928717</v>
      </c>
      <c r="I14" s="121">
        <f>(VLOOKUP($A14,Hitters!$A1:$R401,7,FALSE)-AVERAGE(Rankings!P2:P651))/STDEV(Rankings!P2:P651)</f>
        <v>1.1959306526367748</v>
      </c>
      <c r="J14" s="121">
        <f>(VLOOKUP($A14,Hitters!$A1:$R401,8,FALSE)-AVERAGE(Rankings!Q2:Q651))/STDEV(Rankings!Q2:Q651)</f>
        <v>-0.9221130201567489</v>
      </c>
      <c r="K14" s="121">
        <f>(VLOOKUP($A14,Hitters!$A1:$R401,9,FALSE)-AVERAGE(Rankings!R2:R651))/STDEV(Rankings!R2:R651)</f>
        <v>1.2933607494040631</v>
      </c>
      <c r="L14" s="121">
        <f>(VLOOKUP($A14,Hitters!$A1:$R401,10,FALSE)-AVERAGE(Rankings!S2:S651))/STDEV(Rankings!S2:S651)</f>
        <v>0.41416983463593737</v>
      </c>
      <c r="M14" s="121">
        <f>(VLOOKUP($A14,Hitters!$A1:$R401,11,FALSE)-AVERAGE(Rankings!T2:T651))/STDEV(Rankings!T2:T651)</f>
        <v>1.4491886550830853</v>
      </c>
      <c r="N14" s="121">
        <f>(VLOOKUP($A14,Hitters!$A1:$R401,12,FALSE)-AVERAGE(Rankings!U2:U651))/STDEV(Rankings!U2:U651)</f>
        <v>1.3680859233332718</v>
      </c>
      <c r="O14" s="121">
        <f>(VLOOKUP($A14,Hitters!$A1:$R401,13,FALSE)-AVERAGE(Rankings!V2:V651))/STDEV(Rankings!V2:V651)</f>
        <v>-0.45211191425411734</v>
      </c>
      <c r="P14" s="121">
        <f>(VLOOKUP($A14,Hitters!$A1:$R401,14,FALSE)-AVERAGE(Rankings!W2:W651))/STDEV(Rankings!W2:W651)</f>
        <v>0.10742268937351027</v>
      </c>
      <c r="Q14" s="121">
        <f>(VLOOKUP($A14,Hitters!$A1:$R401,15,FALSE)-AVERAGE(Rankings!X2:X651))/STDEV(Rankings!X2:X651)</f>
        <v>0.16891670331839378</v>
      </c>
      <c r="R14" s="121">
        <f>(VLOOKUP($A14,Hitters!$A1:$R401,16,FALSE)-AVERAGE(Rankings!Y2:Y651))/STDEV(Rankings!Y2:Y651)</f>
        <v>0.64731053293873475</v>
      </c>
      <c r="S14" s="121">
        <f>(VLOOKUP($A14,Hitters!$A1:$R401,17,FALSE)-AVERAGE(Rankings!Z2:Z651))/STDEV(Rankings!Z2:Z651)</f>
        <v>0.63375433079935239</v>
      </c>
      <c r="T14" s="121">
        <f>IFERROR((VLOOKUP($A14,Hitters!$A1:$R401,18,FALSE)-AVERAGE(Rankings!AA2:AA651))/STDEV(Rankings!AA2:AA651),0)</f>
        <v>0</v>
      </c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</row>
    <row r="15" spans="1:37" ht="18.600000000000001" customHeight="1">
      <c r="A15" s="25" t="s">
        <v>286</v>
      </c>
      <c r="B15" s="26" t="s">
        <v>69</v>
      </c>
      <c r="C15" s="120" t="s">
        <v>7</v>
      </c>
      <c r="D15" s="67">
        <f>(F15*Settings!$C$2)+(G15*Settings!$C$3)+(H15*Settings!$C$4)+(I15*Settings!$C$5)+(J15*Settings!$C$6)+(M15*Settings!$C$9)+(N15*Settings!$C$10)+(O15*Settings!$C$11)+(P15*Settings!$C$12)+(Q15*Settings!$C$13)+(T15*Settings!$C$16)+(K15*Settings!$C$7)+(L15*Settings!$C$8)+(R15*Settings!$C$14)+(S15*Settings!$C$15)</f>
        <v>3.2794545600267226</v>
      </c>
      <c r="E15" s="67"/>
      <c r="F15" s="121">
        <f>(VLOOKUP($A15,Hitters!$A1:$R401,4,FALSE)-AVERAGE(Rankings!M2:M651))/STDEV(Rankings!M2:M651)</f>
        <v>0.79218135148796287</v>
      </c>
      <c r="G15" s="121">
        <f>(VLOOKUP($A15,Hitters!$A1:$R401,5,FALSE)-AVERAGE(Rankings!N2:N651))/STDEV(Rankings!N2:N651)</f>
        <v>1.0561698293600998</v>
      </c>
      <c r="H15" s="121">
        <f>(VLOOKUP($A15,Hitters!$A1:$R401,6,FALSE)-AVERAGE(Rankings!O2:O651))/STDEV(Rankings!O2:O651)</f>
        <v>1.5458791664403602</v>
      </c>
      <c r="I15" s="121">
        <f>(VLOOKUP($A15,Hitters!$A1:$R401,7,FALSE)-AVERAGE(Rankings!P2:P651))/STDEV(Rankings!P2:P651)</f>
        <v>1.0941902495268241</v>
      </c>
      <c r="J15" s="121">
        <f>(VLOOKUP($A15,Hitters!$A1:$R401,8,FALSE)-AVERAGE(Rankings!Q2:Q651))/STDEV(Rankings!Q2:Q651)</f>
        <v>3.6667520157173561E-2</v>
      </c>
      <c r="K15" s="121">
        <f>(VLOOKUP($A15,Hitters!$A1:$R401,9,FALSE)-AVERAGE(Rankings!R2:R651))/STDEV(Rankings!R2:R651)</f>
        <v>-0.45345220545773529</v>
      </c>
      <c r="L15" s="121">
        <f>(VLOOKUP($A15,Hitters!$A1:$R401,10,FALSE)-AVERAGE(Rankings!S2:S651))/STDEV(Rankings!S2:S651)</f>
        <v>0.26322887480631518</v>
      </c>
      <c r="M15" s="121">
        <f>(VLOOKUP($A15,Hitters!$A1:$R401,11,FALSE)-AVERAGE(Rankings!T2:T651))/STDEV(Rankings!T2:T651)</f>
        <v>0.53111510342336299</v>
      </c>
      <c r="N15" s="121">
        <f>(VLOOKUP($A15,Hitters!$A1:$R401,12,FALSE)-AVERAGE(Rankings!U2:U651))/STDEV(Rankings!U2:U651)</f>
        <v>0.28384531529355012</v>
      </c>
      <c r="O15" s="121">
        <f>(VLOOKUP($A15,Hitters!$A1:$R401,13,FALSE)-AVERAGE(Rankings!V2:V651))/STDEV(Rankings!V2:V651)</f>
        <v>-0.17556147701094724</v>
      </c>
      <c r="P15" s="121">
        <f>(VLOOKUP($A15,Hitters!$A1:$R401,14,FALSE)-AVERAGE(Rankings!W2:W651))/STDEV(Rankings!W2:W651)</f>
        <v>1.127220653126543</v>
      </c>
      <c r="Q15" s="121">
        <f>(VLOOKUP($A15,Hitters!$A1:$R401,15,FALSE)-AVERAGE(Rankings!X2:X651))/STDEV(Rankings!X2:X651)</f>
        <v>0.12018268775177013</v>
      </c>
      <c r="R15" s="121">
        <f>(VLOOKUP($A15,Hitters!$A1:$R401,16,FALSE)-AVERAGE(Rankings!Y2:Y651))/STDEV(Rankings!Y2:Y651)</f>
        <v>0.90961607038700187</v>
      </c>
      <c r="S15" s="121">
        <f>(VLOOKUP($A15,Hitters!$A1:$R401,17,FALSE)-AVERAGE(Rankings!Z2:Z651))/STDEV(Rankings!Z2:Z651)</f>
        <v>0.76544087208642364</v>
      </c>
      <c r="T15" s="121">
        <f>IFERROR((VLOOKUP($A15,Hitters!$A1:$R401,18,FALSE)-AVERAGE(Rankings!AA2:AA651))/STDEV(Rankings!AA2:AA651),0)</f>
        <v>0</v>
      </c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</row>
    <row r="16" spans="1:37" ht="18.600000000000001" customHeight="1">
      <c r="A16" s="25" t="s">
        <v>321</v>
      </c>
      <c r="B16" s="26" t="s">
        <v>77</v>
      </c>
      <c r="C16" s="120" t="s">
        <v>7</v>
      </c>
      <c r="D16" s="67">
        <f>(F16*Settings!$C$2)+(G16*Settings!$C$3)+(H16*Settings!$C$4)+(I16*Settings!$C$5)+(J16*Settings!$C$6)+(M16*Settings!$C$9)+(N16*Settings!$C$10)+(O16*Settings!$C$11)+(P16*Settings!$C$12)+(Q16*Settings!$C$13)+(T16*Settings!$C$16)+(K16*Settings!$C$7)+(L16*Settings!$C$8)+(R16*Settings!$C$14)+(S16*Settings!$C$15)</f>
        <v>2.7675147170232886</v>
      </c>
      <c r="E16" s="67"/>
      <c r="F16" s="121">
        <f>(VLOOKUP($A16,Hitters!$A1:$R401,4,FALSE)-AVERAGE(Rankings!M2:M651))/STDEV(Rankings!M2:M651)</f>
        <v>1.0507460293443469</v>
      </c>
      <c r="G16" s="121">
        <f>(VLOOKUP($A16,Hitters!$A1:$R401,5,FALSE)-AVERAGE(Rankings!N2:N651))/STDEV(Rankings!N2:N651)</f>
        <v>0.97875886925248234</v>
      </c>
      <c r="H16" s="121">
        <f>(VLOOKUP($A16,Hitters!$A1:$R401,6,FALSE)-AVERAGE(Rankings!O2:O651))/STDEV(Rankings!O2:O651)</f>
        <v>0.86920371490386816</v>
      </c>
      <c r="I16" s="121">
        <f>(VLOOKUP($A16,Hitters!$A1:$R401,7,FALSE)-AVERAGE(Rankings!P2:P651))/STDEV(Rankings!P2:P651)</f>
        <v>1.2884219281912754</v>
      </c>
      <c r="J16" s="121">
        <f>(VLOOKUP($A16,Hitters!$A1:$R401,8,FALSE)-AVERAGE(Rankings!Q2:Q651))/STDEV(Rankings!Q2:Q651)</f>
        <v>-0.91709322675196403</v>
      </c>
      <c r="K16" s="121">
        <f>(VLOOKUP($A16,Hitters!$A1:$R401,9,FALSE)-AVERAGE(Rankings!R2:R651))/STDEV(Rankings!R2:R651)</f>
        <v>0.54822343142762653</v>
      </c>
      <c r="L16" s="121">
        <f>(VLOOKUP($A16,Hitters!$A1:$R401,10,FALSE)-AVERAGE(Rankings!S2:S651))/STDEV(Rankings!S2:S651)</f>
        <v>1.3953738508101909</v>
      </c>
      <c r="M16" s="121">
        <f>(VLOOKUP($A16,Hitters!$A1:$R401,11,FALSE)-AVERAGE(Rankings!T2:T651))/STDEV(Rankings!T2:T651)</f>
        <v>1.0361010510657322</v>
      </c>
      <c r="N16" s="121">
        <f>(VLOOKUP($A16,Hitters!$A1:$R401,12,FALSE)-AVERAGE(Rankings!U2:U651))/STDEV(Rankings!U2:U651)</f>
        <v>0.78132041780589334</v>
      </c>
      <c r="O16" s="121">
        <f>(VLOOKUP($A16,Hitters!$A1:$R401,13,FALSE)-AVERAGE(Rankings!V2:V651))/STDEV(Rankings!V2:V651)</f>
        <v>0.29457426630244948</v>
      </c>
      <c r="P16" s="121">
        <f>(VLOOKUP($A16,Hitters!$A1:$R401,14,FALSE)-AVERAGE(Rankings!W2:W651))/STDEV(Rankings!W2:W651)</f>
        <v>1.7792226299522524</v>
      </c>
      <c r="Q16" s="121">
        <f>(VLOOKUP($A16,Hitters!$A1:$R401,15,FALSE)-AVERAGE(Rankings!X2:X651))/STDEV(Rankings!X2:X651)</f>
        <v>0.33461235624492169</v>
      </c>
      <c r="R16" s="121">
        <f>(VLOOKUP($A16,Hitters!$A1:$R401,16,FALSE)-AVERAGE(Rankings!Y2:Y651))/STDEV(Rankings!Y2:Y651)</f>
        <v>0.57107953172387482</v>
      </c>
      <c r="S16" s="121">
        <f>(VLOOKUP($A16,Hitters!$A1:$R401,17,FALSE)-AVERAGE(Rankings!Z2:Z651))/STDEV(Rankings!Z2:Z651)</f>
        <v>0.96341093826270918</v>
      </c>
      <c r="T16" s="121">
        <f>IFERROR((VLOOKUP($A16,Hitters!$A1:$R401,18,FALSE)-AVERAGE(Rankings!AA2:AA651))/STDEV(Rankings!AA2:AA651),0)</f>
        <v>0</v>
      </c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</row>
    <row r="17" spans="1:37" ht="18.600000000000001" customHeight="1">
      <c r="A17" s="25" t="s">
        <v>331</v>
      </c>
      <c r="B17" s="26" t="s">
        <v>116</v>
      </c>
      <c r="C17" s="120" t="s">
        <v>7</v>
      </c>
      <c r="D17" s="67">
        <f>(F17*Settings!$C$2)+(G17*Settings!$C$3)+(H17*Settings!$C$4)+(I17*Settings!$C$5)+(J17*Settings!$C$6)+(M17*Settings!$C$9)+(N17*Settings!$C$10)+(O17*Settings!$C$11)+(P17*Settings!$C$12)+(Q17*Settings!$C$13)+(T17*Settings!$C$16)+(K17*Settings!$C$7)+(L17*Settings!$C$8)+(R17*Settings!$C$14)+(S17*Settings!$C$15)</f>
        <v>2.5795292736160835</v>
      </c>
      <c r="E17" s="67"/>
      <c r="F17" s="121">
        <f>(VLOOKUP($A17,Hitters!$A1:$R401,4,FALSE)-AVERAGE(Rankings!M2:M651))/STDEV(Rankings!M2:M651)</f>
        <v>1.1238754331825138</v>
      </c>
      <c r="G17" s="121">
        <f>(VLOOKUP($A17,Hitters!$A1:$R401,5,FALSE)-AVERAGE(Rankings!N2:N651))/STDEV(Rankings!N2:N651)</f>
        <v>0.81938336314856419</v>
      </c>
      <c r="H17" s="121">
        <f>(VLOOKUP($A17,Hitters!$A1:$R401,6,FALSE)-AVERAGE(Rankings!O2:O651))/STDEV(Rankings!O2:O651)</f>
        <v>0.82743362530284192</v>
      </c>
      <c r="I17" s="121">
        <f>(VLOOKUP($A17,Hitters!$A1:$R401,7,FALSE)-AVERAGE(Rankings!P2:P651))/STDEV(Rankings!P2:P651)</f>
        <v>1.0787750369344042</v>
      </c>
      <c r="J17" s="121">
        <f>(VLOOKUP($A17,Hitters!$A1:$R401,8,FALSE)-AVERAGE(Rankings!Q2:Q651))/STDEV(Rankings!Q2:Q651)</f>
        <v>-0.7313608707749214</v>
      </c>
      <c r="K17" s="121">
        <f>(VLOOKUP($A17,Hitters!$A1:$R401,9,FALSE)-AVERAGE(Rankings!R2:R651))/STDEV(Rankings!R2:R651)</f>
        <v>0.58529811900519424</v>
      </c>
      <c r="L17" s="121">
        <f>(VLOOKUP($A17,Hitters!$A1:$R401,10,FALSE)-AVERAGE(Rankings!S2:S651))/STDEV(Rankings!S2:S651)</f>
        <v>0.12435382967587535</v>
      </c>
      <c r="M17" s="121">
        <f>(VLOOKUP($A17,Hitters!$A1:$R401,11,FALSE)-AVERAGE(Rankings!T2:T651))/STDEV(Rankings!T2:T651)</f>
        <v>1.1134412412451853</v>
      </c>
      <c r="N17" s="121">
        <f>(VLOOKUP($A17,Hitters!$A1:$R401,12,FALSE)-AVERAGE(Rankings!U2:U651))/STDEV(Rankings!U2:U651)</f>
        <v>1.372337847286365</v>
      </c>
      <c r="O17" s="121">
        <f>(VLOOKUP($A17,Hitters!$A1:$R401,13,FALSE)-AVERAGE(Rankings!V2:V651))/STDEV(Rankings!V2:V651)</f>
        <v>-0.50742200170275464</v>
      </c>
      <c r="P17" s="121">
        <f>(VLOOKUP($A17,Hitters!$A1:$R401,14,FALSE)-AVERAGE(Rankings!W2:W651))/STDEV(Rankings!W2:W651)</f>
        <v>0.33961712556500412</v>
      </c>
      <c r="Q17" s="121">
        <f>(VLOOKUP($A17,Hitters!$A1:$R401,15,FALSE)-AVERAGE(Rankings!X2:X651))/STDEV(Rankings!X2:X651)</f>
        <v>0.44377655111415309</v>
      </c>
      <c r="R17" s="121">
        <f>(VLOOKUP($A17,Hitters!$A1:$R401,16,FALSE)-AVERAGE(Rankings!Y2:Y651))/STDEV(Rankings!Y2:Y651)</f>
        <v>0.58914559054586313</v>
      </c>
      <c r="S17" s="121">
        <f>(VLOOKUP($A17,Hitters!$A1:$R401,17,FALSE)-AVERAGE(Rankings!Z2:Z651))/STDEV(Rankings!Z2:Z651)</f>
        <v>0.477655929642815</v>
      </c>
      <c r="T17" s="121">
        <f>IFERROR((VLOOKUP($A17,Hitters!$A1:$R401,18,FALSE)-AVERAGE(Rankings!AA2:AA651))/STDEV(Rankings!AA2:AA651),0)</f>
        <v>0</v>
      </c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</row>
    <row r="18" spans="1:37" ht="18.600000000000001" customHeight="1">
      <c r="A18" s="25" t="s">
        <v>343</v>
      </c>
      <c r="B18" s="26" t="s">
        <v>99</v>
      </c>
      <c r="C18" s="120" t="s">
        <v>7</v>
      </c>
      <c r="D18" s="67">
        <f>(F18*Settings!$C$2)+(G18*Settings!$C$3)+(H18*Settings!$C$4)+(I18*Settings!$C$5)+(J18*Settings!$C$6)+(M18*Settings!$C$9)+(N18*Settings!$C$10)+(O18*Settings!$C$11)+(P18*Settings!$C$12)+(Q18*Settings!$C$13)+(T18*Settings!$C$16)+(K18*Settings!$C$7)+(L18*Settings!$C$8)+(R18*Settings!$C$14)+(S18*Settings!$C$15)</f>
        <v>2.4821508628881115</v>
      </c>
      <c r="E18" s="67"/>
      <c r="F18" s="121">
        <f>(VLOOKUP($A18,Hitters!$A1:$R401,4,FALSE)-AVERAGE(Rankings!M2:M651))/STDEV(Rankings!M2:M651)</f>
        <v>0.59891078420137001</v>
      </c>
      <c r="G18" s="121">
        <f>(VLOOKUP($A18,Hitters!$A1:$R401,5,FALSE)-AVERAGE(Rankings!N2:N651))/STDEV(Rankings!N2:N651)</f>
        <v>0.58563262086281931</v>
      </c>
      <c r="H18" s="121">
        <f>(VLOOKUP($A18,Hitters!$A1:$R401,6,FALSE)-AVERAGE(Rankings!O2:O651))/STDEV(Rankings!O2:O651)</f>
        <v>1.6962514890040248</v>
      </c>
      <c r="I18" s="121">
        <f>(VLOOKUP($A18,Hitters!$A1:$R401,7,FALSE)-AVERAGE(Rankings!P2:P651))/STDEV(Rankings!P2:P651)</f>
        <v>1.232927162858575</v>
      </c>
      <c r="J18" s="121">
        <f>(VLOOKUP($A18,Hitters!$A1:$R401,8,FALSE)-AVERAGE(Rankings!Q2:Q651))/STDEV(Rankings!Q2:Q651)</f>
        <v>-0.69622231694142744</v>
      </c>
      <c r="K18" s="121">
        <f>(VLOOKUP($A18,Hitters!$A1:$R401,9,FALSE)-AVERAGE(Rankings!R2:R651))/STDEV(Rankings!R2:R651)</f>
        <v>-0.33643809289587995</v>
      </c>
      <c r="L18" s="121">
        <f>(VLOOKUP($A18,Hitters!$A1:$R401,10,FALSE)-AVERAGE(Rankings!S2:S651))/STDEV(Rankings!S2:S651)</f>
        <v>9.0745280864110489E-2</v>
      </c>
      <c r="M18" s="121">
        <f>(VLOOKUP($A18,Hitters!$A1:$R401,11,FALSE)-AVERAGE(Rankings!T2:T651))/STDEV(Rankings!T2:T651)</f>
        <v>0.39918183782308619</v>
      </c>
      <c r="N18" s="121">
        <f>(VLOOKUP($A18,Hitters!$A1:$R401,12,FALSE)-AVERAGE(Rankings!U2:U651))/STDEV(Rankings!U2:U651)</f>
        <v>0.32211263087142272</v>
      </c>
      <c r="O18" s="121">
        <f>(VLOOKUP($A18,Hitters!$A1:$R401,13,FALSE)-AVERAGE(Rankings!V2:V651))/STDEV(Rankings!V2:V651)</f>
        <v>-0.53507704542706924</v>
      </c>
      <c r="P18" s="121">
        <f>(VLOOKUP($A18,Hitters!$A1:$R401,14,FALSE)-AVERAGE(Rankings!W2:W651))/STDEV(Rankings!W2:W651)</f>
        <v>0.70369800151326156</v>
      </c>
      <c r="Q18" s="121">
        <f>(VLOOKUP($A18,Hitters!$A1:$R401,15,FALSE)-AVERAGE(Rankings!X2:X651))/STDEV(Rankings!X2:X651)</f>
        <v>0.31024534846161861</v>
      </c>
      <c r="R18" s="121">
        <f>(VLOOKUP($A18,Hitters!$A1:$R401,16,FALSE)-AVERAGE(Rankings!Y2:Y651))/STDEV(Rankings!Y2:Y651)</f>
        <v>1.3766418978048776</v>
      </c>
      <c r="S18" s="121">
        <f>(VLOOKUP($A18,Hitters!$A1:$R401,17,FALSE)-AVERAGE(Rankings!Z2:Z651))/STDEV(Rankings!Z2:Z651)</f>
        <v>1.0376890672349619</v>
      </c>
      <c r="T18" s="121">
        <f>IFERROR((VLOOKUP($A18,Hitters!$A1:$R401,18,FALSE)-AVERAGE(Rankings!AA2:AA651))/STDEV(Rankings!AA2:AA651),0)</f>
        <v>0</v>
      </c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</row>
    <row r="19" spans="1:37" ht="18.600000000000001" customHeight="1">
      <c r="A19" s="25" t="s">
        <v>342</v>
      </c>
      <c r="B19" s="26" t="s">
        <v>77</v>
      </c>
      <c r="C19" s="120" t="s">
        <v>7</v>
      </c>
      <c r="D19" s="67">
        <f>(F19*Settings!$C$2)+(G19*Settings!$C$3)+(H19*Settings!$C$4)+(I19*Settings!$C$5)+(J19*Settings!$C$6)+(M19*Settings!$C$9)+(N19*Settings!$C$10)+(O19*Settings!$C$11)+(P19*Settings!$C$12)+(Q19*Settings!$C$13)+(T19*Settings!$C$16)+(K19*Settings!$C$7)+(L19*Settings!$C$8)+(R19*Settings!$C$14)+(S19*Settings!$C$15)</f>
        <v>2.4971398808616745</v>
      </c>
      <c r="E19" s="67"/>
      <c r="F19" s="121">
        <f>(VLOOKUP($A19,Hitters!$A1:$R401,4,FALSE)-AVERAGE(Rankings!M2:M651))/STDEV(Rankings!M2:M651)</f>
        <v>0.64853430823441904</v>
      </c>
      <c r="G19" s="121">
        <f>(VLOOKUP($A19,Hitters!$A1:$R401,5,FALSE)-AVERAGE(Rankings!N2:N651))/STDEV(Rankings!N2:N651)</f>
        <v>0.32456036324497417</v>
      </c>
      <c r="H19" s="121">
        <f>(VLOOKUP($A19,Hitters!$A1:$R401,6,FALSE)-AVERAGE(Rankings!O2:O651))/STDEV(Rankings!O2:O651)</f>
        <v>0.71883139234020343</v>
      </c>
      <c r="I19" s="121">
        <f>(VLOOKUP($A19,Hitters!$A1:$R401,7,FALSE)-AVERAGE(Rankings!P2:P651))/STDEV(Rankings!P2:P651)</f>
        <v>0.94157964486189849</v>
      </c>
      <c r="J19" s="121">
        <f>(VLOOKUP($A19,Hitters!$A1:$R401,8,FALSE)-AVERAGE(Rankings!Q2:Q651))/STDEV(Rankings!Q2:Q651)</f>
        <v>-0.21432215008207361</v>
      </c>
      <c r="K19" s="121">
        <f>(VLOOKUP($A19,Hitters!$A1:$R401,9,FALSE)-AVERAGE(Rankings!R2:R651))/STDEV(Rankings!R2:R651)</f>
        <v>0.72649063049667195</v>
      </c>
      <c r="L19" s="121">
        <f>(VLOOKUP($A19,Hitters!$A1:$R401,10,FALSE)-AVERAGE(Rankings!S2:S651))/STDEV(Rankings!S2:S651)</f>
        <v>0.34906657629720506</v>
      </c>
      <c r="M19" s="121">
        <f>(VLOOKUP($A19,Hitters!$A1:$R401,11,FALSE)-AVERAGE(Rankings!T2:T651))/STDEV(Rankings!T2:T651)</f>
        <v>0.71673155985407178</v>
      </c>
      <c r="N19" s="121">
        <f>(VLOOKUP($A19,Hitters!$A1:$R401,12,FALSE)-AVERAGE(Rankings!U2:U651))/STDEV(Rankings!U2:U651)</f>
        <v>1.1087185621943496</v>
      </c>
      <c r="O19" s="121">
        <f>(VLOOKUP($A19,Hitters!$A1:$R401,13,FALSE)-AVERAGE(Rankings!V2:V651))/STDEV(Rankings!V2:V651)</f>
        <v>-0.61804217660002114</v>
      </c>
      <c r="P19" s="121">
        <f>(VLOOKUP($A19,Hitters!$A1:$R401,14,FALSE)-AVERAGE(Rankings!W2:W651))/STDEV(Rankings!W2:W651)</f>
        <v>0.17615224248618996</v>
      </c>
      <c r="Q19" s="121">
        <f>(VLOOKUP($A19,Hitters!$A1:$R401,15,FALSE)-AVERAGE(Rankings!X2:X651))/STDEV(Rankings!X2:X651)</f>
        <v>-0.29990452643254345</v>
      </c>
      <c r="R19" s="121">
        <f>(VLOOKUP($A19,Hitters!$A1:$R401,16,FALSE)-AVERAGE(Rankings!Y2:Y651))/STDEV(Rankings!Y2:Y651)</f>
        <v>0.94651840119880681</v>
      </c>
      <c r="S19" s="121">
        <f>(VLOOKUP($A19,Hitters!$A1:$R401,17,FALSE)-AVERAGE(Rankings!Z2:Z651))/STDEV(Rankings!Z2:Z651)</f>
        <v>0.82599572376423502</v>
      </c>
      <c r="T19" s="121">
        <f>IFERROR((VLOOKUP($A19,Hitters!$A1:$R401,18,FALSE)-AVERAGE(Rankings!AA2:AA651))/STDEV(Rankings!AA2:AA651),0)</f>
        <v>0</v>
      </c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</row>
    <row r="20" spans="1:37" ht="18.600000000000001" customHeight="1">
      <c r="A20" s="25" t="s">
        <v>369</v>
      </c>
      <c r="B20" s="26" t="s">
        <v>82</v>
      </c>
      <c r="C20" s="120" t="s">
        <v>7</v>
      </c>
      <c r="D20" s="67">
        <f>(F20*Settings!$C$2)+(G20*Settings!$C$3)+(H20*Settings!$C$4)+(I20*Settings!$C$5)+(J20*Settings!$C$6)+(M20*Settings!$C$9)+(N20*Settings!$C$10)+(O20*Settings!$C$11)+(P20*Settings!$C$12)+(Q20*Settings!$C$13)+(T20*Settings!$C$16)+(K20*Settings!$C$7)+(L20*Settings!$C$8)+(R20*Settings!$C$14)+(S20*Settings!$C$15)</f>
        <v>2.0070259231852563</v>
      </c>
      <c r="E20" s="67"/>
      <c r="F20" s="121">
        <f>(VLOOKUP($A20,Hitters!$A1:$R401,4,FALSE)-AVERAGE(Rankings!M2:M651))/STDEV(Rankings!M2:M651)</f>
        <v>0.771287236105626</v>
      </c>
      <c r="G20" s="121">
        <f>(VLOOKUP($A20,Hitters!$A1:$R401,5,FALSE)-AVERAGE(Rankings!N2:N651))/STDEV(Rankings!N2:N651)</f>
        <v>1.1836702342432341</v>
      </c>
      <c r="H20" s="121">
        <f>(VLOOKUP($A20,Hitters!$A1:$R401,6,FALSE)-AVERAGE(Rankings!O2:O651))/STDEV(Rankings!O2:O651)</f>
        <v>1.4748700141186251</v>
      </c>
      <c r="I20" s="121">
        <f>(VLOOKUP($A20,Hitters!$A1:$R401,7,FALSE)-AVERAGE(Rankings!P2:P651))/STDEV(Rankings!P2:P651)</f>
        <v>1.3007540982652055</v>
      </c>
      <c r="J20" s="121">
        <f>(VLOOKUP($A20,Hitters!$A1:$R401,8,FALSE)-AVERAGE(Rankings!Q2:Q651))/STDEV(Rankings!Q2:Q651)</f>
        <v>-0.66108376310793193</v>
      </c>
      <c r="K20" s="121">
        <f>(VLOOKUP($A20,Hitters!$A1:$R401,9,FALSE)-AVERAGE(Rankings!R2:R651))/STDEV(Rankings!R2:R651)</f>
        <v>-1.2911846603338764</v>
      </c>
      <c r="L20" s="121">
        <f>(VLOOKUP($A20,Hitters!$A1:$R401,10,FALSE)-AVERAGE(Rankings!S2:S651))/STDEV(Rankings!S2:S651)</f>
        <v>1.0269946418546489</v>
      </c>
      <c r="M20" s="121">
        <f>(VLOOKUP($A20,Hitters!$A1:$R401,11,FALSE)-AVERAGE(Rankings!T2:T651))/STDEV(Rankings!T2:T651)</f>
        <v>0.28908580239115511</v>
      </c>
      <c r="N20" s="121">
        <f>(VLOOKUP($A20,Hitters!$A1:$R401,12,FALSE)-AVERAGE(Rankings!U2:U651))/STDEV(Rankings!U2:U651)</f>
        <v>0.37738764226167898</v>
      </c>
      <c r="O20" s="121">
        <f>(VLOOKUP($A20,Hitters!$A1:$R401,13,FALSE)-AVERAGE(Rankings!V2:V651))/STDEV(Rankings!V2:V651)</f>
        <v>-0.50742200170275464</v>
      </c>
      <c r="P20" s="121">
        <f>(VLOOKUP($A20,Hitters!$A1:$R401,14,FALSE)-AVERAGE(Rankings!W2:W651))/STDEV(Rankings!W2:W651)</f>
        <v>2.6262679331788155</v>
      </c>
      <c r="Q20" s="121">
        <f>(VLOOKUP($A20,Hitters!$A1:$R401,15,FALSE)-AVERAGE(Rankings!X2:X651))/STDEV(Rankings!X2:X651)</f>
        <v>1.1835589074155293</v>
      </c>
      <c r="R20" s="121">
        <f>(VLOOKUP($A20,Hitters!$A1:$R401,16,FALSE)-AVERAGE(Rankings!Y2:Y651))/STDEV(Rankings!Y2:Y651)</f>
        <v>0.46522622400488861</v>
      </c>
      <c r="S20" s="121">
        <f>(VLOOKUP($A20,Hitters!$A1:$R401,17,FALSE)-AVERAGE(Rankings!Z2:Z651))/STDEV(Rankings!Z2:Z651)</f>
        <v>0.7417618512503642</v>
      </c>
      <c r="T20" s="121">
        <f>IFERROR((VLOOKUP($A20,Hitters!$A1:$R401,18,FALSE)-AVERAGE(Rankings!AA2:AA651))/STDEV(Rankings!AA2:AA651),0)</f>
        <v>0</v>
      </c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</row>
    <row r="21" spans="1:37" ht="18.600000000000001" customHeight="1">
      <c r="A21" s="25" t="s">
        <v>368</v>
      </c>
      <c r="B21" s="26" t="s">
        <v>158</v>
      </c>
      <c r="C21" s="120" t="s">
        <v>7</v>
      </c>
      <c r="D21" s="67">
        <f>(F21*Settings!$C$2)+(G21*Settings!$C$3)+(H21*Settings!$C$4)+(I21*Settings!$C$5)+(J21*Settings!$C$6)+(M21*Settings!$C$9)+(N21*Settings!$C$10)+(O21*Settings!$C$11)+(P21*Settings!$C$12)+(Q21*Settings!$C$13)+(T21*Settings!$C$16)+(K21*Settings!$C$7)+(L21*Settings!$C$8)+(R21*Settings!$C$14)+(S21*Settings!$C$15)</f>
        <v>2.0082241599102284</v>
      </c>
      <c r="E21" s="67"/>
      <c r="F21" s="121">
        <f>(VLOOKUP($A21,Hitters!$A1:$R401,4,FALSE)-AVERAGE(Rankings!M2:M651))/STDEV(Rankings!M2:M651)</f>
        <v>0.85225193321217618</v>
      </c>
      <c r="G21" s="121">
        <f>(VLOOKUP($A21,Hitters!$A1:$R401,5,FALSE)-AVERAGE(Rankings!N2:N651))/STDEV(Rankings!N2:N651)</f>
        <v>0.33973898287391724</v>
      </c>
      <c r="H21" s="121">
        <f>(VLOOKUP($A21,Hitters!$A1:$R401,6,FALSE)-AVERAGE(Rankings!O2:O651))/STDEV(Rankings!O2:O651)</f>
        <v>0.46403384577398543</v>
      </c>
      <c r="I21" s="121">
        <f>(VLOOKUP($A21,Hitters!$A1:$R401,7,FALSE)-AVERAGE(Rankings!P2:P651))/STDEV(Rankings!P2:P651)</f>
        <v>0.9693270275282484</v>
      </c>
      <c r="J21" s="121">
        <f>(VLOOKUP($A21,Hitters!$A1:$R401,8,FALSE)-AVERAGE(Rankings!Q2:Q651))/STDEV(Rankings!Q2:Q651)</f>
        <v>-0.69622231694142744</v>
      </c>
      <c r="K21" s="121">
        <f>(VLOOKUP($A21,Hitters!$A1:$R401,9,FALSE)-AVERAGE(Rankings!R2:R651))/STDEV(Rankings!R2:R651)</f>
        <v>0.93134662067550456</v>
      </c>
      <c r="L21" s="121">
        <f>(VLOOKUP($A21,Hitters!$A1:$R401,10,FALSE)-AVERAGE(Rankings!S2:S651))/STDEV(Rankings!S2:S651)</f>
        <v>1.6631845873943348E-2</v>
      </c>
      <c r="M21" s="121">
        <f>(VLOOKUP($A21,Hitters!$A1:$R401,11,FALSE)-AVERAGE(Rankings!T2:T651))/STDEV(Rankings!T2:T651)</f>
        <v>0.96058063006695449</v>
      </c>
      <c r="N21" s="121">
        <f>(VLOOKUP($A21,Hitters!$A1:$R401,12,FALSE)-AVERAGE(Rankings!U2:U651))/STDEV(Rankings!U2:U651)</f>
        <v>1.236276280787258</v>
      </c>
      <c r="O21" s="121">
        <f>(VLOOKUP($A21,Hitters!$A1:$R401,13,FALSE)-AVERAGE(Rankings!V2:V651))/STDEV(Rankings!V2:V651)</f>
        <v>-0.9222476575675117</v>
      </c>
      <c r="P21" s="121">
        <f>(VLOOKUP($A21,Hitters!$A1:$R401,14,FALSE)-AVERAGE(Rankings!W2:W651))/STDEV(Rankings!W2:W651)</f>
        <v>-0.21021929933645098</v>
      </c>
      <c r="Q21" s="121">
        <f>(VLOOKUP($A21,Hitters!$A1:$R401,15,FALSE)-AVERAGE(Rankings!X2:X651))/STDEV(Rankings!X2:X651)</f>
        <v>4.5132303779165606E-2</v>
      </c>
      <c r="R21" s="121">
        <f>(VLOOKUP($A21,Hitters!$A1:$R401,16,FALSE)-AVERAGE(Rankings!Y2:Y651))/STDEV(Rankings!Y2:Y651)</f>
        <v>0.54034685758682088</v>
      </c>
      <c r="S21" s="121">
        <f>(VLOOKUP($A21,Hitters!$A1:$R401,17,FALSE)-AVERAGE(Rankings!Z2:Z651))/STDEV(Rankings!Z2:Z651)</f>
        <v>0.3998514863527397</v>
      </c>
      <c r="T21" s="121">
        <f>IFERROR((VLOOKUP($A21,Hitters!$A1:$R401,18,FALSE)-AVERAGE(Rankings!AA2:AA651))/STDEV(Rankings!AA2:AA651),0)</f>
        <v>0</v>
      </c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</row>
    <row r="22" spans="1:37" ht="18.600000000000001" customHeight="1">
      <c r="A22" s="25" t="s">
        <v>374</v>
      </c>
      <c r="B22" s="26" t="s">
        <v>82</v>
      </c>
      <c r="C22" s="120" t="s">
        <v>7</v>
      </c>
      <c r="D22" s="67">
        <f>(F22*Settings!$C$2)+(G22*Settings!$C$3)+(H22*Settings!$C$4)+(I22*Settings!$C$5)+(J22*Settings!$C$6)+(M22*Settings!$C$9)+(N22*Settings!$C$10)+(O22*Settings!$C$11)+(P22*Settings!$C$12)+(Q22*Settings!$C$13)+(T22*Settings!$C$16)+(K22*Settings!$C$7)+(L22*Settings!$C$8)+(R22*Settings!$C$14)+(S22*Settings!$C$15)</f>
        <v>1.9523960442686847</v>
      </c>
      <c r="E22" s="67"/>
      <c r="F22" s="121">
        <f>(VLOOKUP($A22,Hitters!$A1:$R401,4,FALSE)-AVERAGE(Rankings!M2:M651))/STDEV(Rankings!M2:M651)</f>
        <v>0.49705197171249138</v>
      </c>
      <c r="G22" s="121">
        <f>(VLOOKUP($A22,Hitters!$A1:$R401,5,FALSE)-AVERAGE(Rankings!N2:N651))/STDEV(Rankings!N2:N651)</f>
        <v>0.42625711475890127</v>
      </c>
      <c r="H22" s="121">
        <f>(VLOOKUP($A22,Hitters!$A1:$R401,6,FALSE)-AVERAGE(Rankings!O2:O651))/STDEV(Rankings!O2:O651)</f>
        <v>0.15911219168655824</v>
      </c>
      <c r="I22" s="121">
        <f>(VLOOKUP($A22,Hitters!$A1:$R401,7,FALSE)-AVERAGE(Rankings!P2:P651))/STDEV(Rankings!P2:P651)</f>
        <v>0.6240262654581118</v>
      </c>
      <c r="J22" s="121">
        <f>(VLOOKUP($A22,Hitters!$A1:$R401,8,FALSE)-AVERAGE(Rankings!Q2:Q651))/STDEV(Rankings!Q2:Q651)</f>
        <v>0.26757801677727999</v>
      </c>
      <c r="K22" s="121">
        <f>(VLOOKUP($A22,Hitters!$A1:$R401,9,FALSE)-AVERAGE(Rankings!R2:R651))/STDEV(Rankings!R2:R651)</f>
        <v>0.47542245558783341</v>
      </c>
      <c r="L22" s="121">
        <f>(VLOOKUP($A22,Hitters!$A1:$R401,10,FALSE)-AVERAGE(Rankings!S2:S651))/STDEV(Rankings!S2:S651)</f>
        <v>0.39561712384803671</v>
      </c>
      <c r="M22" s="121">
        <f>(VLOOKUP($A22,Hitters!$A1:$R401,11,FALSE)-AVERAGE(Rankings!T2:T651))/STDEV(Rankings!T2:T651)</f>
        <v>0.51473718079712416</v>
      </c>
      <c r="N22" s="121">
        <f>(VLOOKUP($A22,Hitters!$A1:$R401,12,FALSE)-AVERAGE(Rankings!U2:U651))/STDEV(Rankings!U2:U651)</f>
        <v>0.84935120105544015</v>
      </c>
      <c r="O22" s="121">
        <f>(VLOOKUP($A22,Hitters!$A1:$R401,13,FALSE)-AVERAGE(Rankings!V2:V651))/STDEV(Rankings!V2:V651)</f>
        <v>0.34988435375108684</v>
      </c>
      <c r="P22" s="121">
        <f>(VLOOKUP($A22,Hitters!$A1:$R401,14,FALSE)-AVERAGE(Rankings!W2:W651))/STDEV(Rankings!W2:W651)</f>
        <v>0.3154689042010852</v>
      </c>
      <c r="Q22" s="121">
        <f>(VLOOKUP($A22,Hitters!$A1:$R401,15,FALSE)-AVERAGE(Rankings!X2:X651))/STDEV(Rankings!X2:X651)</f>
        <v>-9.6196341364047616E-2</v>
      </c>
      <c r="R22" s="121">
        <f>(VLOOKUP($A22,Hitters!$A1:$R401,16,FALSE)-AVERAGE(Rankings!Y2:Y651))/STDEV(Rankings!Y2:Y651)</f>
        <v>0.35318820402300721</v>
      </c>
      <c r="S22" s="121">
        <f>(VLOOKUP($A22,Hitters!$A1:$R401,17,FALSE)-AVERAGE(Rankings!Z2:Z651))/STDEV(Rankings!Z2:Z651)</f>
        <v>0.41237779709249156</v>
      </c>
      <c r="T22" s="121">
        <f>IFERROR((VLOOKUP($A22,Hitters!$A1:$R401,18,FALSE)-AVERAGE(Rankings!AA2:AA651))/STDEV(Rankings!AA2:AA651),0)</f>
        <v>0</v>
      </c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</row>
    <row r="23" spans="1:37" ht="18.600000000000001" customHeight="1">
      <c r="A23" s="25" t="s">
        <v>379</v>
      </c>
      <c r="B23" s="26" t="s">
        <v>225</v>
      </c>
      <c r="C23" s="120" t="s">
        <v>7</v>
      </c>
      <c r="D23" s="67">
        <f>(F23*Settings!$C$2)+(G23*Settings!$C$3)+(H23*Settings!$C$4)+(I23*Settings!$C$5)+(J23*Settings!$C$6)+(M23*Settings!$C$9)+(N23*Settings!$C$10)+(O23*Settings!$C$11)+(P23*Settings!$C$12)+(Q23*Settings!$C$13)+(T23*Settings!$C$16)+(K23*Settings!$C$7)+(L23*Settings!$C$8)+(R23*Settings!$C$14)+(S23*Settings!$C$15)</f>
        <v>1.8806590081696921</v>
      </c>
      <c r="E23" s="67"/>
      <c r="F23" s="121">
        <f>(VLOOKUP($A23,Hitters!$A1:$R401,4,FALSE)-AVERAGE(Rankings!M2:M651))/STDEV(Rankings!M2:M651)</f>
        <v>0.58324019766461943</v>
      </c>
      <c r="G23" s="121">
        <f>(VLOOKUP($A23,Hitters!$A1:$R401,5,FALSE)-AVERAGE(Rankings!N2:N651))/STDEV(Rankings!N2:N651)</f>
        <v>0.32607822520786722</v>
      </c>
      <c r="H23" s="121">
        <f>(VLOOKUP($A23,Hitters!$A1:$R401,6,FALSE)-AVERAGE(Rankings!O2:O651))/STDEV(Rankings!O2:O651)</f>
        <v>0.53086598913562244</v>
      </c>
      <c r="I23" s="121">
        <f>(VLOOKUP($A23,Hitters!$A1:$R401,7,FALSE)-AVERAGE(Rankings!P2:P651))/STDEV(Rankings!P2:P651)</f>
        <v>0.85371293308512275</v>
      </c>
      <c r="J23" s="121">
        <f>(VLOOKUP($A23,Hitters!$A1:$R401,8,FALSE)-AVERAGE(Rankings!Q2:Q651))/STDEV(Rankings!Q2:Q651)</f>
        <v>-8.8827314962449236E-2</v>
      </c>
      <c r="K23" s="121">
        <f>(VLOOKUP($A23,Hitters!$A1:$R401,9,FALSE)-AVERAGE(Rankings!R2:R651))/STDEV(Rankings!R2:R651)</f>
        <v>0.25882917570352904</v>
      </c>
      <c r="L23" s="121">
        <f>(VLOOKUP($A23,Hitters!$A1:$R401,10,FALSE)-AVERAGE(Rankings!S2:S651))/STDEV(Rankings!S2:S651)</f>
        <v>0.2964599534747121</v>
      </c>
      <c r="M23" s="121">
        <f>(VLOOKUP($A23,Hitters!$A1:$R401,11,FALSE)-AVERAGE(Rankings!T2:T651))/STDEV(Rankings!T2:T651)</f>
        <v>0.53748429555578003</v>
      </c>
      <c r="N23" s="121">
        <f>(VLOOKUP($A23,Hitters!$A1:$R401,12,FALSE)-AVERAGE(Rankings!U2:U651))/STDEV(Rankings!U2:U651)</f>
        <v>1.0576954747571865</v>
      </c>
      <c r="O23" s="121">
        <f>(VLOOKUP($A23,Hitters!$A1:$R401,13,FALSE)-AVERAGE(Rankings!V2:V651))/STDEV(Rankings!V2:V651)</f>
        <v>-0.23087156445957627</v>
      </c>
      <c r="P23" s="121">
        <f>(VLOOKUP($A23,Hitters!$A1:$R401,14,FALSE)-AVERAGE(Rankings!W2:W651))/STDEV(Rankings!W2:W651)</f>
        <v>0.44178267748925876</v>
      </c>
      <c r="Q23" s="121">
        <f>(VLOOKUP($A23,Hitters!$A1:$R401,15,FALSE)-AVERAGE(Rankings!X2:X651))/STDEV(Rankings!X2:X651)</f>
        <v>1.4613427961452952</v>
      </c>
      <c r="R23" s="121">
        <f>(VLOOKUP($A23,Hitters!$A1:$R401,16,FALSE)-AVERAGE(Rankings!Y2:Y651))/STDEV(Rankings!Y2:Y651)</f>
        <v>0.61264950487265712</v>
      </c>
      <c r="S23" s="121">
        <f>(VLOOKUP($A23,Hitters!$A1:$R401,17,FALSE)-AVERAGE(Rankings!Z2:Z651))/STDEV(Rankings!Z2:Z651)</f>
        <v>0.56232035750400899</v>
      </c>
      <c r="T23" s="121">
        <f>IFERROR((VLOOKUP($A23,Hitters!$A1:$R401,18,FALSE)-AVERAGE(Rankings!AA2:AA651))/STDEV(Rankings!AA2:AA651),0)</f>
        <v>0</v>
      </c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</row>
    <row r="24" spans="1:37" ht="18.600000000000001" customHeight="1">
      <c r="A24" s="25" t="s">
        <v>402</v>
      </c>
      <c r="B24" s="26" t="s">
        <v>309</v>
      </c>
      <c r="C24" s="120" t="s">
        <v>7</v>
      </c>
      <c r="D24" s="67">
        <f>(F24*Settings!$C$2)+(G24*Settings!$C$3)+(H24*Settings!$C$4)+(I24*Settings!$C$5)+(J24*Settings!$C$6)+(M24*Settings!$C$9)+(N24*Settings!$C$10)+(O24*Settings!$C$11)+(P24*Settings!$C$12)+(Q24*Settings!$C$13)+(T24*Settings!$C$16)+(K24*Settings!$C$7)+(L24*Settings!$C$8)+(R24*Settings!$C$14)+(S24*Settings!$C$15)</f>
        <v>1.603996572269708</v>
      </c>
      <c r="E24" s="67"/>
      <c r="F24" s="121">
        <f>(VLOOKUP($A24,Hitters!$A1:$R401,4,FALSE)-AVERAGE(Rankings!M2:M651))/STDEV(Rankings!M2:M651)</f>
        <v>0.196699063091442</v>
      </c>
      <c r="G24" s="121">
        <f>(VLOOKUP($A24,Hitters!$A1:$R401,5,FALSE)-AVERAGE(Rankings!N2:N651))/STDEV(Rankings!N2:N651)</f>
        <v>6.1970243664231359E-2</v>
      </c>
      <c r="H24" s="121">
        <f>(VLOOKUP($A24,Hitters!$A1:$R401,6,FALSE)-AVERAGE(Rankings!O2:O651))/STDEV(Rankings!O2:O651)</f>
        <v>0.58516710561694185</v>
      </c>
      <c r="I24" s="121">
        <f>(VLOOKUP($A24,Hitters!$A1:$R401,7,FALSE)-AVERAGE(Rankings!P2:P651))/STDEV(Rankings!P2:P651)</f>
        <v>0.41592089546048566</v>
      </c>
      <c r="J24" s="121">
        <f>(VLOOKUP($A24,Hitters!$A1:$R401,8,FALSE)-AVERAGE(Rankings!Q2:Q651))/STDEV(Rankings!Q2:Q651)</f>
        <v>-0.7414004575844918</v>
      </c>
      <c r="K24" s="121">
        <f>(VLOOKUP($A24,Hitters!$A1:$R401,9,FALSE)-AVERAGE(Rankings!R2:R651))/STDEV(Rankings!R2:R651)</f>
        <v>1.282338785112541</v>
      </c>
      <c r="L24" s="121">
        <f>(VLOOKUP($A24,Hitters!$A1:$R401,10,FALSE)-AVERAGE(Rankings!S2:S651))/STDEV(Rankings!S2:S651)</f>
        <v>0.34583384550175644</v>
      </c>
      <c r="M24" s="121">
        <f>(VLOOKUP($A24,Hitters!$A1:$R401,11,FALSE)-AVERAGE(Rankings!T2:T651))/STDEV(Rankings!T2:T651)</f>
        <v>0.4264783755334845</v>
      </c>
      <c r="N24" s="121">
        <f>(VLOOKUP($A24,Hitters!$A1:$R401,12,FALSE)-AVERAGE(Rankings!U2:U651))/STDEV(Rankings!U2:U651)</f>
        <v>0.41140303388645855</v>
      </c>
      <c r="O24" s="121">
        <f>(VLOOKUP($A24,Hitters!$A1:$R401,13,FALSE)-AVERAGE(Rankings!V2:V651))/STDEV(Rankings!V2:V651)</f>
        <v>-0.7563173952216079</v>
      </c>
      <c r="P24" s="121">
        <f>(VLOOKUP($A24,Hitters!$A1:$R401,14,FALSE)-AVERAGE(Rankings!W2:W651))/STDEV(Rankings!W2:W651)</f>
        <v>-0.48142240080811549</v>
      </c>
      <c r="Q24" s="121">
        <f>(VLOOKUP($A24,Hitters!$A1:$R401,15,FALSE)-AVERAGE(Rankings!X2:X651))/STDEV(Rankings!X2:X651)</f>
        <v>0.18256222767704983</v>
      </c>
      <c r="R24" s="121">
        <f>(VLOOKUP($A24,Hitters!$A1:$R401,16,FALSE)-AVERAGE(Rankings!Y2:Y651))/STDEV(Rankings!Y2:Y651)</f>
        <v>1.3223162801620776</v>
      </c>
      <c r="S24" s="121">
        <f>(VLOOKUP($A24,Hitters!$A1:$R401,17,FALSE)-AVERAGE(Rankings!Z2:Z651))/STDEV(Rankings!Z2:Z651)</f>
        <v>1.0982732864510127</v>
      </c>
      <c r="T24" s="121">
        <f>IFERROR((VLOOKUP($A24,Hitters!$A1:$R401,18,FALSE)-AVERAGE(Rankings!AA2:AA651))/STDEV(Rankings!AA2:AA651),0)</f>
        <v>0</v>
      </c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</row>
    <row r="25" spans="1:37" ht="18.600000000000001" customHeight="1">
      <c r="A25" s="25" t="s">
        <v>440</v>
      </c>
      <c r="B25" s="26" t="s">
        <v>85</v>
      </c>
      <c r="C25" s="120" t="s">
        <v>7</v>
      </c>
      <c r="D25" s="67">
        <f>(F25*Settings!$C$2)+(G25*Settings!$C$3)+(H25*Settings!$C$4)+(I25*Settings!$C$5)+(J25*Settings!$C$6)+(M25*Settings!$C$9)+(N25*Settings!$C$10)+(O25*Settings!$C$11)+(P25*Settings!$C$12)+(Q25*Settings!$C$13)+(T25*Settings!$C$16)+(K25*Settings!$C$7)+(L25*Settings!$C$8)+(R25*Settings!$C$14)+(S25*Settings!$C$15)</f>
        <v>0.81580195498821506</v>
      </c>
      <c r="E25" s="67"/>
      <c r="F25" s="121">
        <f>(VLOOKUP($A25,Hitters!$A1:$R401,4,FALSE)-AVERAGE(Rankings!M2:M651))/STDEV(Rankings!M2:M651)</f>
        <v>0.42392256787432497</v>
      </c>
      <c r="G25" s="121">
        <f>(VLOOKUP($A25,Hitters!$A1:$R401,5,FALSE)-AVERAGE(Rankings!N2:N651))/STDEV(Rankings!N2:N651)</f>
        <v>0.14848837554921571</v>
      </c>
      <c r="H25" s="121">
        <f>(VLOOKUP($A25,Hitters!$A1:$R401,6,FALSE)-AVERAGE(Rankings!O2:O651))/STDEV(Rankings!O2:O651)</f>
        <v>0.81072558946243922</v>
      </c>
      <c r="I25" s="121">
        <f>(VLOOKUP($A25,Hitters!$A1:$R401,7,FALSE)-AVERAGE(Rankings!P2:P651))/STDEV(Rankings!P2:P651)</f>
        <v>0.69185320086474689</v>
      </c>
      <c r="J25" s="121">
        <f>(VLOOKUP($A25,Hitters!$A1:$R401,8,FALSE)-AVERAGE(Rankings!Q2:Q651))/STDEV(Rankings!Q2:Q651)</f>
        <v>-0.63598479608400815</v>
      </c>
      <c r="K25" s="121">
        <f>(VLOOKUP($A25,Hitters!$A1:$R401,9,FALSE)-AVERAGE(Rankings!R2:R651))/STDEV(Rankings!R2:R651)</f>
        <v>-0.19928041480417855</v>
      </c>
      <c r="L25" s="121">
        <f>(VLOOKUP($A25,Hitters!$A1:$R401,10,FALSE)-AVERAGE(Rankings!S2:S651))/STDEV(Rankings!S2:S651)</f>
        <v>-0.53120717274662144</v>
      </c>
      <c r="M25" s="121">
        <f>(VLOOKUP($A25,Hitters!$A1:$R401,11,FALSE)-AVERAGE(Rankings!T2:T651))/STDEV(Rankings!T2:T651)</f>
        <v>0.28453637943941301</v>
      </c>
      <c r="N25" s="121">
        <f>(VLOOKUP($A25,Hitters!$A1:$R401,12,FALSE)-AVERAGE(Rankings!U2:U651))/STDEV(Rankings!U2:U651)</f>
        <v>0.37313571830858638</v>
      </c>
      <c r="O25" s="121">
        <f>(VLOOKUP($A25,Hitters!$A1:$R401,13,FALSE)-AVERAGE(Rankings!V2:V651))/STDEV(Rankings!V2:V651)</f>
        <v>-0.12025138956230989</v>
      </c>
      <c r="P25" s="121">
        <f>(VLOOKUP($A25,Hitters!$A1:$R401,14,FALSE)-AVERAGE(Rankings!W2:W651))/STDEV(Rankings!W2:W651)</f>
        <v>-0.10062352545406465</v>
      </c>
      <c r="Q25" s="121">
        <f>(VLOOKUP($A25,Hitters!$A1:$R401,15,FALSE)-AVERAGE(Rankings!X2:X651))/STDEV(Rankings!X2:X651)</f>
        <v>1.0480783441403203</v>
      </c>
      <c r="R25" s="121">
        <f>(VLOOKUP($A25,Hitters!$A1:$R401,16,FALSE)-AVERAGE(Rankings!Y2:Y651))/STDEV(Rankings!Y2:Y651)</f>
        <v>0.68203572543688018</v>
      </c>
      <c r="S25" s="121">
        <f>(VLOOKUP($A25,Hitters!$A1:$R401,17,FALSE)-AVERAGE(Rankings!Z2:Z651))/STDEV(Rankings!Z2:Z651)</f>
        <v>0.28794823972417138</v>
      </c>
      <c r="T25" s="121">
        <f>IFERROR((VLOOKUP($A25,Hitters!$A1:$R401,18,FALSE)-AVERAGE(Rankings!AA2:AA651))/STDEV(Rankings!AA2:AA651),0)</f>
        <v>0</v>
      </c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</row>
    <row r="26" spans="1:37" ht="18.600000000000001" customHeight="1">
      <c r="A26" s="25" t="s">
        <v>478</v>
      </c>
      <c r="B26" s="26" t="s">
        <v>105</v>
      </c>
      <c r="C26" s="120" t="s">
        <v>7</v>
      </c>
      <c r="D26" s="67">
        <f>(F26*Settings!$C$2)+(G26*Settings!$C$3)+(H26*Settings!$C$4)+(I26*Settings!$C$5)+(J26*Settings!$C$6)+(M26*Settings!$C$9)+(N26*Settings!$C$10)+(O26*Settings!$C$11)+(P26*Settings!$C$12)+(Q26*Settings!$C$13)+(T26*Settings!$C$16)+(K26*Settings!$C$7)+(L26*Settings!$C$8)+(R26*Settings!$C$14)+(S26*Settings!$C$15)</f>
        <v>0.38921578415693964</v>
      </c>
      <c r="E26" s="67"/>
      <c r="F26" s="121">
        <f>(VLOOKUP($A26,Hitters!$A1:$R401,4,FALSE)-AVERAGE(Rankings!M2:M651))/STDEV(Rankings!M2:M651)</f>
        <v>0.20975788520540362</v>
      </c>
      <c r="G26" s="121">
        <f>(VLOOKUP($A26,Hitters!$A1:$R401,5,FALSE)-AVERAGE(Rankings!N2:N651))/STDEV(Rankings!N2:N651)</f>
        <v>0.2714351945436666</v>
      </c>
      <c r="H26" s="121">
        <f>(VLOOKUP($A26,Hitters!$A1:$R401,6,FALSE)-AVERAGE(Rankings!O2:O651))/STDEV(Rankings!O2:O651)</f>
        <v>0.52251197121541493</v>
      </c>
      <c r="I26" s="121">
        <f>(VLOOKUP($A26,Hitters!$A1:$R401,7,FALSE)-AVERAGE(Rankings!P2:P651))/STDEV(Rankings!P2:P651)</f>
        <v>0.47604022457091116</v>
      </c>
      <c r="J26" s="121">
        <f>(VLOOKUP($A26,Hitters!$A1:$R401,8,FALSE)-AVERAGE(Rankings!Q2:Q651))/STDEV(Rankings!Q2:Q651)</f>
        <v>-0.49543058075002899</v>
      </c>
      <c r="K26" s="121">
        <f>(VLOOKUP($A26,Hitters!$A1:$R401,9,FALSE)-AVERAGE(Rankings!R2:R651))/STDEV(Rankings!R2:R651)</f>
        <v>-0.38534102542302412</v>
      </c>
      <c r="L26" s="121">
        <f>(VLOOKUP($A26,Hitters!$A1:$R401,10,FALSE)-AVERAGE(Rankings!S2:S651))/STDEV(Rankings!S2:S651)</f>
        <v>1.2740542109326072</v>
      </c>
      <c r="M26" s="121">
        <f>(VLOOKUP($A26,Hitters!$A1:$R401,11,FALSE)-AVERAGE(Rankings!T2:T651))/STDEV(Rankings!T2:T651)</f>
        <v>5.8885001033463349E-2</v>
      </c>
      <c r="N26" s="121">
        <f>(VLOOKUP($A26,Hitters!$A1:$R401,12,FALSE)-AVERAGE(Rankings!U2:U651))/STDEV(Rankings!U2:U651)</f>
        <v>0.19880683623160689</v>
      </c>
      <c r="O26" s="121">
        <f>(VLOOKUP($A26,Hitters!$A1:$R401,13,FALSE)-AVERAGE(Rankings!V2:V651))/STDEV(Rankings!V2:V651)</f>
        <v>1.8023829059279399E-2</v>
      </c>
      <c r="P26" s="121">
        <f>(VLOOKUP($A26,Hitters!$A1:$R401,14,FALSE)-AVERAGE(Rankings!W2:W651))/STDEV(Rankings!W2:W651)</f>
        <v>1.5284526388654411</v>
      </c>
      <c r="Q26" s="121">
        <f>(VLOOKUP($A26,Hitters!$A1:$R401,15,FALSE)-AVERAGE(Rankings!X2:X651))/STDEV(Rankings!X2:X651)</f>
        <v>0.57633307345539453</v>
      </c>
      <c r="R26" s="121">
        <f>(VLOOKUP($A26,Hitters!$A1:$R401,16,FALSE)-AVERAGE(Rankings!Y2:Y651))/STDEV(Rankings!Y2:Y651)</f>
        <v>0.45920998310098526</v>
      </c>
      <c r="S26" s="121">
        <f>(VLOOKUP($A26,Hitters!$A1:$R401,17,FALSE)-AVERAGE(Rankings!Z2:Z651))/STDEV(Rankings!Z2:Z651)</f>
        <v>0.83435930761156074</v>
      </c>
      <c r="T26" s="121">
        <f>IFERROR((VLOOKUP($A26,Hitters!$A1:$R401,18,FALSE)-AVERAGE(Rankings!AA2:AA651))/STDEV(Rankings!AA2:AA651),0)</f>
        <v>0</v>
      </c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</row>
    <row r="27" spans="1:37" ht="18.600000000000001" customHeight="1">
      <c r="A27" s="25" t="s">
        <v>490</v>
      </c>
      <c r="B27" s="26" t="s">
        <v>160</v>
      </c>
      <c r="C27" s="120" t="s">
        <v>7</v>
      </c>
      <c r="D27" s="67">
        <f>(F27*Settings!$C$2)+(G27*Settings!$C$3)+(H27*Settings!$C$4)+(I27*Settings!$C$5)+(J27*Settings!$C$6)+(M27*Settings!$C$9)+(N27*Settings!$C$10)+(O27*Settings!$C$11)+(P27*Settings!$C$12)+(Q27*Settings!$C$13)+(T27*Settings!$C$16)+(K27*Settings!$C$7)+(L27*Settings!$C$8)+(R27*Settings!$C$14)+(S27*Settings!$C$15)</f>
        <v>0.24146090536835443</v>
      </c>
      <c r="E27" s="67"/>
      <c r="F27" s="121">
        <f>(VLOOKUP($A27,Hitters!$A1:$R401,4,FALSE)-AVERAGE(Rankings!M2:M651))/STDEV(Rankings!M2:M651)</f>
        <v>0.46832256306178771</v>
      </c>
      <c r="G27" s="121">
        <f>(VLOOKUP($A27,Hitters!$A1:$R401,5,FALSE)-AVERAGE(Rankings!N2:N651))/STDEV(Rankings!N2:N651)</f>
        <v>0.22741719761972595</v>
      </c>
      <c r="H27" s="121">
        <f>(VLOOKUP($A27,Hitters!$A1:$R401,6,FALSE)-AVERAGE(Rankings!O2:O651))/STDEV(Rankings!O2:O651)</f>
        <v>0.35125460385123702</v>
      </c>
      <c r="I27" s="121">
        <f>(VLOOKUP($A27,Hitters!$A1:$R401,7,FALSE)-AVERAGE(Rankings!P2:P651))/STDEV(Rankings!P2:P651)</f>
        <v>0.35271852383157565</v>
      </c>
      <c r="J27" s="121">
        <f>(VLOOKUP($A27,Hitters!$A1:$R401,8,FALSE)-AVERAGE(Rankings!Q2:Q651))/STDEV(Rankings!Q2:Q651)</f>
        <v>-0.87191508610889945</v>
      </c>
      <c r="K27" s="121">
        <f>(VLOOKUP($A27,Hitters!$A1:$R401,9,FALSE)-AVERAGE(Rankings!R2:R651))/STDEV(Rankings!R2:R651)</f>
        <v>0.18198566617471526</v>
      </c>
      <c r="L27" s="121">
        <f>(VLOOKUP($A27,Hitters!$A1:$R401,10,FALSE)-AVERAGE(Rankings!S2:S651))/STDEV(Rankings!S2:S651)</f>
        <v>0.26050784394729576</v>
      </c>
      <c r="M27" s="121">
        <f>(VLOOKUP($A27,Hitters!$A1:$R401,11,FALSE)-AVERAGE(Rankings!T2:T651))/STDEV(Rankings!T2:T651)</f>
        <v>0.41646964503968981</v>
      </c>
      <c r="N27" s="121">
        <f>(VLOOKUP($A27,Hitters!$A1:$R401,12,FALSE)-AVERAGE(Rankings!U2:U651))/STDEV(Rankings!U2:U651)</f>
        <v>0.39864726202716799</v>
      </c>
      <c r="O27" s="121">
        <f>(VLOOKUP($A27,Hitters!$A1:$R401,13,FALSE)-AVERAGE(Rankings!V2:V651))/STDEV(Rankings!V2:V651)</f>
        <v>-0.53507704542706924</v>
      </c>
      <c r="P27" s="121">
        <f>(VLOOKUP($A27,Hitters!$A1:$R401,14,FALSE)-AVERAGE(Rankings!W2:W651))/STDEV(Rankings!W2:W651)</f>
        <v>0.38419845731377045</v>
      </c>
      <c r="Q27" s="121">
        <f>(VLOOKUP($A27,Hitters!$A1:$R401,15,FALSE)-AVERAGE(Rankings!X2:X651))/STDEV(Rankings!X2:X651)</f>
        <v>0.59192795843670465</v>
      </c>
      <c r="R27" s="121">
        <f>(VLOOKUP($A27,Hitters!$A1:$R401,16,FALSE)-AVERAGE(Rankings!Y2:Y651))/STDEV(Rankings!Y2:Y651)</f>
        <v>0.19481717351023023</v>
      </c>
      <c r="S27" s="121">
        <f>(VLOOKUP($A27,Hitters!$A1:$R401,17,FALSE)-AVERAGE(Rankings!Z2:Z651))/STDEV(Rankings!Z2:Z651)</f>
        <v>0.24406458042050111</v>
      </c>
      <c r="T27" s="121">
        <f>IFERROR((VLOOKUP($A27,Hitters!$A1:$R401,18,FALSE)-AVERAGE(Rankings!AA2:AA651))/STDEV(Rankings!AA2:AA651),0)</f>
        <v>0</v>
      </c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</row>
    <row r="28" spans="1:37" ht="18.600000000000001" customHeight="1">
      <c r="A28" s="25" t="s">
        <v>495</v>
      </c>
      <c r="B28" s="26" t="s">
        <v>219</v>
      </c>
      <c r="C28" s="120" t="s">
        <v>7</v>
      </c>
      <c r="D28" s="67">
        <f>(F28*Settings!$C$2)+(G28*Settings!$C$3)+(H28*Settings!$C$4)+(I28*Settings!$C$5)+(J28*Settings!$C$6)+(M28*Settings!$C$9)+(N28*Settings!$C$10)+(O28*Settings!$C$11)+(P28*Settings!$C$12)+(Q28*Settings!$C$13)+(T28*Settings!$C$16)+(K28*Settings!$C$7)+(L28*Settings!$C$8)+(R28*Settings!$C$14)+(S28*Settings!$C$15)</f>
        <v>0.1790524989311521</v>
      </c>
      <c r="E28" s="67"/>
      <c r="F28" s="121">
        <f>(VLOOKUP($A28,Hitters!$A1:$R401,4,FALSE)-AVERAGE(Rankings!M2:M651))/STDEV(Rankings!M2:M651)</f>
        <v>0.43698138998828656</v>
      </c>
      <c r="G28" s="121">
        <f>(VLOOKUP($A28,Hitters!$A1:$R401,5,FALSE)-AVERAGE(Rankings!N2:N651))/STDEV(Rankings!N2:N651)</f>
        <v>0.30634601969024072</v>
      </c>
      <c r="H28" s="121">
        <f>(VLOOKUP($A28,Hitters!$A1:$R401,6,FALSE)-AVERAGE(Rankings!O2:O651))/STDEV(Rankings!O2:O651)</f>
        <v>0.34707759489113904</v>
      </c>
      <c r="I28" s="121">
        <f>(VLOOKUP($A28,Hitters!$A1:$R401,7,FALSE)-AVERAGE(Rankings!P2:P651))/STDEV(Rankings!P2:P651)</f>
        <v>0.38354894901641068</v>
      </c>
      <c r="J28" s="121">
        <f>(VLOOKUP($A28,Hitters!$A1:$R401,8,FALSE)-AVERAGE(Rankings!Q2:Q651))/STDEV(Rankings!Q2:Q651)</f>
        <v>-0.8066577718466954</v>
      </c>
      <c r="K28" s="121">
        <f>(VLOOKUP($A28,Hitters!$A1:$R401,9,FALSE)-AVERAGE(Rankings!R2:R651))/STDEV(Rankings!R2:R651)</f>
        <v>-5.1262292819942941E-2</v>
      </c>
      <c r="L28" s="121">
        <f>(VLOOKUP($A28,Hitters!$A1:$R401,10,FALSE)-AVERAGE(Rankings!S2:S651))/STDEV(Rankings!S2:S651)</f>
        <v>8.5455974992276473E-2</v>
      </c>
      <c r="M28" s="121">
        <f>(VLOOKUP($A28,Hitters!$A1:$R401,11,FALSE)-AVERAGE(Rankings!T2:T651))/STDEV(Rankings!T2:T651)</f>
        <v>0.33185037813745505</v>
      </c>
      <c r="N28" s="121">
        <f>(VLOOKUP($A28,Hitters!$A1:$R401,12,FALSE)-AVERAGE(Rankings!U2:U651))/STDEV(Rankings!U2:U651)</f>
        <v>0.21156260809089791</v>
      </c>
      <c r="O28" s="121">
        <f>(VLOOKUP($A28,Hitters!$A1:$R401,13,FALSE)-AVERAGE(Rankings!V2:V651))/STDEV(Rankings!V2:V651)</f>
        <v>-0.47976695797843194</v>
      </c>
      <c r="P28" s="121">
        <f>(VLOOKUP($A28,Hitters!$A1:$R401,14,FALSE)-AVERAGE(Rankings!W2:W651))/STDEV(Rankings!W2:W651)</f>
        <v>0.36748045790798317</v>
      </c>
      <c r="Q28" s="121">
        <f>(VLOOKUP($A28,Hitters!$A1:$R401,15,FALSE)-AVERAGE(Rankings!X2:X651))/STDEV(Rankings!X2:X651)</f>
        <v>-0.40809404099045227</v>
      </c>
      <c r="R28" s="121">
        <f>(VLOOKUP($A28,Hitters!$A1:$R401,16,FALSE)-AVERAGE(Rankings!Y2:Y651))/STDEV(Rankings!Y2:Y651)</f>
        <v>4.7895903613731521E-2</v>
      </c>
      <c r="S28" s="121">
        <f>(VLOOKUP($A28,Hitters!$A1:$R401,17,FALSE)-AVERAGE(Rankings!Z2:Z651))/STDEV(Rankings!Z2:Z651)</f>
        <v>6.8407330536884012E-2</v>
      </c>
      <c r="T28" s="121">
        <f>IFERROR((VLOOKUP($A28,Hitters!$A1:$R401,18,FALSE)-AVERAGE(Rankings!AA2:AA651))/STDEV(Rankings!AA2:AA651),0)</f>
        <v>0</v>
      </c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</row>
    <row r="29" spans="1:37" ht="18.600000000000001" customHeight="1">
      <c r="A29" s="25" t="s">
        <v>473</v>
      </c>
      <c r="B29" s="26" t="s">
        <v>142</v>
      </c>
      <c r="C29" s="120" t="s">
        <v>7</v>
      </c>
      <c r="D29" s="67">
        <f>(F29*Settings!$C$2)+(G29*Settings!$C$3)+(H29*Settings!$C$4)+(I29*Settings!$C$5)+(J29*Settings!$C$6)+(M29*Settings!$C$9)+(N29*Settings!$C$10)+(O29*Settings!$C$11)+(P29*Settings!$C$12)+(Q29*Settings!$C$13)+(T29*Settings!$C$16)+(K29*Settings!$C$7)+(L29*Settings!$C$8)+(R29*Settings!$C$14)+(S29*Settings!$C$15)</f>
        <v>0.42765827950136359</v>
      </c>
      <c r="E29" s="67"/>
      <c r="F29" s="121">
        <f>(VLOOKUP($A29,Hitters!$A1:$R401,4,FALSE)-AVERAGE(Rankings!M2:M651))/STDEV(Rankings!M2:M651)</f>
        <v>0.29072258231194531</v>
      </c>
      <c r="G29" s="121">
        <f>(VLOOKUP($A29,Hitters!$A1:$R401,5,FALSE)-AVERAGE(Rankings!N2:N651))/STDEV(Rankings!N2:N651)</f>
        <v>2.098797066608106E-2</v>
      </c>
      <c r="H29" s="121">
        <f>(VLOOKUP($A29,Hitters!$A1:$R401,6,FALSE)-AVERAGE(Rankings!O2:O651))/STDEV(Rankings!O2:O651)</f>
        <v>0.79819456258213362</v>
      </c>
      <c r="I29" s="121">
        <f>(VLOOKUP($A29,Hitters!$A1:$R401,7,FALSE)-AVERAGE(Rankings!P2:P651))/STDEV(Rankings!P2:P651)</f>
        <v>0.41592089546048566</v>
      </c>
      <c r="J29" s="121">
        <f>(VLOOKUP($A29,Hitters!$A1:$R401,8,FALSE)-AVERAGE(Rankings!Q2:Q651))/STDEV(Rankings!Q2:Q651)</f>
        <v>0.17722173549115122</v>
      </c>
      <c r="K29" s="121">
        <f>(VLOOKUP($A29,Hitters!$A1:$R401,9,FALSE)-AVERAGE(Rankings!R2:R651))/STDEV(Rankings!R2:R651)</f>
        <v>-0.98466688469848795</v>
      </c>
      <c r="L29" s="121">
        <f>(VLOOKUP($A29,Hitters!$A1:$R401,10,FALSE)-AVERAGE(Rankings!S2:S651))/STDEV(Rankings!S2:S651)</f>
        <v>-0.81164950864482821</v>
      </c>
      <c r="M29" s="121">
        <f>(VLOOKUP($A29,Hitters!$A1:$R401,11,FALSE)-AVERAGE(Rankings!T2:T651))/STDEV(Rankings!T2:T651)</f>
        <v>-1.2995881603921112E-2</v>
      </c>
      <c r="N29" s="121">
        <f>(VLOOKUP($A29,Hitters!$A1:$R401,12,FALSE)-AVERAGE(Rankings!U2:U651))/STDEV(Rankings!U2:U651)</f>
        <v>0.34762417459000433</v>
      </c>
      <c r="O29" s="121">
        <f>(VLOOKUP($A29,Hitters!$A1:$R401,13,FALSE)-AVERAGE(Rankings!V2:V651))/STDEV(Rankings!V2:V651)</f>
        <v>0.32222931002676414</v>
      </c>
      <c r="P29" s="121">
        <f>(VLOOKUP($A29,Hitters!$A1:$R401,14,FALSE)-AVERAGE(Rankings!W2:W651))/STDEV(Rankings!W2:W651)</f>
        <v>0.11299535584210615</v>
      </c>
      <c r="Q29" s="121">
        <f>(VLOOKUP($A29,Hitters!$A1:$R401,15,FALSE)-AVERAGE(Rankings!X2:X651))/STDEV(Rankings!X2:X651)</f>
        <v>0.9145471414877564</v>
      </c>
      <c r="R29" s="121">
        <f>(VLOOKUP($A29,Hitters!$A1:$R401,16,FALSE)-AVERAGE(Rankings!Y2:Y651))/STDEV(Rankings!Y2:Y651)</f>
        <v>0.53292966002086417</v>
      </c>
      <c r="S29" s="121">
        <f>(VLOOKUP($A29,Hitters!$A1:$R401,17,FALSE)-AVERAGE(Rankings!Z2:Z651))/STDEV(Rankings!Z2:Z651)</f>
        <v>6.9332405336356387E-2</v>
      </c>
      <c r="T29" s="121">
        <f>IFERROR((VLOOKUP($A29,Hitters!$A1:$R401,18,FALSE)-AVERAGE(Rankings!AA2:AA651))/STDEV(Rankings!AA2:AA651),0)</f>
        <v>0</v>
      </c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</row>
    <row r="30" spans="1:37" ht="18.600000000000001" customHeight="1">
      <c r="A30" s="25" t="s">
        <v>505</v>
      </c>
      <c r="B30" s="26" t="s">
        <v>136</v>
      </c>
      <c r="C30" s="120" t="s">
        <v>7</v>
      </c>
      <c r="D30" s="67">
        <f>(F30*Settings!$C$2)+(G30*Settings!$C$3)+(H30*Settings!$C$4)+(I30*Settings!$C$5)+(J30*Settings!$C$6)+(M30*Settings!$C$9)+(N30*Settings!$C$10)+(O30*Settings!$C$11)+(P30*Settings!$C$12)+(Q30*Settings!$C$13)+(T30*Settings!$C$16)+(K30*Settings!$C$7)+(L30*Settings!$C$8)+(R30*Settings!$C$14)+(S30*Settings!$C$15)</f>
        <v>5.0388368018756347E-2</v>
      </c>
      <c r="E30" s="67"/>
      <c r="F30" s="121">
        <f>(VLOOKUP($A30,Hitters!$A1:$R401,4,FALSE)-AVERAGE(Rankings!M2:M651))/STDEV(Rankings!M2:M651)</f>
        <v>0.42392256787432497</v>
      </c>
      <c r="G30" s="121">
        <f>(VLOOKUP($A30,Hitters!$A1:$R401,5,FALSE)-AVERAGE(Rankings!N2:N651))/STDEV(Rankings!N2:N651)</f>
        <v>2.2505832628974137E-2</v>
      </c>
      <c r="H30" s="121">
        <f>(VLOOKUP($A30,Hitters!$A1:$R401,6,FALSE)-AVERAGE(Rankings!O2:O651))/STDEV(Rankings!O2:O651)</f>
        <v>-0.12910142656046603</v>
      </c>
      <c r="I30" s="121">
        <f>(VLOOKUP($A30,Hitters!$A1:$R401,7,FALSE)-AVERAGE(Rankings!P2:P651))/STDEV(Rankings!P2:P651)</f>
        <v>0.37892438523868555</v>
      </c>
      <c r="J30" s="121">
        <f>(VLOOKUP($A30,Hitters!$A1:$R401,8,FALSE)-AVERAGE(Rankings!Q2:Q651))/STDEV(Rankings!Q2:Q651)</f>
        <v>-0.85685570589454474</v>
      </c>
      <c r="K30" s="121">
        <f>(VLOOKUP($A30,Hitters!$A1:$R401,9,FALSE)-AVERAGE(Rankings!R2:R651))/STDEV(Rankings!R2:R651)</f>
        <v>0.63491528260610741</v>
      </c>
      <c r="L30" s="121">
        <f>(VLOOKUP($A30,Hitters!$A1:$R401,10,FALSE)-AVERAGE(Rankings!S2:S651))/STDEV(Rankings!S2:S651)</f>
        <v>0.72004995790443815</v>
      </c>
      <c r="M30" s="121">
        <f>(VLOOKUP($A30,Hitters!$A1:$R401,11,FALSE)-AVERAGE(Rankings!T2:T651))/STDEV(Rankings!T2:T651)</f>
        <v>0.4874406430867258</v>
      </c>
      <c r="N30" s="121">
        <f>(VLOOKUP($A30,Hitters!$A1:$R401,12,FALSE)-AVERAGE(Rankings!U2:U651))/STDEV(Rankings!U2:U651)</f>
        <v>0.83659542919614915</v>
      </c>
      <c r="O30" s="121">
        <f>(VLOOKUP($A30,Hitters!$A1:$R401,13,FALSE)-AVERAGE(Rankings!V2:V651))/STDEV(Rankings!V2:V651)</f>
        <v>0.1562990476808602</v>
      </c>
      <c r="P30" s="121">
        <f>(VLOOKUP($A30,Hitters!$A1:$R401,14,FALSE)-AVERAGE(Rankings!W2:W651))/STDEV(Rankings!W2:W651)</f>
        <v>0.45664312140551622</v>
      </c>
      <c r="Q30" s="121">
        <f>(VLOOKUP($A30,Hitters!$A1:$R401,15,FALSE)-AVERAGE(Rankings!X2:X651))/STDEV(Rankings!X2:X651)</f>
        <v>0.91162310055375861</v>
      </c>
      <c r="R30" s="121">
        <f>(VLOOKUP($A30,Hitters!$A1:$R401,16,FALSE)-AVERAGE(Rankings!Y2:Y651))/STDEV(Rankings!Y2:Y651)</f>
        <v>0.12222353122431889</v>
      </c>
      <c r="S30" s="121">
        <f>(VLOOKUP($A30,Hitters!$A1:$R401,17,FALSE)-AVERAGE(Rankings!Z2:Z651))/STDEV(Rankings!Z2:Z651)</f>
        <v>0.37160420659538235</v>
      </c>
      <c r="T30" s="121">
        <f>IFERROR((VLOOKUP($A30,Hitters!$A1:$R401,18,FALSE)-AVERAGE(Rankings!AA2:AA651))/STDEV(Rankings!AA2:AA651),0)</f>
        <v>0</v>
      </c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</row>
    <row r="31" spans="1:37" ht="18.600000000000001" customHeight="1">
      <c r="A31" s="25" t="s">
        <v>525</v>
      </c>
      <c r="B31" s="26" t="s">
        <v>103</v>
      </c>
      <c r="C31" s="120" t="s">
        <v>7</v>
      </c>
      <c r="D31" s="67">
        <f>(F31*Settings!$C$2)+(G31*Settings!$C$3)+(H31*Settings!$C$4)+(I31*Settings!$C$5)+(J31*Settings!$C$6)+(M31*Settings!$C$9)+(N31*Settings!$C$10)+(O31*Settings!$C$11)+(P31*Settings!$C$12)+(Q31*Settings!$C$13)+(T31*Settings!$C$16)+(K31*Settings!$C$7)+(L31*Settings!$C$8)+(R31*Settings!$C$14)+(S31*Settings!$C$15)</f>
        <v>-0.18983321856908131</v>
      </c>
      <c r="E31" s="67"/>
      <c r="F31" s="121">
        <f>(VLOOKUP($A31,Hitters!$A1:$R401,4,FALSE)-AVERAGE(Rankings!M2:M651))/STDEV(Rankings!M2:M651)</f>
        <v>9.875789723675106E-2</v>
      </c>
      <c r="G31" s="121">
        <f>(VLOOKUP($A31,Hitters!$A1:$R401,5,FALSE)-AVERAGE(Rankings!N2:N651))/STDEV(Rankings!N2:N651)</f>
        <v>0.18719385560302412</v>
      </c>
      <c r="H31" s="121">
        <f>(VLOOKUP($A31,Hitters!$A1:$R401,6,FALSE)-AVERAGE(Rankings!O2:O651))/STDEV(Rankings!O2:O651)</f>
        <v>0.52251197121541493</v>
      </c>
      <c r="I31" s="121">
        <f>(VLOOKUP($A31,Hitters!$A1:$R401,7,FALSE)-AVERAGE(Rankings!P2:P651))/STDEV(Rankings!P2:P651)</f>
        <v>0.32111733801712278</v>
      </c>
      <c r="J31" s="121">
        <f>(VLOOKUP($A31,Hitters!$A1:$R401,8,FALSE)-AVERAGE(Rankings!Q2:Q651))/STDEV(Rankings!Q2:Q651)</f>
        <v>-0.69371242023903434</v>
      </c>
      <c r="K31" s="121">
        <f>(VLOOKUP($A31,Hitters!$A1:$R401,9,FALSE)-AVERAGE(Rankings!R2:R651))/STDEV(Rankings!R2:R651)</f>
        <v>-0.52694396316560888</v>
      </c>
      <c r="L31" s="121">
        <f>(VLOOKUP($A31,Hitters!$A1:$R401,10,FALSE)-AVERAGE(Rankings!S2:S651))/STDEV(Rankings!S2:S651)</f>
        <v>0.47900298509913669</v>
      </c>
      <c r="M31" s="121">
        <f>(VLOOKUP($A31,Hitters!$A1:$R401,11,FALSE)-AVERAGE(Rankings!T2:T651))/STDEV(Rankings!T2:T651)</f>
        <v>-6.5769187844023538E-2</v>
      </c>
      <c r="N31" s="121">
        <f>(VLOOKUP($A31,Hitters!$A1:$R401,12,FALSE)-AVERAGE(Rankings!U2:U651))/STDEV(Rankings!U2:U651)</f>
        <v>-5.2855135170463453E-3</v>
      </c>
      <c r="O31" s="121">
        <f>(VLOOKUP($A31,Hitters!$A1:$R401,13,FALSE)-AVERAGE(Rankings!V2:V651))/STDEV(Rankings!V2:V651)</f>
        <v>-0.45211191425411734</v>
      </c>
      <c r="P31" s="121">
        <f>(VLOOKUP($A31,Hitters!$A1:$R401,14,FALSE)-AVERAGE(Rankings!W2:W651))/STDEV(Rankings!W2:W651)</f>
        <v>0.78171533207360322</v>
      </c>
      <c r="Q31" s="121">
        <f>(VLOOKUP($A31,Hitters!$A1:$R401,15,FALSE)-AVERAGE(Rankings!X2:X651))/STDEV(Rankings!X2:X651)</f>
        <v>-0.48411910527438801</v>
      </c>
      <c r="R31" s="121">
        <f>(VLOOKUP($A31,Hitters!$A1:$R401,16,FALSE)-AVERAGE(Rankings!Y2:Y651))/STDEV(Rankings!Y2:Y651)</f>
        <v>0.39455721819136119</v>
      </c>
      <c r="S31" s="121">
        <f>(VLOOKUP($A31,Hitters!$A1:$R401,17,FALSE)-AVERAGE(Rankings!Z2:Z651))/STDEV(Rankings!Z2:Z651)</f>
        <v>0.47522158040211648</v>
      </c>
      <c r="T31" s="121">
        <f>IFERROR((VLOOKUP($A31,Hitters!$A1:$R401,18,FALSE)-AVERAGE(Rankings!AA2:AA651))/STDEV(Rankings!AA2:AA651),0)</f>
        <v>0</v>
      </c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</row>
    <row r="32" spans="1:37" ht="18.600000000000001" customHeight="1">
      <c r="A32" s="25" t="s">
        <v>513</v>
      </c>
      <c r="B32" s="26" t="s">
        <v>160</v>
      </c>
      <c r="C32" s="120" t="s">
        <v>7</v>
      </c>
      <c r="D32" s="67">
        <f>(F32*Settings!$C$2)+(G32*Settings!$C$3)+(H32*Settings!$C$4)+(I32*Settings!$C$5)+(J32*Settings!$C$6)+(M32*Settings!$C$9)+(N32*Settings!$C$10)+(O32*Settings!$C$11)+(P32*Settings!$C$12)+(Q32*Settings!$C$13)+(T32*Settings!$C$16)+(K32*Settings!$C$7)+(L32*Settings!$C$8)+(R32*Settings!$C$14)+(S32*Settings!$C$15)</f>
        <v>-8.7715842741179273E-2</v>
      </c>
      <c r="E32" s="67"/>
      <c r="F32" s="121">
        <f>(VLOOKUP($A32,Hitters!$A1:$R401,4,FALSE)-AVERAGE(Rankings!M2:M651))/STDEV(Rankings!M2:M651)</f>
        <v>4.7828490992311776E-2</v>
      </c>
      <c r="G32" s="121">
        <f>(VLOOKUP($A32,Hitters!$A1:$R401,5,FALSE)-AVERAGE(Rankings!N2:N651))/STDEV(Rankings!N2:N651)</f>
        <v>-0.33115600472543161</v>
      </c>
      <c r="H32" s="121">
        <f>(VLOOKUP($A32,Hitters!$A1:$R401,6,FALSE)-AVERAGE(Rankings!O2:O651))/STDEV(Rankings!O2:O651)</f>
        <v>-0.38389897312667159</v>
      </c>
      <c r="I32" s="121">
        <f>(VLOOKUP($A32,Hitters!$A1:$R401,7,FALSE)-AVERAGE(Rankings!P2:P651))/STDEV(Rankings!P2:P651)</f>
        <v>-9.5389720902164625E-3</v>
      </c>
      <c r="J32" s="121">
        <f>(VLOOKUP($A32,Hitters!$A1:$R401,8,FALSE)-AVERAGE(Rankings!Q2:Q651))/STDEV(Rankings!Q2:Q651)</f>
        <v>-0.52052954777395422</v>
      </c>
      <c r="K32" s="121">
        <f>(VLOOKUP($A32,Hitters!$A1:$R401,9,FALSE)-AVERAGE(Rankings!R2:R651))/STDEV(Rankings!R2:R651)</f>
        <v>1.1574076549750947</v>
      </c>
      <c r="L32" s="121">
        <f>(VLOOKUP($A32,Hitters!$A1:$R401,10,FALSE)-AVERAGE(Rankings!S2:S651))/STDEV(Rankings!S2:S651)</f>
        <v>0.76774856755521315</v>
      </c>
      <c r="M32" s="121">
        <f>(VLOOKUP($A32,Hitters!$A1:$R401,11,FALSE)-AVERAGE(Rankings!T2:T651))/STDEV(Rankings!T2:T651)</f>
        <v>0.25632995713867701</v>
      </c>
      <c r="N32" s="121">
        <f>(VLOOKUP($A32,Hitters!$A1:$R401,12,FALSE)-AVERAGE(Rankings!U2:U651))/STDEV(Rankings!U2:U651)</f>
        <v>-0.12859130815686218</v>
      </c>
      <c r="O32" s="121">
        <f>(VLOOKUP($A32,Hitters!$A1:$R401,13,FALSE)-AVERAGE(Rankings!V2:V651))/STDEV(Rankings!V2:V651)</f>
        <v>-0.94990270129182863</v>
      </c>
      <c r="P32" s="121">
        <f>(VLOOKUP($A32,Hitters!$A1:$R401,14,FALSE)-AVERAGE(Rankings!W2:W651))/STDEV(Rankings!W2:W651)</f>
        <v>-0.12291419132844821</v>
      </c>
      <c r="Q32" s="121">
        <f>(VLOOKUP($A32,Hitters!$A1:$R401,15,FALSE)-AVERAGE(Rankings!X2:X651))/STDEV(Rankings!X2:X651)</f>
        <v>-0.61667562761560868</v>
      </c>
      <c r="R32" s="121">
        <f>(VLOOKUP($A32,Hitters!$A1:$R401,16,FALSE)-AVERAGE(Rankings!Y2:Y651))/STDEV(Rankings!Y2:Y651)</f>
        <v>-0.14616172309182252</v>
      </c>
      <c r="S32" s="121">
        <f>(VLOOKUP($A32,Hitters!$A1:$R401,17,FALSE)-AVERAGE(Rankings!Z2:Z651))/STDEV(Rankings!Z2:Z651)</f>
        <v>0.19496712096775617</v>
      </c>
      <c r="T32" s="121">
        <f>IFERROR((VLOOKUP($A32,Hitters!$A1:$R401,18,FALSE)-AVERAGE(Rankings!AA2:AA651))/STDEV(Rankings!AA2:AA651),0)</f>
        <v>0</v>
      </c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</row>
    <row r="33" spans="1:37" ht="18.600000000000001" customHeight="1">
      <c r="A33" s="25" t="s">
        <v>593</v>
      </c>
      <c r="B33" s="26" t="s">
        <v>139</v>
      </c>
      <c r="C33" s="120" t="s">
        <v>7</v>
      </c>
      <c r="D33" s="67">
        <f>(F33*Settings!$C$2)+(G33*Settings!$C$3)+(H33*Settings!$C$4)+(I33*Settings!$C$5)+(J33*Settings!$C$6)+(M33*Settings!$C$9)+(N33*Settings!$C$10)+(O33*Settings!$C$11)+(P33*Settings!$C$12)+(Q33*Settings!$C$13)+(T33*Settings!$C$16)+(K33*Settings!$C$7)+(L33*Settings!$C$8)+(R33*Settings!$C$14)+(S33*Settings!$C$15)</f>
        <v>-0.9504069738943538</v>
      </c>
      <c r="E33" s="67"/>
      <c r="F33" s="121">
        <f>(VLOOKUP($A33,Hitters!$A1:$R401,4,FALSE)-AVERAGE(Rankings!M2:M651))/STDEV(Rankings!M2:M651)</f>
        <v>0.54928726016832941</v>
      </c>
      <c r="G33" s="121">
        <f>(VLOOKUP($A33,Hitters!$A1:$R401,5,FALSE)-AVERAGE(Rankings!N2:N651))/STDEV(Rankings!N2:N651)</f>
        <v>0.30482815772734312</v>
      </c>
      <c r="H33" s="121">
        <f>(VLOOKUP($A33,Hitters!$A1:$R401,6,FALSE)-AVERAGE(Rankings!O2:O651))/STDEV(Rankings!O2:O651)</f>
        <v>0.43897179201337477</v>
      </c>
      <c r="I33" s="121">
        <f>(VLOOKUP($A33,Hitters!$A1:$R401,7,FALSE)-AVERAGE(Rankings!P2:P651))/STDEV(Rankings!P2:P651)</f>
        <v>0.54386715997754631</v>
      </c>
      <c r="J33" s="121">
        <f>(VLOOKUP($A33,Hitters!$A1:$R401,8,FALSE)-AVERAGE(Rankings!Q2:Q651))/STDEV(Rankings!Q2:Q651)</f>
        <v>-0.80163797844191087</v>
      </c>
      <c r="K33" s="121">
        <f>(VLOOKUP($A33,Hitters!$A1:$R401,9,FALSE)-AVERAGE(Rankings!R2:R651))/STDEV(Rankings!R2:R651)</f>
        <v>-1.4364361051707071</v>
      </c>
      <c r="L33" s="121">
        <f>(VLOOKUP($A33,Hitters!$A1:$R401,10,FALSE)-AVERAGE(Rankings!S2:S651))/STDEV(Rankings!S2:S651)</f>
        <v>0.60703963574832376</v>
      </c>
      <c r="M33" s="121">
        <f>(VLOOKUP($A33,Hitters!$A1:$R401,11,FALSE)-AVERAGE(Rankings!T2:T651))/STDEV(Rankings!T2:T651)</f>
        <v>7.9812346611433452E-2</v>
      </c>
      <c r="N33" s="121">
        <f>(VLOOKUP($A33,Hitters!$A1:$R401,12,FALSE)-AVERAGE(Rankings!U2:U651))/STDEV(Rankings!U2:U651)</f>
        <v>-0.19662209140640902</v>
      </c>
      <c r="O33" s="121">
        <f>(VLOOKUP($A33,Hitters!$A1:$R401,13,FALSE)-AVERAGE(Rankings!V2:V651))/STDEV(Rankings!V2:V651)</f>
        <v>-0.94990270129182863</v>
      </c>
      <c r="P33" s="121">
        <f>(VLOOKUP($A33,Hitters!$A1:$R401,14,FALSE)-AVERAGE(Rankings!W2:W651))/STDEV(Rankings!W2:W651)</f>
        <v>2.0188472881018726</v>
      </c>
      <c r="Q33" s="121">
        <f>(VLOOKUP($A33,Hitters!$A1:$R401,15,FALSE)-AVERAGE(Rankings!X2:X651))/STDEV(Rankings!X2:X651)</f>
        <v>-9.8145701986713352E-2</v>
      </c>
      <c r="R33" s="121">
        <f>(VLOOKUP($A33,Hitters!$A1:$R401,16,FALSE)-AVERAGE(Rankings!Y2:Y651))/STDEV(Rankings!Y2:Y651)</f>
        <v>-0.82240502483753375</v>
      </c>
      <c r="S33" s="121">
        <f>(VLOOKUP($A33,Hitters!$A1:$R401,17,FALSE)-AVERAGE(Rankings!Z2:Z651))/STDEV(Rankings!Z2:Z651)</f>
        <v>-0.360358214841208</v>
      </c>
      <c r="T33" s="121">
        <f>IFERROR((VLOOKUP($A33,Hitters!$A1:$R401,18,FALSE)-AVERAGE(Rankings!AA2:AA651))/STDEV(Rankings!AA2:AA651),0)</f>
        <v>0</v>
      </c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</row>
    <row r="34" spans="1:37" ht="18.600000000000001" customHeight="1">
      <c r="A34" s="25" t="s">
        <v>587</v>
      </c>
      <c r="B34" s="26" t="s">
        <v>142</v>
      </c>
      <c r="C34" s="120" t="s">
        <v>7</v>
      </c>
      <c r="D34" s="67">
        <f>(F34*Settings!$C$2)+(G34*Settings!$C$3)+(H34*Settings!$C$4)+(I34*Settings!$C$5)+(J34*Settings!$C$6)+(M34*Settings!$C$9)+(N34*Settings!$C$10)+(O34*Settings!$C$11)+(P34*Settings!$C$12)+(Q34*Settings!$C$13)+(T34*Settings!$C$16)+(K34*Settings!$C$7)+(L34*Settings!$C$8)+(R34*Settings!$C$14)+(S34*Settings!$C$15)</f>
        <v>-0.9342584971720157</v>
      </c>
      <c r="E34" s="67"/>
      <c r="F34" s="121">
        <f>(VLOOKUP($A34,Hitters!$A1:$R401,4,FALSE)-AVERAGE(Rankings!M2:M651))/STDEV(Rankings!M2:M651)</f>
        <v>9.7452015025352362E-2</v>
      </c>
      <c r="G34" s="121">
        <f>(VLOOKUP($A34,Hitters!$A1:$R401,5,FALSE)-AVERAGE(Rankings!N2:N651))/STDEV(Rankings!N2:N651)</f>
        <v>-0.34329890042858885</v>
      </c>
      <c r="H34" s="121">
        <f>(VLOOKUP($A34,Hitters!$A1:$R401,6,FALSE)-AVERAGE(Rankings!O2:O651))/STDEV(Rankings!O2:O651)</f>
        <v>0.21341330816787746</v>
      </c>
      <c r="I34" s="121">
        <f>(VLOOKUP($A34,Hitters!$A1:$R401,7,FALSE)-AVERAGE(Rankings!P2:P651))/STDEV(Rankings!P2:P651)</f>
        <v>0.25714420575859492</v>
      </c>
      <c r="J34" s="121">
        <f>(VLOOKUP($A34,Hitters!$A1:$R401,8,FALSE)-AVERAGE(Rankings!Q2:Q651))/STDEV(Rankings!Q2:Q651)</f>
        <v>-0.81669735865626536</v>
      </c>
      <c r="K34" s="121">
        <f>(VLOOKUP($A34,Hitters!$A1:$R401,9,FALSE)-AVERAGE(Rankings!R2:R651))/STDEV(Rankings!R2:R651)</f>
        <v>-0.24481975201363379</v>
      </c>
      <c r="L34" s="121">
        <f>(VLOOKUP($A34,Hitters!$A1:$R401,10,FALSE)-AVERAGE(Rankings!S2:S651))/STDEV(Rankings!S2:S651)</f>
        <v>-0.43449388231298181</v>
      </c>
      <c r="M34" s="121">
        <f>(VLOOKUP($A34,Hitters!$A1:$R401,11,FALSE)-AVERAGE(Rankings!T2:T651))/STDEV(Rankings!T2:T651)</f>
        <v>-4.8069202908012938E-3</v>
      </c>
      <c r="N34" s="121">
        <f>(VLOOKUP($A34,Hitters!$A1:$R401,12,FALSE)-AVERAGE(Rankings!U2:U651))/STDEV(Rankings!U2:U651)</f>
        <v>-0.10307976443828057</v>
      </c>
      <c r="O34" s="121">
        <f>(VLOOKUP($A34,Hitters!$A1:$R401,13,FALSE)-AVERAGE(Rankings!V2:V651))/STDEV(Rankings!V2:V651)</f>
        <v>-1.254108182259319</v>
      </c>
      <c r="P34" s="121">
        <f>(VLOOKUP($A34,Hitters!$A1:$R401,14,FALSE)-AVERAGE(Rankings!W2:W651))/STDEV(Rankings!W2:W651)</f>
        <v>-0.1786408560144063</v>
      </c>
      <c r="Q34" s="121">
        <f>(VLOOKUP($A34,Hitters!$A1:$R401,15,FALSE)-AVERAGE(Rankings!X2:X651))/STDEV(Rankings!X2:X651)</f>
        <v>3.2210503918687406E-3</v>
      </c>
      <c r="R34" s="121">
        <f>(VLOOKUP($A34,Hitters!$A1:$R401,16,FALSE)-AVERAGE(Rankings!Y2:Y651))/STDEV(Rankings!Y2:Y651)</f>
        <v>-5.3648621095079542E-2</v>
      </c>
      <c r="S34" s="121">
        <f>(VLOOKUP($A34,Hitters!$A1:$R401,17,FALSE)-AVERAGE(Rankings!Z2:Z651))/STDEV(Rankings!Z2:Z651)</f>
        <v>-0.20960042412712535</v>
      </c>
      <c r="T34" s="121">
        <f>IFERROR((VLOOKUP($A34,Hitters!$A1:$R401,18,FALSE)-AVERAGE(Rankings!AA2:AA651))/STDEV(Rankings!AA2:AA651),0)</f>
        <v>0</v>
      </c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</row>
    <row r="35" spans="1:37" ht="18.600000000000001" customHeight="1">
      <c r="A35" s="25" t="s">
        <v>610</v>
      </c>
      <c r="B35" s="26" t="s">
        <v>225</v>
      </c>
      <c r="C35" s="120" t="s">
        <v>7</v>
      </c>
      <c r="D35" s="67">
        <f>(F35*Settings!$C$2)+(G35*Settings!$C$3)+(H35*Settings!$C$4)+(I35*Settings!$C$5)+(J35*Settings!$C$6)+(M35*Settings!$C$9)+(N35*Settings!$C$10)+(O35*Settings!$C$11)+(P35*Settings!$C$12)+(Q35*Settings!$C$13)+(T35*Settings!$C$16)+(K35*Settings!$C$7)+(L35*Settings!$C$8)+(R35*Settings!$C$14)+(S35*Settings!$C$15)</f>
        <v>-1.1760914728567813</v>
      </c>
      <c r="E35" s="67"/>
      <c r="F35" s="121">
        <f>(VLOOKUP($A35,Hitters!$A1:$R401,4,FALSE)-AVERAGE(Rankings!M2:M651))/STDEV(Rankings!M2:M651)</f>
        <v>-8.014796572448156E-2</v>
      </c>
      <c r="G35" s="121">
        <f>(VLOOKUP($A35,Hitters!$A1:$R401,5,FALSE)-AVERAGE(Rankings!N2:N651))/STDEV(Rankings!N2:N651)</f>
        <v>-8.9815952625212928E-2</v>
      </c>
      <c r="H35" s="121">
        <f>(VLOOKUP($A35,Hitters!$A1:$R401,6,FALSE)-AVERAGE(Rankings!O2:O651))/STDEV(Rankings!O2:O651)</f>
        <v>0.38467067553205531</v>
      </c>
      <c r="I35" s="121">
        <f>(VLOOKUP($A35,Hitters!$A1:$R401,7,FALSE)-AVERAGE(Rankings!P2:P651))/STDEV(Rankings!P2:P651)</f>
        <v>0.23556290812920974</v>
      </c>
      <c r="J35" s="121">
        <f>(VLOOKUP($A35,Hitters!$A1:$R401,8,FALSE)-AVERAGE(Rankings!Q2:Q651))/STDEV(Rankings!Q2:Q651)</f>
        <v>-0.86187549929932983</v>
      </c>
      <c r="K35" s="121">
        <f>(VLOOKUP($A35,Hitters!$A1:$R401,9,FALSE)-AVERAGE(Rankings!R2:R651))/STDEV(Rankings!R2:R651)</f>
        <v>-0.84463360459350367</v>
      </c>
      <c r="L35" s="121">
        <f>(VLOOKUP($A35,Hitters!$A1:$R401,10,FALSE)-AVERAGE(Rankings!S2:S651))/STDEV(Rankings!S2:S651)</f>
        <v>0.59281072651691036</v>
      </c>
      <c r="M35" s="121">
        <f>(VLOOKUP($A35,Hitters!$A1:$R401,11,FALSE)-AVERAGE(Rankings!T2:T651))/STDEV(Rankings!T2:T651)</f>
        <v>-0.28050195116582494</v>
      </c>
      <c r="N35" s="121">
        <f>(VLOOKUP($A35,Hitters!$A1:$R401,12,FALSE)-AVERAGE(Rankings!U2:U651))/STDEV(Rankings!U2:U651)</f>
        <v>-0.16260669978162948</v>
      </c>
      <c r="O35" s="121">
        <f>(VLOOKUP($A35,Hitters!$A1:$R401,13,FALSE)-AVERAGE(Rankings!V2:V651))/STDEV(Rankings!V2:V651)</f>
        <v>-0.20321652073526184</v>
      </c>
      <c r="P35" s="121">
        <f>(VLOOKUP($A35,Hitters!$A1:$R401,14,FALSE)-AVERAGE(Rankings!W2:W651))/STDEV(Rankings!W2:W651)</f>
        <v>0.91174421634083691</v>
      </c>
      <c r="Q35" s="121">
        <f>(VLOOKUP($A35,Hitters!$A1:$R401,15,FALSE)-AVERAGE(Rankings!X2:X651))/STDEV(Rankings!X2:X651)</f>
        <v>0.3852957324342024</v>
      </c>
      <c r="R35" s="121">
        <f>(VLOOKUP($A35,Hitters!$A1:$R401,16,FALSE)-AVERAGE(Rankings!Y2:Y651))/STDEV(Rankings!Y2:Y651)</f>
        <v>0.27786857804942483</v>
      </c>
      <c r="S35" s="121">
        <f>(VLOOKUP($A35,Hitters!$A1:$R401,17,FALSE)-AVERAGE(Rankings!Z2:Z651))/STDEV(Rankings!Z2:Z651)</f>
        <v>0.43495515519978784</v>
      </c>
      <c r="T35" s="121">
        <f>IFERROR((VLOOKUP($A35,Hitters!$A1:$R401,18,FALSE)-AVERAGE(Rankings!AA2:AA651))/STDEV(Rankings!AA2:AA651),0)</f>
        <v>0</v>
      </c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</row>
    <row r="36" spans="1:37" ht="18.600000000000001" customHeight="1">
      <c r="A36" s="25" t="s">
        <v>619</v>
      </c>
      <c r="B36" s="26" t="s">
        <v>260</v>
      </c>
      <c r="C36" s="120" t="s">
        <v>7</v>
      </c>
      <c r="D36" s="67">
        <f>(F36*Settings!$C$2)+(G36*Settings!$C$3)+(H36*Settings!$C$4)+(I36*Settings!$C$5)+(J36*Settings!$C$6)+(M36*Settings!$C$9)+(N36*Settings!$C$10)+(O36*Settings!$C$11)+(P36*Settings!$C$12)+(Q36*Settings!$C$13)+(T36*Settings!$C$16)+(K36*Settings!$C$7)+(L36*Settings!$C$8)+(R36*Settings!$C$14)+(S36*Settings!$C$15)</f>
        <v>-1.2445308231692702</v>
      </c>
      <c r="E36" s="67"/>
      <c r="F36" s="121">
        <f>(VLOOKUP($A36,Hitters!$A1:$R401,4,FALSE)-AVERAGE(Rankings!M2:M651))/STDEV(Rankings!M2:M651)</f>
        <v>0.84504346340527081</v>
      </c>
      <c r="G36" s="121">
        <f>(VLOOKUP($A36,Hitters!$A1:$R401,5,FALSE)-AVERAGE(Rankings!N2:N651))/STDEV(Rankings!N2:N651)</f>
        <v>0.27981379257884426</v>
      </c>
      <c r="H36" s="121">
        <f>(VLOOKUP($A36,Hitters!$A1:$R401,6,FALSE)-AVERAGE(Rankings!O2:O651))/STDEV(Rankings!O2:O651)</f>
        <v>0.32201554113052833</v>
      </c>
      <c r="I36" s="121">
        <f>(VLOOKUP($A36,Hitters!$A1:$R401,7,FALSE)-AVERAGE(Rankings!P2:P651))/STDEV(Rankings!P2:P651)</f>
        <v>0.19665491154595158</v>
      </c>
      <c r="J36" s="121">
        <f>(VLOOKUP($A36,Hitters!$A1:$R401,8,FALSE)-AVERAGE(Rankings!Q2:Q651))/STDEV(Rankings!Q2:Q651)</f>
        <v>-0.71108090541958968</v>
      </c>
      <c r="K36" s="121">
        <f>(VLOOKUP($A36,Hitters!$A1:$R401,9,FALSE)-AVERAGE(Rankings!R2:R651))/STDEV(Rankings!R2:R651)</f>
        <v>-1.3319341630050046</v>
      </c>
      <c r="L36" s="121">
        <f>(VLOOKUP($A36,Hitters!$A1:$R401,10,FALSE)-AVERAGE(Rankings!S2:S651))/STDEV(Rankings!S2:S651)</f>
        <v>-0.52350723667225463</v>
      </c>
      <c r="M36" s="121">
        <f>(VLOOKUP($A36,Hitters!$A1:$R401,11,FALSE)-AVERAGE(Rankings!T2:T651))/STDEV(Rankings!T2:T651)</f>
        <v>0.33530793958075394</v>
      </c>
      <c r="N36" s="121">
        <f>(VLOOKUP($A36,Hitters!$A1:$R401,12,FALSE)-AVERAGE(Rankings!U2:U651))/STDEV(Rankings!U2:U651)</f>
        <v>0.41718565046266615</v>
      </c>
      <c r="O36" s="121">
        <f>(VLOOKUP($A36,Hitters!$A1:$R401,13,FALSE)-AVERAGE(Rankings!V2:V651))/STDEV(Rankings!V2:V651)</f>
        <v>-2.4011837401685623E-2</v>
      </c>
      <c r="P36" s="121">
        <f>(VLOOKUP($A36,Hitters!$A1:$R401,14,FALSE)-AVERAGE(Rankings!W2:W651))/STDEV(Rankings!W2:W651)</f>
        <v>1.0486832070291345</v>
      </c>
      <c r="Q36" s="121">
        <f>(VLOOKUP($A36,Hitters!$A1:$R401,15,FALSE)-AVERAGE(Rankings!X2:X651))/STDEV(Rankings!X2:X651)</f>
        <v>1.1591529124197832</v>
      </c>
      <c r="R36" s="121">
        <f>(VLOOKUP($A36,Hitters!$A1:$R401,16,FALSE)-AVERAGE(Rankings!Y2:Y651))/STDEV(Rankings!Y2:Y651)</f>
        <v>-0.85529506453367077</v>
      </c>
      <c r="S36" s="121">
        <f>(VLOOKUP($A36,Hitters!$A1:$R401,17,FALSE)-AVERAGE(Rankings!Z2:Z651))/STDEV(Rankings!Z2:Z651)</f>
        <v>-0.82806556653357888</v>
      </c>
      <c r="T36" s="121">
        <f>IFERROR((VLOOKUP($A36,Hitters!$A1:$R401,18,FALSE)-AVERAGE(Rankings!AA2:AA651))/STDEV(Rankings!AA2:AA651),0)</f>
        <v>0</v>
      </c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</row>
    <row r="37" spans="1:37" ht="18.600000000000001" customHeight="1">
      <c r="A37" s="25" t="s">
        <v>622</v>
      </c>
      <c r="B37" s="26" t="s">
        <v>95</v>
      </c>
      <c r="C37" s="120" t="s">
        <v>7</v>
      </c>
      <c r="D37" s="67">
        <f>(F37*Settings!$C$2)+(G37*Settings!$C$3)+(H37*Settings!$C$4)+(I37*Settings!$C$5)+(J37*Settings!$C$6)+(M37*Settings!$C$9)+(N37*Settings!$C$10)+(O37*Settings!$C$11)+(P37*Settings!$C$12)+(Q37*Settings!$C$13)+(T37*Settings!$C$16)+(K37*Settings!$C$7)+(L37*Settings!$C$8)+(R37*Settings!$C$14)+(S37*Settings!$C$15)</f>
        <v>-1.2820798268678013</v>
      </c>
      <c r="E37" s="67"/>
      <c r="F37" s="121">
        <f>(VLOOKUP($A37,Hitters!$A1:$R401,4,FALSE)-AVERAGE(Rankings!M2:M651))/STDEV(Rankings!M2:M651)</f>
        <v>-0.48758321567999585</v>
      </c>
      <c r="G37" s="121">
        <f>(VLOOKUP($A37,Hitters!$A1:$R401,5,FALSE)-AVERAGE(Rankings!N2:N651))/STDEV(Rankings!N2:N651)</f>
        <v>-0.28562014583859785</v>
      </c>
      <c r="H37" s="121">
        <f>(VLOOKUP($A37,Hitters!$A1:$R401,6,FALSE)-AVERAGE(Rankings!O2:O651))/STDEV(Rankings!O2:O651)</f>
        <v>0.30530750529012518</v>
      </c>
      <c r="I37" s="121">
        <f>(VLOOKUP($A37,Hitters!$A1:$R401,7,FALSE)-AVERAGE(Rankings!P2:P651))/STDEV(Rankings!P2:P651)</f>
        <v>-0.15598349171817713</v>
      </c>
      <c r="J37" s="121">
        <f>(VLOOKUP($A37,Hitters!$A1:$R401,8,FALSE)-AVERAGE(Rankings!Q2:Q651))/STDEV(Rankings!Q2:Q651)</f>
        <v>-0.6560639697031474</v>
      </c>
      <c r="K37" s="121">
        <f>(VLOOKUP($A37,Hitters!$A1:$R401,9,FALSE)-AVERAGE(Rankings!R2:R651))/STDEV(Rankings!R2:R651)</f>
        <v>-0.48971972489800403</v>
      </c>
      <c r="L37" s="121">
        <f>(VLOOKUP($A37,Hitters!$A1:$R401,10,FALSE)-AVERAGE(Rankings!S2:S651))/STDEV(Rankings!S2:S651)</f>
        <v>0.82978017877707921</v>
      </c>
      <c r="M37" s="121">
        <f>(VLOOKUP($A37,Hitters!$A1:$R401,11,FALSE)-AVERAGE(Rankings!T2:T651))/STDEV(Rankings!T2:T651)</f>
        <v>-0.54709813613738023</v>
      </c>
      <c r="N37" s="121">
        <f>(VLOOKUP($A37,Hitters!$A1:$R401,12,FALSE)-AVERAGE(Rankings!U2:U651))/STDEV(Rankings!U2:U651)</f>
        <v>-0.6303183346222978</v>
      </c>
      <c r="O37" s="121">
        <f>(VLOOKUP($A37,Hitters!$A1:$R401,13,FALSE)-AVERAGE(Rankings!V2:V651))/STDEV(Rankings!V2:V651)</f>
        <v>-0.20321652073526184</v>
      </c>
      <c r="P37" s="121">
        <f>(VLOOKUP($A37,Hitters!$A1:$R401,14,FALSE)-AVERAGE(Rankings!W2:W651))/STDEV(Rankings!W2:W651)</f>
        <v>0.47707623179036357</v>
      </c>
      <c r="Q37" s="121">
        <f>(VLOOKUP($A37,Hitters!$A1:$R401,15,FALSE)-AVERAGE(Rankings!X2:X651))/STDEV(Rankings!X2:X651)</f>
        <v>0.10946120432711146</v>
      </c>
      <c r="R37" s="121">
        <f>(VLOOKUP($A37,Hitters!$A1:$R401,16,FALSE)-AVERAGE(Rankings!Y2:Y651))/STDEV(Rankings!Y2:Y651)</f>
        <v>0.76876285131851418</v>
      </c>
      <c r="S37" s="121">
        <f>(VLOOKUP($A37,Hitters!$A1:$R401,17,FALSE)-AVERAGE(Rankings!Z2:Z651))/STDEV(Rankings!Z2:Z651)</f>
        <v>0.88529740957683734</v>
      </c>
      <c r="T37" s="121">
        <f>IFERROR((VLOOKUP($A37,Hitters!$A1:$R401,18,FALSE)-AVERAGE(Rankings!AA2:AA651))/STDEV(Rankings!AA2:AA651),0)</f>
        <v>0</v>
      </c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</row>
    <row r="38" spans="1:37" ht="18.600000000000001" customHeight="1">
      <c r="A38" s="25" t="s">
        <v>630</v>
      </c>
      <c r="B38" s="26" t="s">
        <v>309</v>
      </c>
      <c r="C38" s="120" t="s">
        <v>7</v>
      </c>
      <c r="D38" s="67">
        <f>(F38*Settings!$C$2)+(G38*Settings!$C$3)+(H38*Settings!$C$4)+(I38*Settings!$C$5)+(J38*Settings!$C$6)+(M38*Settings!$C$9)+(N38*Settings!$C$10)+(O38*Settings!$C$11)+(P38*Settings!$C$12)+(Q38*Settings!$C$13)+(T38*Settings!$C$16)+(K38*Settings!$C$7)+(L38*Settings!$C$8)+(R38*Settings!$C$14)+(S38*Settings!$C$15)</f>
        <v>-1.451894460228055</v>
      </c>
      <c r="E38" s="67"/>
      <c r="F38" s="121">
        <f>(VLOOKUP($A38,Hitters!$A1:$R401,4,FALSE)-AVERAGE(Rankings!M2:M651))/STDEV(Rankings!M2:M651)</f>
        <v>-0.14021854744869483</v>
      </c>
      <c r="G38" s="121">
        <f>(VLOOKUP($A38,Hitters!$A1:$R401,5,FALSE)-AVERAGE(Rankings!N2:N651))/STDEV(Rankings!N2:N651)</f>
        <v>-0.44044206605383251</v>
      </c>
      <c r="H38" s="121">
        <f>(VLOOKUP($A38,Hitters!$A1:$R401,6,FALSE)-AVERAGE(Rankings!O2:O651))/STDEV(Rankings!O2:O651)</f>
        <v>-0.48414718816911489</v>
      </c>
      <c r="I38" s="121">
        <f>(VLOOKUP($A38,Hitters!$A1:$R401,7,FALSE)-AVERAGE(Rankings!P2:P651))/STDEV(Rankings!P2:P651)</f>
        <v>-7.9974508309765182E-3</v>
      </c>
      <c r="J38" s="121">
        <f>(VLOOKUP($A38,Hitters!$A1:$R401,8,FALSE)-AVERAGE(Rankings!Q2:Q651))/STDEV(Rankings!Q2:Q651)</f>
        <v>-0.63598479608400815</v>
      </c>
      <c r="K38" s="121">
        <f>(VLOOKUP($A38,Hitters!$A1:$R401,9,FALSE)-AVERAGE(Rankings!R2:R651))/STDEV(Rankings!R2:R651)</f>
        <v>0.11667704090987702</v>
      </c>
      <c r="L38" s="121">
        <f>(VLOOKUP($A38,Hitters!$A1:$R401,10,FALSE)-AVERAGE(Rankings!S2:S651))/STDEV(Rankings!S2:S651)</f>
        <v>-0.29661365046866689</v>
      </c>
      <c r="M38" s="121">
        <f>(VLOOKUP($A38,Hitters!$A1:$R401,11,FALSE)-AVERAGE(Rankings!T2:T651))/STDEV(Rankings!T2:T651)</f>
        <v>-0.13401053212001943</v>
      </c>
      <c r="N38" s="121">
        <f>(VLOOKUP($A38,Hitters!$A1:$R401,12,FALSE)-AVERAGE(Rankings!U2:U651))/STDEV(Rankings!U2:U651)</f>
        <v>0.56022037224484322</v>
      </c>
      <c r="O38" s="121">
        <f>(VLOOKUP($A38,Hitters!$A1:$R401,13,FALSE)-AVERAGE(Rankings!V2:V651))/STDEV(Rankings!V2:V651)</f>
        <v>-0.50742200170275464</v>
      </c>
      <c r="P38" s="121">
        <f>(VLOOKUP($A38,Hitters!$A1:$R401,14,FALSE)-AVERAGE(Rankings!W2:W651))/STDEV(Rankings!W2:W651)</f>
        <v>-0.43312595808028331</v>
      </c>
      <c r="Q38" s="121">
        <f>(VLOOKUP($A38,Hitters!$A1:$R401,15,FALSE)-AVERAGE(Rankings!X2:X651))/STDEV(Rankings!X2:X651)</f>
        <v>-0.15272779942133505</v>
      </c>
      <c r="R38" s="121">
        <f>(VLOOKUP($A38,Hitters!$A1:$R401,16,FALSE)-AVERAGE(Rankings!Y2:Y651))/STDEV(Rankings!Y2:Y651)</f>
        <v>-0.17197043180136212</v>
      </c>
      <c r="S38" s="121">
        <f>(VLOOKUP($A38,Hitters!$A1:$R401,17,FALSE)-AVERAGE(Rankings!Z2:Z651))/STDEV(Rankings!Z2:Z651)</f>
        <v>-0.24160662577283615</v>
      </c>
      <c r="T38" s="121">
        <f>IFERROR((VLOOKUP($A38,Hitters!$A1:$R401,18,FALSE)-AVERAGE(Rankings!AA2:AA651))/STDEV(Rankings!AA2:AA651),0)</f>
        <v>0</v>
      </c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</row>
    <row r="39" spans="1:37" ht="18.600000000000001" customHeight="1">
      <c r="A39" s="25" t="s">
        <v>641</v>
      </c>
      <c r="B39" s="26"/>
      <c r="C39" s="120" t="s">
        <v>7</v>
      </c>
      <c r="D39" s="67">
        <f>(F39*Settings!$C$2)+(G39*Settings!$C$3)+(H39*Settings!$C$4)+(I39*Settings!$C$5)+(J39*Settings!$C$6)+(M39*Settings!$C$9)+(N39*Settings!$C$10)+(O39*Settings!$C$11)+(P39*Settings!$C$12)+(Q39*Settings!$C$13)+(T39*Settings!$C$16)+(K39*Settings!$C$7)+(L39*Settings!$C$8)+(R39*Settings!$C$14)+(S39*Settings!$C$15)</f>
        <v>-1.6186269556968558</v>
      </c>
      <c r="E39" s="67"/>
      <c r="F39" s="121">
        <f>(VLOOKUP($A39,Hitters!$A1:$R401,4,FALSE)-AVERAGE(Rankings!M2:M651))/STDEV(Rankings!M2:M651)</f>
        <v>-0.4745243935660427</v>
      </c>
      <c r="G39" s="121">
        <f>(VLOOKUP($A39,Hitters!$A1:$R401,5,FALSE)-AVERAGE(Rankings!N2:N651))/STDEV(Rankings!N2:N651)</f>
        <v>-0.44954923783119938</v>
      </c>
      <c r="H39" s="121">
        <f>(VLOOKUP($A39,Hitters!$A1:$R401,6,FALSE)-AVERAGE(Rankings!O2:O651))/STDEV(Rankings!O2:O651)</f>
        <v>0.3429005859310415</v>
      </c>
      <c r="I39" s="121">
        <f>(VLOOKUP($A39,Hitters!$A1:$R401,7,FALSE)-AVERAGE(Rankings!P2:P651))/STDEV(Rankings!P2:P651)</f>
        <v>-2.8037227201116496E-2</v>
      </c>
      <c r="J39" s="121">
        <f>(VLOOKUP($A39,Hitters!$A1:$R401,8,FALSE)-AVERAGE(Rankings!Q2:Q651))/STDEV(Rankings!Q2:Q651)</f>
        <v>-0.83175673887062018</v>
      </c>
      <c r="K39" s="121">
        <f>(VLOOKUP($A39,Hitters!$A1:$R401,9,FALSE)-AVERAGE(Rankings!R2:R651))/STDEV(Rankings!R2:R651)</f>
        <v>-0.65218433772496132</v>
      </c>
      <c r="L39" s="121">
        <f>(VLOOKUP($A39,Hitters!$A1:$R401,10,FALSE)-AVERAGE(Rankings!S2:S651))/STDEV(Rankings!S2:S651)</f>
        <v>-0.22224285621775502</v>
      </c>
      <c r="M39" s="121">
        <f>(VLOOKUP($A39,Hitters!$A1:$R401,11,FALSE)-AVERAGE(Rankings!T2:T651))/STDEV(Rankings!T2:T651)</f>
        <v>-0.56529582794431343</v>
      </c>
      <c r="N39" s="121">
        <f>(VLOOKUP($A39,Hitters!$A1:$R401,12,FALSE)-AVERAGE(Rankings!U2:U651))/STDEV(Rankings!U2:U651)</f>
        <v>-0.80889914065236967</v>
      </c>
      <c r="O39" s="121">
        <f>(VLOOKUP($A39,Hitters!$A1:$R401,13,FALSE)-AVERAGE(Rankings!V2:V651))/STDEV(Rankings!V2:V651)</f>
        <v>-1.0052127887404636</v>
      </c>
      <c r="P39" s="121">
        <f>(VLOOKUP($A39,Hitters!$A1:$R401,14,FALSE)-AVERAGE(Rankings!W2:W651))/STDEV(Rankings!W2:W651)</f>
        <v>-0.16749552307721452</v>
      </c>
      <c r="Q39" s="121">
        <f>(VLOOKUP($A39,Hitters!$A1:$R401,15,FALSE)-AVERAGE(Rankings!X2:X651))/STDEV(Rankings!X2:X651)</f>
        <v>0.42525762519884514</v>
      </c>
      <c r="R39" s="121">
        <f>(VLOOKUP($A39,Hitters!$A1:$R401,16,FALSE)-AVERAGE(Rankings!Y2:Y651))/STDEV(Rankings!Y2:Y651)</f>
        <v>0.49697485659045104</v>
      </c>
      <c r="S39" s="121">
        <f>(VLOOKUP($A39,Hitters!$A1:$R401,17,FALSE)-AVERAGE(Rankings!Z2:Z651))/STDEV(Rankings!Z2:Z651)</f>
        <v>0.27451666090494087</v>
      </c>
      <c r="T39" s="121">
        <f>IFERROR((VLOOKUP($A39,Hitters!$A1:$R401,18,FALSE)-AVERAGE(Rankings!AA2:AA651))/STDEV(Rankings!AA2:AA651),0)</f>
        <v>0</v>
      </c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</row>
    <row r="40" spans="1:37" ht="18.600000000000001" customHeight="1">
      <c r="A40" s="25" t="s">
        <v>656</v>
      </c>
      <c r="B40" s="26" t="s">
        <v>139</v>
      </c>
      <c r="C40" s="120" t="s">
        <v>7</v>
      </c>
      <c r="D40" s="67">
        <f>(F40*Settings!$C$2)+(G40*Settings!$C$3)+(H40*Settings!$C$4)+(I40*Settings!$C$5)+(J40*Settings!$C$6)+(M40*Settings!$C$9)+(N40*Settings!$C$10)+(O40*Settings!$C$11)+(P40*Settings!$C$12)+(Q40*Settings!$C$13)+(T40*Settings!$C$16)+(K40*Settings!$C$7)+(L40*Settings!$C$8)+(R40*Settings!$C$14)+(S40*Settings!$C$15)</f>
        <v>-1.9145815381978761</v>
      </c>
      <c r="E40" s="67"/>
      <c r="F40" s="121">
        <f>(VLOOKUP($A40,Hitters!$A1:$R401,4,FALSE)-AVERAGE(Rankings!M2:M651))/STDEV(Rankings!M2:M651)</f>
        <v>-5.1418557073777862E-2</v>
      </c>
      <c r="G40" s="121">
        <f>(VLOOKUP($A40,Hitters!$A1:$R401,5,FALSE)-AVERAGE(Rankings!N2:N651))/STDEV(Rankings!N2:N651)</f>
        <v>-0.21428063358256144</v>
      </c>
      <c r="H40" s="121">
        <f>(VLOOKUP($A40,Hitters!$A1:$R401,6,FALSE)-AVERAGE(Rankings!O2:O651))/STDEV(Rankings!O2:O651)</f>
        <v>-0.13745544448067384</v>
      </c>
      <c r="I40" s="121">
        <f>(VLOOKUP($A40,Hitters!$A1:$R401,7,FALSE)-AVERAGE(Rankings!P2:P651))/STDEV(Rankings!P2:P651)</f>
        <v>0.14615467509319405</v>
      </c>
      <c r="J40" s="121">
        <f>(VLOOKUP($A40,Hitters!$A1:$R401,8,FALSE)-AVERAGE(Rankings!Q2:Q651))/STDEV(Rankings!Q2:Q651)</f>
        <v>-0.92713281356153388</v>
      </c>
      <c r="K40" s="121">
        <f>(VLOOKUP($A40,Hitters!$A1:$R401,9,FALSE)-AVERAGE(Rankings!R2:R651))/STDEV(Rankings!R2:R651)</f>
        <v>-0.78186732166630102</v>
      </c>
      <c r="L40" s="121">
        <f>(VLOOKUP($A40,Hitters!$A1:$R401,10,FALSE)-AVERAGE(Rankings!S2:S651))/STDEV(Rankings!S2:S651)</f>
        <v>0.99544241009311751</v>
      </c>
      <c r="M40" s="121">
        <f>(VLOOKUP($A40,Hitters!$A1:$R401,11,FALSE)-AVERAGE(Rankings!T2:T651))/STDEV(Rankings!T2:T651)</f>
        <v>-0.24410656755195864</v>
      </c>
      <c r="N40" s="121">
        <f>(VLOOKUP($A40,Hitters!$A1:$R401,12,FALSE)-AVERAGE(Rankings!U2:U651))/STDEV(Rankings!U2:U651)</f>
        <v>0.38163956621477163</v>
      </c>
      <c r="O40" s="121">
        <f>(VLOOKUP($A40,Hitters!$A1:$R401,13,FALSE)-AVERAGE(Rankings!V2:V651))/STDEV(Rankings!V2:V651)</f>
        <v>-0.94990270129182863</v>
      </c>
      <c r="P40" s="121">
        <f>(VLOOKUP($A40,Hitters!$A1:$R401,14,FALSE)-AVERAGE(Rankings!W2:W651))/STDEV(Rankings!W2:W651)</f>
        <v>1.2479617599461208</v>
      </c>
      <c r="Q40" s="121">
        <f>(VLOOKUP($A40,Hitters!$A1:$R401,15,FALSE)-AVERAGE(Rankings!X2:X651))/STDEV(Rankings!X2:X651)</f>
        <v>0.74300340669325371</v>
      </c>
      <c r="R40" s="121">
        <f>(VLOOKUP($A40,Hitters!$A1:$R401,16,FALSE)-AVERAGE(Rankings!Y2:Y651))/STDEV(Rankings!Y2:Y651)</f>
        <v>-0.3425933354071331</v>
      </c>
      <c r="S40" s="121">
        <f>(VLOOKUP($A40,Hitters!$A1:$R401,17,FALSE)-AVERAGE(Rankings!Z2:Z651))/STDEV(Rankings!Z2:Z651)</f>
        <v>0.14135809589464027</v>
      </c>
      <c r="T40" s="121">
        <f>IFERROR((VLOOKUP($A40,Hitters!$A1:$R401,18,FALSE)-AVERAGE(Rankings!AA2:AA651))/STDEV(Rankings!AA2:AA651),0)</f>
        <v>0</v>
      </c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</row>
    <row r="41" spans="1:37" ht="18.600000000000001" customHeight="1">
      <c r="A41" s="25" t="s">
        <v>683</v>
      </c>
      <c r="B41" s="26"/>
      <c r="C41" s="120" t="s">
        <v>7</v>
      </c>
      <c r="D41" s="67">
        <f>(F41*Settings!$C$2)+(G41*Settings!$C$3)+(H41*Settings!$C$4)+(I41*Settings!$C$5)+(J41*Settings!$C$6)+(M41*Settings!$C$9)+(N41*Settings!$C$10)+(O41*Settings!$C$11)+(P41*Settings!$C$12)+(Q41*Settings!$C$13)+(T41*Settings!$C$16)+(K41*Settings!$C$7)+(L41*Settings!$C$8)+(R41*Settings!$C$14)+(S41*Settings!$C$15)</f>
        <v>-2.3532240797733222</v>
      </c>
      <c r="E41" s="67"/>
      <c r="F41" s="121">
        <f>(VLOOKUP($A41,Hitters!$A1:$R401,4,FALSE)-AVERAGE(Rankings!M2:M651))/STDEV(Rankings!M2:M651)</f>
        <v>-0.85845376371643123</v>
      </c>
      <c r="G41" s="121">
        <f>(VLOOKUP($A41,Hitters!$A1:$R401,5,FALSE)-AVERAGE(Rankings!N2:N651))/STDEV(Rankings!N2:N651)</f>
        <v>-1.0293725076568854</v>
      </c>
      <c r="H41" s="121">
        <f>(VLOOKUP($A41,Hitters!$A1:$R401,6,FALSE)-AVERAGE(Rankings!O2:O651))/STDEV(Rankings!O2:O651)</f>
        <v>-1.1566456307455089</v>
      </c>
      <c r="I41" s="121">
        <f>(VLOOKUP($A41,Hitters!$A1:$R401,7,FALSE)-AVERAGE(Rankings!P2:P651))/STDEV(Rankings!P2:P651)</f>
        <v>-0.92057803630204649</v>
      </c>
      <c r="J41" s="121">
        <f>(VLOOKUP($A41,Hitters!$A1:$R401,8,FALSE)-AVERAGE(Rankings!Q2:Q651))/STDEV(Rankings!Q2:Q651)</f>
        <v>-0.82171715206105023</v>
      </c>
      <c r="K41" s="121">
        <f>(VLOOKUP($A41,Hitters!$A1:$R401,9,FALSE)-AVERAGE(Rankings!R2:R651))/STDEV(Rankings!R2:R651)</f>
        <v>1.5750892469921691</v>
      </c>
      <c r="L41" s="121">
        <f>(VLOOKUP($A41,Hitters!$A1:$R401,10,FALSE)-AVERAGE(Rankings!S2:S651))/STDEV(Rankings!S2:S651)</f>
        <v>0.50448091142164808</v>
      </c>
      <c r="M41" s="121">
        <f>(VLOOKUP($A41,Hitters!$A1:$R401,11,FALSE)-AVERAGE(Rankings!T2:T651))/STDEV(Rankings!T2:T651)</f>
        <v>-0.54345859777599481</v>
      </c>
      <c r="N41" s="121">
        <f>(VLOOKUP($A41,Hitters!$A1:$R401,12,FALSE)-AVERAGE(Rankings!U2:U651))/STDEV(Rankings!U2:U651)</f>
        <v>-0.47724907231080771</v>
      </c>
      <c r="O41" s="121">
        <f>(VLOOKUP($A41,Hitters!$A1:$R401,13,FALSE)-AVERAGE(Rankings!V2:V651))/STDEV(Rankings!V2:V651)</f>
        <v>-1.254108182259319</v>
      </c>
      <c r="P41" s="121">
        <f>(VLOOKUP($A41,Hitters!$A1:$R401,14,FALSE)-AVERAGE(Rankings!W2:W651))/STDEV(Rankings!W2:W651)</f>
        <v>-1.0424041586467565</v>
      </c>
      <c r="Q41" s="121">
        <f>(VLOOKUP($A41,Hitters!$A1:$R401,15,FALSE)-AVERAGE(Rankings!X2:X651))/STDEV(Rankings!X2:X651)</f>
        <v>-1.0738006936305586</v>
      </c>
      <c r="R41" s="121">
        <f>(VLOOKUP($A41,Hitters!$A1:$R401,16,FALSE)-AVERAGE(Rankings!Y2:Y651))/STDEV(Rankings!Y2:Y651)</f>
        <v>-0.47492196721278201</v>
      </c>
      <c r="S41" s="121">
        <f>(VLOOKUP($A41,Hitters!$A1:$R401,17,FALSE)-AVERAGE(Rankings!Z2:Z651))/STDEV(Rankings!Z2:Z651)</f>
        <v>-0.14767905626879779</v>
      </c>
      <c r="T41" s="121">
        <f>IFERROR((VLOOKUP($A41,Hitters!$A1:$R401,18,FALSE)-AVERAGE(Rankings!AA2:AA651))/STDEV(Rankings!AA2:AA651),0)</f>
        <v>0</v>
      </c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</row>
    <row r="42" spans="1:37" ht="18.600000000000001" customHeight="1">
      <c r="A42" s="25" t="s">
        <v>698</v>
      </c>
      <c r="B42" s="26" t="s">
        <v>219</v>
      </c>
      <c r="C42" s="120" t="s">
        <v>7</v>
      </c>
      <c r="D42" s="67">
        <f>(F42*Settings!$C$2)+(G42*Settings!$C$3)+(H42*Settings!$C$4)+(I42*Settings!$C$5)+(J42*Settings!$C$6)+(M42*Settings!$C$9)+(N42*Settings!$C$10)+(O42*Settings!$C$11)+(P42*Settings!$C$12)+(Q42*Settings!$C$13)+(T42*Settings!$C$16)+(K42*Settings!$C$7)+(L42*Settings!$C$8)+(R42*Settings!$C$14)+(S42*Settings!$C$15)</f>
        <v>-2.8675595577051509</v>
      </c>
      <c r="E42" s="67"/>
      <c r="F42" s="121">
        <f>(VLOOKUP($A42,Hitters!$A1:$R401,4,FALSE)-AVERAGE(Rankings!M2:M651))/STDEV(Rankings!M2:M651)</f>
        <v>-0.6965243695033394</v>
      </c>
      <c r="G42" s="121">
        <f>(VLOOKUP($A42,Hitters!$A1:$R401,5,FALSE)-AVERAGE(Rankings!N2:N651))/STDEV(Rankings!N2:N651)</f>
        <v>-0.54972812738223342</v>
      </c>
      <c r="H42" s="121">
        <f>(VLOOKUP($A42,Hitters!$A1:$R401,6,FALSE)-AVERAGE(Rankings!O2:O651))/STDEV(Rankings!O2:O651)</f>
        <v>-0.34212888352565773</v>
      </c>
      <c r="I42" s="121">
        <f>(VLOOKUP($A42,Hitters!$A1:$R401,7,FALSE)-AVERAGE(Rankings!P2:P651))/STDEV(Rankings!P2:P651)</f>
        <v>-0.63847964586081996</v>
      </c>
      <c r="J42" s="121">
        <f>(VLOOKUP($A42,Hitters!$A1:$R401,8,FALSE)-AVERAGE(Rankings!Q2:Q651))/STDEV(Rankings!Q2:Q651)</f>
        <v>-0.45025244010696458</v>
      </c>
      <c r="K42" s="121">
        <f>(VLOOKUP($A42,Hitters!$A1:$R401,9,FALSE)-AVERAGE(Rankings!R2:R651))/STDEV(Rankings!R2:R651)</f>
        <v>-0.88697046082947528</v>
      </c>
      <c r="L42" s="121">
        <f>(VLOOKUP($A42,Hitters!$A1:$R401,10,FALSE)-AVERAGE(Rankings!S2:S651))/STDEV(Rankings!S2:S651)</f>
        <v>2.8294849879514964E-3</v>
      </c>
      <c r="M42" s="121">
        <f>(VLOOKUP($A42,Hitters!$A1:$R401,11,FALSE)-AVERAGE(Rankings!T2:T651))/STDEV(Rankings!T2:T651)</f>
        <v>-0.78639778339854027</v>
      </c>
      <c r="N42" s="121">
        <f>(VLOOKUP($A42,Hitters!$A1:$R401,12,FALSE)-AVERAGE(Rankings!U2:U651))/STDEV(Rankings!U2:U651)</f>
        <v>-0.87692992390191649</v>
      </c>
      <c r="O42" s="121">
        <f>(VLOOKUP($A42,Hitters!$A1:$R401,13,FALSE)-AVERAGE(Rankings!V2:V651))/STDEV(Rankings!V2:V651)</f>
        <v>-0.12025138956230989</v>
      </c>
      <c r="P42" s="121">
        <f>(VLOOKUP($A42,Hitters!$A1:$R401,14,FALSE)-AVERAGE(Rankings!W2:W651))/STDEV(Rankings!W2:W651)</f>
        <v>-7.8332859579681502E-2</v>
      </c>
      <c r="Q42" s="121">
        <f>(VLOOKUP($A42,Hitters!$A1:$R401,15,FALSE)-AVERAGE(Rankings!X2:X651))/STDEV(Rankings!X2:X651)</f>
        <v>-0.61180222605894807</v>
      </c>
      <c r="R42" s="121">
        <f>(VLOOKUP($A42,Hitters!$A1:$R401,16,FALSE)-AVERAGE(Rankings!Y2:Y651))/STDEV(Rankings!Y2:Y651)</f>
        <v>-0.31651642564201199</v>
      </c>
      <c r="S42" s="121">
        <f>(VLOOKUP($A42,Hitters!$A1:$R401,17,FALSE)-AVERAGE(Rankings!Z2:Z651))/STDEV(Rankings!Z2:Z651)</f>
        <v>-0.22928436997497328</v>
      </c>
      <c r="T42" s="121">
        <f>IFERROR((VLOOKUP($A42,Hitters!$A1:$R401,18,FALSE)-AVERAGE(Rankings!AA2:AA651))/STDEV(Rankings!AA2:AA651),0)</f>
        <v>0</v>
      </c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</row>
    <row r="43" spans="1:37" ht="18.600000000000001" customHeight="1">
      <c r="A43" s="25" t="s">
        <v>699</v>
      </c>
      <c r="B43" s="26" t="s">
        <v>160</v>
      </c>
      <c r="C43" s="120" t="s">
        <v>7</v>
      </c>
      <c r="D43" s="67">
        <f>(F43*Settings!$C$2)+(G43*Settings!$C$3)+(H43*Settings!$C$4)+(I43*Settings!$C$5)+(J43*Settings!$C$6)+(M43*Settings!$C$9)+(N43*Settings!$C$10)+(O43*Settings!$C$11)+(P43*Settings!$C$12)+(Q43*Settings!$C$13)+(T43*Settings!$C$16)+(K43*Settings!$C$7)+(L43*Settings!$C$8)+(R43*Settings!$C$14)+(S43*Settings!$C$15)</f>
        <v>-2.9096412200500095</v>
      </c>
      <c r="E43" s="67"/>
      <c r="F43" s="121">
        <f>(VLOOKUP($A43,Hitters!$A1:$R401,4,FALSE)-AVERAGE(Rankings!M2:M651))/STDEV(Rankings!M2:M651)</f>
        <v>-1.0752302108081417</v>
      </c>
      <c r="G43" s="121">
        <f>(VLOOKUP($A43,Hitters!$A1:$R401,5,FALSE)-AVERAGE(Rankings!N2:N651))/STDEV(Rankings!N2:N651)</f>
        <v>-0.93071148006874405</v>
      </c>
      <c r="H43" s="121">
        <f>(VLOOKUP($A43,Hitters!$A1:$R401,6,FALSE)-AVERAGE(Rankings!O2:O651))/STDEV(Rankings!O2:O651)</f>
        <v>-0.43820008960800327</v>
      </c>
      <c r="I43" s="121">
        <f>(VLOOKUP($A43,Hitters!$A1:$R401,7,FALSE)-AVERAGE(Rankings!P2:P651))/STDEV(Rankings!P2:P651)</f>
        <v>-0.74484461274849534</v>
      </c>
      <c r="J43" s="121">
        <f>(VLOOKUP($A43,Hitters!$A1:$R401,8,FALSE)-AVERAGE(Rankings!Q2:Q651))/STDEV(Rankings!Q2:Q651)</f>
        <v>-0.82171715206105023</v>
      </c>
      <c r="K43" s="121">
        <f>(VLOOKUP($A43,Hitters!$A1:$R401,9,FALSE)-AVERAGE(Rankings!R2:R651))/STDEV(Rankings!R2:R651)</f>
        <v>2.5832114436283291E-2</v>
      </c>
      <c r="L43" s="121">
        <f>(VLOOKUP($A43,Hitters!$A1:$R401,10,FALSE)-AVERAGE(Rankings!S2:S651))/STDEV(Rankings!S2:S651)</f>
        <v>-0.33516631559597093</v>
      </c>
      <c r="M43" s="121">
        <f>(VLOOKUP($A43,Hitters!$A1:$R401,11,FALSE)-AVERAGE(Rankings!T2:T651))/STDEV(Rankings!T2:T651)</f>
        <v>-0.96746481687751507</v>
      </c>
      <c r="N43" s="121">
        <f>(VLOOKUP($A43,Hitters!$A1:$R401,12,FALSE)-AVERAGE(Rankings!U2:U651))/STDEV(Rankings!U2:U651)</f>
        <v>-0.99598379458863973</v>
      </c>
      <c r="O43" s="121">
        <f>(VLOOKUP($A43,Hitters!$A1:$R401,13,FALSE)-AVERAGE(Rankings!V2:V651))/STDEV(Rankings!V2:V651)</f>
        <v>-0.673352264048656</v>
      </c>
      <c r="P43" s="121">
        <f>(VLOOKUP($A43,Hitters!$A1:$R401,14,FALSE)-AVERAGE(Rankings!W2:W651))/STDEV(Rankings!W2:W651)</f>
        <v>-0.9458112731910977</v>
      </c>
      <c r="Q43" s="121">
        <f>(VLOOKUP($A43,Hitters!$A1:$R401,15,FALSE)-AVERAGE(Rankings!X2:X651))/STDEV(Rankings!X2:X651)</f>
        <v>-1.011421153705276</v>
      </c>
      <c r="R43" s="121">
        <f>(VLOOKUP($A43,Hitters!$A1:$R401,16,FALSE)-AVERAGE(Rankings!Y2:Y651))/STDEV(Rankings!Y2:Y651)</f>
        <v>0.44561167182570521</v>
      </c>
      <c r="S43" s="121">
        <f>(VLOOKUP($A43,Hitters!$A1:$R401,17,FALSE)-AVERAGE(Rankings!Z2:Z651))/STDEV(Rankings!Z2:Z651)</f>
        <v>0.1928038289425115</v>
      </c>
      <c r="T43" s="121">
        <f>IFERROR((VLOOKUP($A43,Hitters!$A1:$R401,18,FALSE)-AVERAGE(Rankings!AA2:AA651))/STDEV(Rankings!AA2:AA651),0)</f>
        <v>0</v>
      </c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</row>
    <row r="44" spans="1:37" ht="18.600000000000001" customHeight="1">
      <c r="A44" s="25" t="s">
        <v>716</v>
      </c>
      <c r="B44" s="26" t="s">
        <v>99</v>
      </c>
      <c r="C44" s="120" t="s">
        <v>7</v>
      </c>
      <c r="D44" s="67">
        <f>(F44*Settings!$C$2)+(G44*Settings!$C$3)+(H44*Settings!$C$4)+(I44*Settings!$C$5)+(J44*Settings!$C$6)+(M44*Settings!$C$9)+(N44*Settings!$C$10)+(O44*Settings!$C$11)+(P44*Settings!$C$12)+(Q44*Settings!$C$13)+(T44*Settings!$C$16)+(K44*Settings!$C$7)+(L44*Settings!$C$8)+(R44*Settings!$C$14)+(S44*Settings!$C$15)</f>
        <v>-3.5157942472844557</v>
      </c>
      <c r="E44" s="67"/>
      <c r="F44" s="121">
        <f>(VLOOKUP($A44,Hitters!$A1:$R401,4,FALSE)-AVERAGE(Rankings!M2:M651))/STDEV(Rankings!M2:M651)</f>
        <v>-0.97598316274206032</v>
      </c>
      <c r="G44" s="121">
        <f>(VLOOKUP($A44,Hitters!$A1:$R401,5,FALSE)-AVERAGE(Rankings!N2:N651))/STDEV(Rankings!N2:N651)</f>
        <v>-0.83053259051770967</v>
      </c>
      <c r="H44" s="121">
        <f>(VLOOKUP($A44,Hitters!$A1:$R401,6,FALSE)-AVERAGE(Rankings!O2:O651))/STDEV(Rankings!O2:O651)</f>
        <v>-0.17922553408168768</v>
      </c>
      <c r="I44" s="121">
        <f>(VLOOKUP($A44,Hitters!$A1:$R401,7,FALSE)-AVERAGE(Rankings!P2:P651))/STDEV(Rankings!P2:P651)</f>
        <v>-0.65235333719399491</v>
      </c>
      <c r="J44" s="121">
        <f>(VLOOKUP($A44,Hitters!$A1:$R401,8,FALSE)-AVERAGE(Rankings!Q2:Q651))/STDEV(Rankings!Q2:Q651)</f>
        <v>-0.30467843136820238</v>
      </c>
      <c r="K44" s="121">
        <f>(VLOOKUP($A44,Hitters!$A1:$R401,9,FALSE)-AVERAGE(Rankings!R2:R651))/STDEV(Rankings!R2:R651)</f>
        <v>-1.5490043541228609</v>
      </c>
      <c r="L44" s="121">
        <f>(VLOOKUP($A44,Hitters!$A1:$R401,10,FALSE)-AVERAGE(Rankings!S2:S651))/STDEV(Rankings!S2:S651)</f>
        <v>-1.2690765627880107</v>
      </c>
      <c r="M44" s="121">
        <f>(VLOOKUP($A44,Hitters!$A1:$R401,11,FALSE)-AVERAGE(Rankings!T2:T651))/STDEV(Rankings!T2:T651)</f>
        <v>-1.1066771592005467</v>
      </c>
      <c r="N44" s="121">
        <f>(VLOOKUP($A44,Hitters!$A1:$R401,12,FALSE)-AVERAGE(Rankings!U2:U651))/STDEV(Rankings!U2:U651)</f>
        <v>-1.1618088287594206</v>
      </c>
      <c r="O44" s="121">
        <f>(VLOOKUP($A44,Hitters!$A1:$R401,13,FALSE)-AVERAGE(Rankings!V2:V651))/STDEV(Rankings!V2:V651)</f>
        <v>-0.56273208915138628</v>
      </c>
      <c r="P44" s="121">
        <f>(VLOOKUP($A44,Hitters!$A1:$R401,14,FALSE)-AVERAGE(Rankings!W2:W651))/STDEV(Rankings!W2:W651)</f>
        <v>-0.73033483640539121</v>
      </c>
      <c r="Q44" s="121">
        <f>(VLOOKUP($A44,Hitters!$A1:$R401,15,FALSE)-AVERAGE(Rankings!X2:X651))/STDEV(Rankings!X2:X651)</f>
        <v>0.35703000340557944</v>
      </c>
      <c r="R44" s="121">
        <f>(VLOOKUP($A44,Hitters!$A1:$R401,16,FALSE)-AVERAGE(Rankings!Y2:Y651))/STDEV(Rankings!Y2:Y651)</f>
        <v>-3.5014398061181874E-2</v>
      </c>
      <c r="S44" s="121">
        <f>(VLOOKUP($A44,Hitters!$A1:$R401,17,FALSE)-AVERAGE(Rankings!Z2:Z651))/STDEV(Rankings!Z2:Z651)</f>
        <v>-0.52362987317442744</v>
      </c>
      <c r="T44" s="121">
        <f>IFERROR((VLOOKUP($A44,Hitters!$A1:$R401,18,FALSE)-AVERAGE(Rankings!AA2:AA651))/STDEV(Rankings!AA2:AA651),0)</f>
        <v>0</v>
      </c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</row>
    <row r="45" spans="1:37" ht="18.600000000000001" customHeight="1">
      <c r="A45" s="25" t="s">
        <v>724</v>
      </c>
      <c r="B45" s="26" t="s">
        <v>139</v>
      </c>
      <c r="C45" s="120" t="s">
        <v>7</v>
      </c>
      <c r="D45" s="67">
        <f>(F45*Settings!$C$2)+(G45*Settings!$C$3)+(H45*Settings!$C$4)+(I45*Settings!$C$5)+(J45*Settings!$C$6)+(M45*Settings!$C$9)+(N45*Settings!$C$10)+(O45*Settings!$C$11)+(P45*Settings!$C$12)+(Q45*Settings!$C$13)+(T45*Settings!$C$16)+(K45*Settings!$C$7)+(L45*Settings!$C$8)+(R45*Settings!$C$14)+(S45*Settings!$C$15)</f>
        <v>-4.0334967193702775</v>
      </c>
      <c r="E45" s="67"/>
      <c r="F45" s="121">
        <f>(VLOOKUP($A45,Hitters!$A1:$R401,4,FALSE)-AVERAGE(Rankings!M2:M651))/STDEV(Rankings!M2:M651)</f>
        <v>-1.1091831483044399</v>
      </c>
      <c r="G45" s="121">
        <f>(VLOOKUP($A45,Hitters!$A1:$R401,5,FALSE)-AVERAGE(Rankings!N2:N651))/STDEV(Rankings!N2:N651)</f>
        <v>-0.91705072240269403</v>
      </c>
      <c r="H45" s="121">
        <f>(VLOOKUP($A45,Hitters!$A1:$R401,6,FALSE)-AVERAGE(Rankings!O2:O651))/STDEV(Rankings!O2:O651)</f>
        <v>-1.014627326102048</v>
      </c>
      <c r="I45" s="121">
        <f>(VLOOKUP($A45,Hitters!$A1:$R401,7,FALSE)-AVERAGE(Rankings!P2:P651))/STDEV(Rankings!P2:P651)</f>
        <v>-1.1687629590399577</v>
      </c>
      <c r="J45" s="121">
        <f>(VLOOKUP($A45,Hitters!$A1:$R401,8,FALSE)-AVERAGE(Rankings!Q2:Q651))/STDEV(Rankings!Q2:Q651)</f>
        <v>-0.52052954777395422</v>
      </c>
      <c r="K45" s="121">
        <f>(VLOOKUP($A45,Hitters!$A1:$R401,9,FALSE)-AVERAGE(Rankings!R2:R651))/STDEV(Rankings!R2:R651)</f>
        <v>-0.41252616405162373</v>
      </c>
      <c r="L45" s="121">
        <f>(VLOOKUP($A45,Hitters!$A1:$R401,10,FALSE)-AVERAGE(Rankings!S2:S651))/STDEV(Rankings!S2:S651)</f>
        <v>0.79169521682626065</v>
      </c>
      <c r="M45" s="121">
        <f>(VLOOKUP($A45,Hitters!$A1:$R401,11,FALSE)-AVERAGE(Rankings!T2:T651))/STDEV(Rankings!T2:T651)</f>
        <v>-1.0557236221411381</v>
      </c>
      <c r="N45" s="121">
        <f>(VLOOKUP($A45,Hitters!$A1:$R401,12,FALSE)-AVERAGE(Rankings!U2:U651))/STDEV(Rankings!U2:U651)</f>
        <v>-0.99173187063553414</v>
      </c>
      <c r="O45" s="121">
        <f>(VLOOKUP($A45,Hitters!$A1:$R401,13,FALSE)-AVERAGE(Rankings!V2:V651))/STDEV(Rankings!V2:V651)</f>
        <v>-0.23087156445957627</v>
      </c>
      <c r="P45" s="121">
        <f>(VLOOKUP($A45,Hitters!$A1:$R401,14,FALSE)-AVERAGE(Rankings!W2:W651))/STDEV(Rankings!W2:W651)</f>
        <v>-0.20278907737832486</v>
      </c>
      <c r="Q45" s="121">
        <f>(VLOOKUP($A45,Hitters!$A1:$R401,15,FALSE)-AVERAGE(Rankings!X2:X651))/STDEV(Rankings!X2:X651)</f>
        <v>-1.0045983915259491</v>
      </c>
      <c r="R45" s="121">
        <f>(VLOOKUP($A45,Hitters!$A1:$R401,16,FALSE)-AVERAGE(Rankings!Y2:Y651))/STDEV(Rankings!Y2:Y651)</f>
        <v>-0.88188229270607144</v>
      </c>
      <c r="S45" s="121">
        <f>(VLOOKUP($A45,Hitters!$A1:$R401,17,FALSE)-AVERAGE(Rankings!Z2:Z651))/STDEV(Rankings!Z2:Z651)</f>
        <v>-0.33117053923551676</v>
      </c>
      <c r="T45" s="121">
        <f>IFERROR((VLOOKUP($A45,Hitters!$A1:$R401,18,FALSE)-AVERAGE(Rankings!AA2:AA651))/STDEV(Rankings!AA2:AA651),0)</f>
        <v>0</v>
      </c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</row>
    <row r="46" spans="1:37" ht="18.600000000000001" customHeight="1">
      <c r="A46" s="25" t="s">
        <v>728</v>
      </c>
      <c r="B46" s="26" t="s">
        <v>105</v>
      </c>
      <c r="C46" s="120" t="s">
        <v>7</v>
      </c>
      <c r="D46" s="67">
        <f>(F46*Settings!$C$2)+(G46*Settings!$C$3)+(H46*Settings!$C$4)+(I46*Settings!$C$5)+(J46*Settings!$C$6)+(M46*Settings!$C$9)+(N46*Settings!$C$10)+(O46*Settings!$C$11)+(P46*Settings!$C$12)+(Q46*Settings!$C$13)+(T46*Settings!$C$16)+(K46*Settings!$C$7)+(L46*Settings!$C$8)+(R46*Settings!$C$14)+(S46*Settings!$C$15)</f>
        <v>-4.2126484215313855</v>
      </c>
      <c r="E46" s="67"/>
      <c r="F46" s="121">
        <f>(VLOOKUP($A46,Hitters!$A1:$R401,4,FALSE)-AVERAGE(Rankings!M2:M651))/STDEV(Rankings!M2:M651)</f>
        <v>-1.3390184175101119</v>
      </c>
      <c r="G46" s="121">
        <f>(VLOOKUP($A46,Hitters!$A1:$R401,5,FALSE)-AVERAGE(Rankings!N2:N651))/STDEV(Rankings!N2:N651)</f>
        <v>-1.149283602725546</v>
      </c>
      <c r="H46" s="121">
        <f>(VLOOKUP($A46,Hitters!$A1:$R401,6,FALSE)-AVERAGE(Rankings!O2:O651))/STDEV(Rankings!O2:O651)</f>
        <v>-0.44237709856810103</v>
      </c>
      <c r="I46" s="121">
        <f>(VLOOKUP($A46,Hitters!$A1:$R401,7,FALSE)-AVERAGE(Rankings!P2:P651))/STDEV(Rankings!P2:P651)</f>
        <v>-0.87124935600631126</v>
      </c>
      <c r="J46" s="121">
        <f>(VLOOKUP($A46,Hitters!$A1:$R401,8,FALSE)-AVERAGE(Rankings!Q2:Q651))/STDEV(Rankings!Q2:Q651)</f>
        <v>-0.69622231694142744</v>
      </c>
      <c r="K46" s="121">
        <f>(VLOOKUP($A46,Hitters!$A1:$R401,9,FALSE)-AVERAGE(Rankings!R2:R651))/STDEV(Rankings!R2:R651)</f>
        <v>-1.05351604729</v>
      </c>
      <c r="L46" s="121">
        <f>(VLOOKUP($A46,Hitters!$A1:$R401,10,FALSE)-AVERAGE(Rankings!S2:S651))/STDEV(Rankings!S2:S651)</f>
        <v>-1.0821604614522504</v>
      </c>
      <c r="M46" s="121">
        <f>(VLOOKUP($A46,Hitters!$A1:$R401,11,FALSE)-AVERAGE(Rankings!T2:T651))/STDEV(Rankings!T2:T651)</f>
        <v>-1.3241395762933879</v>
      </c>
      <c r="N46" s="121">
        <f>(VLOOKUP($A46,Hitters!$A1:$R401,12,FALSE)-AVERAGE(Rankings!U2:U651))/STDEV(Rankings!U2:U651)</f>
        <v>-1.3914127222266519</v>
      </c>
      <c r="O46" s="121">
        <f>(VLOOKUP($A46,Hitters!$A1:$R401,13,FALSE)-AVERAGE(Rankings!V2:V651))/STDEV(Rankings!V2:V651)</f>
        <v>4.5678872783593831E-2</v>
      </c>
      <c r="P46" s="121">
        <f>(VLOOKUP($A46,Hitters!$A1:$R401,14,FALSE)-AVERAGE(Rankings!W2:W651))/STDEV(Rankings!W2:W651)</f>
        <v>-1.0535494915839481</v>
      </c>
      <c r="Q46" s="121">
        <f>(VLOOKUP($A46,Hitters!$A1:$R401,15,FALSE)-AVERAGE(Rankings!X2:X651))/STDEV(Rankings!X2:X651)</f>
        <v>-0.47534698247239549</v>
      </c>
      <c r="R46" s="121">
        <f>(VLOOKUP($A46,Hitters!$A1:$R401,16,FALSE)-AVERAGE(Rankings!Y2:Y651))/STDEV(Rankings!Y2:Y651)</f>
        <v>0.45870507564486573</v>
      </c>
      <c r="S46" s="121">
        <f>(VLOOKUP($A46,Hitters!$A1:$R401,17,FALSE)-AVERAGE(Rankings!Z2:Z651))/STDEV(Rankings!Z2:Z651)</f>
        <v>-9.0878256418061035E-2</v>
      </c>
      <c r="T46" s="121">
        <f>IFERROR((VLOOKUP($A46,Hitters!$A1:$R401,18,FALSE)-AVERAGE(Rankings!AA2:AA651))/STDEV(Rankings!AA2:AA651),0)</f>
        <v>0</v>
      </c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</row>
    <row r="47" spans="1:37" ht="18.600000000000001" customHeight="1">
      <c r="A47" s="25" t="s">
        <v>729</v>
      </c>
      <c r="B47" s="26" t="s">
        <v>95</v>
      </c>
      <c r="C47" s="120" t="s">
        <v>7</v>
      </c>
      <c r="D47" s="67">
        <f>(F47*Settings!$C$2)+(G47*Settings!$C$3)+(H47*Settings!$C$4)+(I47*Settings!$C$5)+(J47*Settings!$C$6)+(M47*Settings!$C$9)+(N47*Settings!$C$10)+(O47*Settings!$C$11)+(P47*Settings!$C$12)+(Q47*Settings!$C$13)+(T47*Settings!$C$16)+(K47*Settings!$C$7)+(L47*Settings!$C$8)+(R47*Settings!$C$14)+(S47*Settings!$C$15)</f>
        <v>-4.3337583080501272</v>
      </c>
      <c r="E47" s="67"/>
      <c r="F47" s="121">
        <f>(VLOOKUP($A47,Hitters!$A1:$R401,4,FALSE)-AVERAGE(Rankings!M2:M651))/STDEV(Rankings!M2:M651)</f>
        <v>-1.0595596242713912</v>
      </c>
      <c r="G47" s="121">
        <f>(VLOOKUP($A47,Hitters!$A1:$R401,5,FALSE)-AVERAGE(Rankings!N2:N651))/STDEV(Rankings!N2:N651)</f>
        <v>-0.73187156292956834</v>
      </c>
      <c r="H47" s="121">
        <f>(VLOOKUP($A47,Hitters!$A1:$R401,6,FALSE)-AVERAGE(Rankings!O2:O651))/STDEV(Rankings!O2:O651)</f>
        <v>-0.84336995873787379</v>
      </c>
      <c r="I47" s="121">
        <f>(VLOOKUP($A47,Hitters!$A1:$R401,7,FALSE)-AVERAGE(Rankings!P2:P651))/STDEV(Rankings!P2:P651)</f>
        <v>-1.0176938756342719</v>
      </c>
      <c r="J47" s="121">
        <f>(VLOOKUP($A47,Hitters!$A1:$R401,8,FALSE)-AVERAGE(Rankings!Q2:Q651))/STDEV(Rankings!Q2:Q651)</f>
        <v>-0.43519305989260976</v>
      </c>
      <c r="K47" s="121">
        <f>(VLOOKUP($A47,Hitters!$A1:$R401,9,FALSE)-AVERAGE(Rankings!R2:R651))/STDEV(Rankings!R2:R651)</f>
        <v>-1.3056298508558031</v>
      </c>
      <c r="L47" s="121">
        <f>(VLOOKUP($A47,Hitters!$A1:$R401,10,FALSE)-AVERAGE(Rankings!S2:S651))/STDEV(Rankings!S2:S651)</f>
        <v>0.51807378114941982</v>
      </c>
      <c r="M47" s="121">
        <f>(VLOOKUP($A47,Hitters!$A1:$R401,11,FALSE)-AVERAGE(Rankings!T2:T651))/STDEV(Rankings!T2:T651)</f>
        <v>-1.1367033506819848</v>
      </c>
      <c r="N47" s="121">
        <f>(VLOOKUP($A47,Hitters!$A1:$R401,12,FALSE)-AVERAGE(Rankings!U2:U651))/STDEV(Rankings!U2:U651)</f>
        <v>-0.67283757415326306</v>
      </c>
      <c r="O47" s="121">
        <f>(VLOOKUP($A47,Hitters!$A1:$R401,13,FALSE)-AVERAGE(Rankings!V2:V651))/STDEV(Rankings!V2:V651)</f>
        <v>-0.64569722032433818</v>
      </c>
      <c r="P47" s="121">
        <f>(VLOOKUP($A47,Hitters!$A1:$R401,14,FALSE)-AVERAGE(Rankings!W2:W651))/STDEV(Rankings!W2:W651)</f>
        <v>6.4698913114273809E-2</v>
      </c>
      <c r="Q47" s="121">
        <f>(VLOOKUP($A47,Hitters!$A1:$R401,15,FALSE)-AVERAGE(Rankings!X2:X651))/STDEV(Rankings!X2:X651)</f>
        <v>-0.53480248146367781</v>
      </c>
      <c r="R47" s="121">
        <f>(VLOOKUP($A47,Hitters!$A1:$R401,16,FALSE)-AVERAGE(Rankings!Y2:Y651))/STDEV(Rankings!Y2:Y651)</f>
        <v>-0.85903223159002384</v>
      </c>
      <c r="S47" s="121">
        <f>(VLOOKUP($A47,Hitters!$A1:$R401,17,FALSE)-AVERAGE(Rankings!Z2:Z651))/STDEV(Rankings!Z2:Z651)</f>
        <v>-0.42194067551387543</v>
      </c>
      <c r="T47" s="121">
        <f>IFERROR((VLOOKUP($A47,Hitters!$A1:$R401,18,FALSE)-AVERAGE(Rankings!AA2:AA651))/STDEV(Rankings!AA2:AA651),0)</f>
        <v>0</v>
      </c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</row>
    <row r="48" spans="1:37" ht="18.600000000000001" customHeight="1">
      <c r="A48" s="25" t="s">
        <v>733</v>
      </c>
      <c r="B48" s="26" t="s">
        <v>72</v>
      </c>
      <c r="C48" s="120" t="s">
        <v>7</v>
      </c>
      <c r="D48" s="67">
        <f>(F48*Settings!$C$2)+(G48*Settings!$C$3)+(H48*Settings!$C$4)+(I48*Settings!$C$5)+(J48*Settings!$C$6)+(M48*Settings!$C$9)+(N48*Settings!$C$10)+(O48*Settings!$C$11)+(P48*Settings!$C$12)+(Q48*Settings!$C$13)+(T48*Settings!$C$16)+(K48*Settings!$C$7)+(L48*Settings!$C$8)+(R48*Settings!$C$14)+(S48*Settings!$C$15)</f>
        <v>-4.8398982573407352</v>
      </c>
      <c r="E48" s="67"/>
      <c r="F48" s="121">
        <f>(VLOOKUP($A48,Hitters!$A1:$R401,4,FALSE)-AVERAGE(Rankings!M2:M651))/STDEV(Rankings!M2:M651)</f>
        <v>-1.7516771963112123</v>
      </c>
      <c r="G48" s="121">
        <f>(VLOOKUP($A48,Hitters!$A1:$R401,5,FALSE)-AVERAGE(Rankings!N2:N651))/STDEV(Rankings!N2:N651)</f>
        <v>-1.5606241946699426</v>
      </c>
      <c r="H48" s="121">
        <f>(VLOOKUP($A48,Hitters!$A1:$R401,6,FALSE)-AVERAGE(Rankings!O2:O651))/STDEV(Rankings!O2:O651)</f>
        <v>-0.93944116482021556</v>
      </c>
      <c r="I48" s="121">
        <f>(VLOOKUP($A48,Hitters!$A1:$R401,7,FALSE)-AVERAGE(Rankings!P2:P651))/STDEV(Rankings!P2:P651)</f>
        <v>-1.2119255542987231</v>
      </c>
      <c r="J48" s="121">
        <f>(VLOOKUP($A48,Hitters!$A1:$R401,8,FALSE)-AVERAGE(Rankings!Q2:Q651))/STDEV(Rankings!Q2:Q651)</f>
        <v>-0.94721198718067368</v>
      </c>
      <c r="K48" s="121">
        <f>(VLOOKUP($A48,Hitters!$A1:$R401,9,FALSE)-AVERAGE(Rankings!R2:R651))/STDEV(Rankings!R2:R651)</f>
        <v>-0.18069535637118092</v>
      </c>
      <c r="L48" s="121">
        <f>(VLOOKUP($A48,Hitters!$A1:$R401,10,FALSE)-AVERAGE(Rankings!S2:S651))/STDEV(Rankings!S2:S651)</f>
        <v>0.25488644449994879</v>
      </c>
      <c r="M48" s="121">
        <f>(VLOOKUP($A48,Hitters!$A1:$R401,11,FALSE)-AVERAGE(Rankings!T2:T651))/STDEV(Rankings!T2:T651)</f>
        <v>-1.5752677232290526</v>
      </c>
      <c r="N48" s="121">
        <f>(VLOOKUP($A48,Hitters!$A1:$R401,12,FALSE)-AVERAGE(Rankings!U2:U651))/STDEV(Rankings!U2:U651)</f>
        <v>-1.6082608438345962</v>
      </c>
      <c r="O48" s="121">
        <f>(VLOOKUP($A48,Hitters!$A1:$R401,13,FALSE)-AVERAGE(Rankings!V2:V651))/STDEV(Rankings!V2:V651)</f>
        <v>-1.3370733134322708</v>
      </c>
      <c r="P48" s="121">
        <f>(VLOOKUP($A48,Hitters!$A1:$R401,14,FALSE)-AVERAGE(Rankings!W2:W651))/STDEV(Rankings!W2:W651)</f>
        <v>-1.0832703794164629</v>
      </c>
      <c r="Q48" s="121">
        <f>(VLOOKUP($A48,Hitters!$A1:$R401,15,FALSE)-AVERAGE(Rankings!X2:X651))/STDEV(Rankings!X2:X651)</f>
        <v>-1.4510019741162405</v>
      </c>
      <c r="R48" s="121">
        <f>(VLOOKUP($A48,Hitters!$A1:$R401,16,FALSE)-AVERAGE(Rankings!Y2:Y651))/STDEV(Rankings!Y2:Y651)</f>
        <v>1.9374955286647897E-3</v>
      </c>
      <c r="S48" s="121">
        <f>(VLOOKUP($A48,Hitters!$A1:$R401,17,FALSE)-AVERAGE(Rankings!Z2:Z651))/STDEV(Rankings!Z2:Z651)</f>
        <v>0.10145928293770663</v>
      </c>
      <c r="T48" s="121">
        <f>IFERROR((VLOOKUP($A48,Hitters!$A1:$R401,18,FALSE)-AVERAGE(Rankings!AA2:AA651))/STDEV(Rankings!AA2:AA651),0)</f>
        <v>0</v>
      </c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</row>
    <row r="49" spans="1:37" ht="18.600000000000001" customHeight="1">
      <c r="A49" s="25" t="s">
        <v>737</v>
      </c>
      <c r="B49" s="26" t="s">
        <v>142</v>
      </c>
      <c r="C49" s="120" t="s">
        <v>7</v>
      </c>
      <c r="D49" s="67">
        <f>(F49*Settings!$C$2)+(G49*Settings!$C$3)+(H49*Settings!$C$4)+(I49*Settings!$C$5)+(J49*Settings!$C$6)+(M49*Settings!$C$9)+(N49*Settings!$C$10)+(O49*Settings!$C$11)+(P49*Settings!$C$12)+(Q49*Settings!$C$13)+(T49*Settings!$C$16)+(K49*Settings!$C$7)+(L49*Settings!$C$8)+(R49*Settings!$C$14)+(S49*Settings!$C$15)</f>
        <v>-5.3427213446241497</v>
      </c>
      <c r="E49" s="67"/>
      <c r="F49" s="121">
        <f>(VLOOKUP($A49,Hitters!$A1:$R401,4,FALSE)-AVERAGE(Rankings!M2:M651))/STDEV(Rankings!M2:M651)</f>
        <v>-1.4173713501938647</v>
      </c>
      <c r="G49" s="121">
        <f>(VLOOKUP($A49,Hitters!$A1:$R401,5,FALSE)-AVERAGE(Rankings!N2:N651))/STDEV(Rankings!N2:N651)</f>
        <v>-1.2221409769444798</v>
      </c>
      <c r="H49" s="121">
        <f>(VLOOKUP($A49,Hitters!$A1:$R401,6,FALSE)-AVERAGE(Rankings!O2:O651))/STDEV(Rankings!O2:O651)</f>
        <v>-0.73685623025527791</v>
      </c>
      <c r="I49" s="121">
        <f>(VLOOKUP($A49,Hitters!$A1:$R401,7,FALSE)-AVERAGE(Rankings!P2:P651))/STDEV(Rankings!P2:P651)</f>
        <v>-1.1610553527437477</v>
      </c>
      <c r="J49" s="121">
        <f>(VLOOKUP($A49,Hitters!$A1:$R401,8,FALSE)-AVERAGE(Rankings!Q2:Q651))/STDEV(Rankings!Q2:Q651)</f>
        <v>-0.50547016755959939</v>
      </c>
      <c r="K49" s="121">
        <f>(VLOOKUP($A49,Hitters!$A1:$R401,9,FALSE)-AVERAGE(Rankings!R2:R651))/STDEV(Rankings!R2:R651)</f>
        <v>-1.7171986171210452</v>
      </c>
      <c r="L49" s="121">
        <f>(VLOOKUP($A49,Hitters!$A1:$R401,10,FALSE)-AVERAGE(Rankings!S2:S651))/STDEV(Rankings!S2:S651)</f>
        <v>-0.24872536803123554</v>
      </c>
      <c r="M49" s="121">
        <f>(VLOOKUP($A49,Hitters!$A1:$R401,11,FALSE)-AVERAGE(Rankings!T2:T651))/STDEV(Rankings!T2:T651)</f>
        <v>-1.4606222648453797</v>
      </c>
      <c r="N49" s="121">
        <f>(VLOOKUP($A49,Hitters!$A1:$R401,12,FALSE)-AVERAGE(Rankings!U2:U651))/STDEV(Rankings!U2:U651)</f>
        <v>-1.2872405853757762</v>
      </c>
      <c r="O49" s="121">
        <f>(VLOOKUP($A49,Hitters!$A1:$R401,13,FALSE)-AVERAGE(Rankings!V2:V651))/STDEV(Rankings!V2:V651)</f>
        <v>-0.78397243894592494</v>
      </c>
      <c r="P49" s="121">
        <f>(VLOOKUP($A49,Hitters!$A1:$R401,14,FALSE)-AVERAGE(Rankings!W2:W651))/STDEV(Rankings!W2:W651)</f>
        <v>-0.53343395451500775</v>
      </c>
      <c r="Q49" s="121">
        <f>(VLOOKUP($A49,Hitters!$A1:$R401,15,FALSE)-AVERAGE(Rankings!X2:X651))/STDEV(Rankings!X2:X651)</f>
        <v>-0.65371347944624492</v>
      </c>
      <c r="R49" s="121">
        <f>(VLOOKUP($A49,Hitters!$A1:$R401,16,FALSE)-AVERAGE(Rankings!Y2:Y651))/STDEV(Rankings!Y2:Y651)</f>
        <v>-0.54491488629046381</v>
      </c>
      <c r="S49" s="121">
        <f>(VLOOKUP($A49,Hitters!$A1:$R401,17,FALSE)-AVERAGE(Rankings!Z2:Z651))/STDEV(Rankings!Z2:Z651)</f>
        <v>-0.49427879526144525</v>
      </c>
      <c r="T49" s="121">
        <f>IFERROR((VLOOKUP($A49,Hitters!$A1:$R401,18,FALSE)-AVERAGE(Rankings!AA2:AA651))/STDEV(Rankings!AA2:AA651),0)</f>
        <v>0</v>
      </c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</row>
    <row r="50" spans="1:37" ht="18.600000000000001" customHeight="1">
      <c r="A50" s="25" t="s">
        <v>739</v>
      </c>
      <c r="B50" s="26" t="s">
        <v>119</v>
      </c>
      <c r="C50" s="120" t="s">
        <v>7</v>
      </c>
      <c r="D50" s="67">
        <f>(F50*Settings!$C$2)+(G50*Settings!$C$3)+(H50*Settings!$C$4)+(I50*Settings!$C$5)+(J50*Settings!$C$6)+(M50*Settings!$C$9)+(N50*Settings!$C$10)+(O50*Settings!$C$11)+(P50*Settings!$C$12)+(Q50*Settings!$C$13)+(T50*Settings!$C$16)+(K50*Settings!$C$7)+(L50*Settings!$C$8)+(R50*Settings!$C$14)+(S50*Settings!$C$15)</f>
        <v>-5.5089391493800903</v>
      </c>
      <c r="E50" s="67"/>
      <c r="F50" s="121">
        <f>(VLOOKUP($A50,Hitters!$A1:$R401,4,FALSE)-AVERAGE(Rankings!M2:M651))/STDEV(Rankings!M2:M651)</f>
        <v>-1.4591595809585303</v>
      </c>
      <c r="G50" s="121">
        <f>(VLOOKUP($A50,Hitters!$A1:$R401,5,FALSE)-AVERAGE(Rankings!N2:N651))/STDEV(Rankings!N2:N651)</f>
        <v>-1.2388374585363204</v>
      </c>
      <c r="H50" s="121">
        <f>(VLOOKUP($A50,Hitters!$A1:$R401,6,FALSE)-AVERAGE(Rankings!O2:O651))/STDEV(Rankings!O2:O651)</f>
        <v>-0.6554045555332928</v>
      </c>
      <c r="I50" s="121">
        <f>(VLOOKUP($A50,Hitters!$A1:$R401,7,FALSE)-AVERAGE(Rankings!P2:P651))/STDEV(Rankings!P2:P651)</f>
        <v>-1.0886038535593874</v>
      </c>
      <c r="J50" s="121">
        <f>(VLOOKUP($A50,Hitters!$A1:$R401,8,FALSE)-AVERAGE(Rankings!Q2:Q651))/STDEV(Rankings!Q2:Q651)</f>
        <v>-0.68618273013185704</v>
      </c>
      <c r="K50" s="121">
        <f>(VLOOKUP($A50,Hitters!$A1:$R401,9,FALSE)-AVERAGE(Rankings!R2:R651))/STDEV(Rankings!R2:R651)</f>
        <v>-1.8399105516192324</v>
      </c>
      <c r="L50" s="121">
        <f>(VLOOKUP($A50,Hitters!$A1:$R401,10,FALSE)-AVERAGE(Rankings!S2:S651))/STDEV(Rankings!S2:S651)</f>
        <v>-0.61998165173390352</v>
      </c>
      <c r="M50" s="121">
        <f>(VLOOKUP($A50,Hitters!$A1:$R401,11,FALSE)-AVERAGE(Rankings!T2:T651))/STDEV(Rankings!T2:T651)</f>
        <v>-1.5052066097723626</v>
      </c>
      <c r="N50" s="121">
        <f>(VLOOKUP($A50,Hitters!$A1:$R401,12,FALSE)-AVERAGE(Rankings!U2:U651))/STDEV(Rankings!U2:U651)</f>
        <v>-1.2851146233992274</v>
      </c>
      <c r="O50" s="121">
        <f>(VLOOKUP($A50,Hitters!$A1:$R401,13,FALSE)-AVERAGE(Rankings!V2:V651))/STDEV(Rankings!V2:V651)</f>
        <v>-9.2596345837995267E-2</v>
      </c>
      <c r="P50" s="121">
        <f>(VLOOKUP($A50,Hitters!$A1:$R401,14,FALSE)-AVERAGE(Rankings!W2:W651))/STDEV(Rankings!W2:W651)</f>
        <v>-0.69132617112522043</v>
      </c>
      <c r="Q50" s="121">
        <f>(VLOOKUP($A50,Hitters!$A1:$R401,15,FALSE)-AVERAGE(Rankings!X2:X651))/STDEV(Rankings!X2:X651)</f>
        <v>-0.62934647166293312</v>
      </c>
      <c r="R50" s="121">
        <f>(VLOOKUP($A50,Hitters!$A1:$R401,16,FALSE)-AVERAGE(Rankings!Y2:Y651))/STDEV(Rankings!Y2:Y651)</f>
        <v>-6.9941103553767495E-2</v>
      </c>
      <c r="S50" s="121">
        <f>(VLOOKUP($A50,Hitters!$A1:$R401,17,FALSE)-AVERAGE(Rankings!Z2:Z651))/STDEV(Rankings!Z2:Z651)</f>
        <v>-0.29426820182396596</v>
      </c>
      <c r="T50" s="121">
        <f>IFERROR((VLOOKUP($A50,Hitters!$A1:$R401,18,FALSE)-AVERAGE(Rankings!AA2:AA651))/STDEV(Rankings!AA2:AA651),0)</f>
        <v>0</v>
      </c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</row>
    <row r="51" spans="1:37" ht="18.600000000000001" customHeight="1">
      <c r="A51" s="25" t="s">
        <v>147</v>
      </c>
      <c r="B51" s="26" t="s">
        <v>79</v>
      </c>
      <c r="C51" s="122" t="s">
        <v>11</v>
      </c>
      <c r="D51" s="67">
        <f>(F51*Settings!$C$2)+(G51*Settings!$C$3)+(H51*Settings!$C$4)+(I51*Settings!$C$5)+(J51*Settings!$C$6)+(M51*Settings!$C$9)+(N51*Settings!$C$10)+(O51*Settings!$C$11)+(P51*Settings!$C$12)+(Q51*Settings!$C$13)+(T51*Settings!$C$16)+(K51*Settings!$C$7)+(L51*Settings!$C$8)+(R51*Settings!$C$14)+(S51*Settings!$C$15)</f>
        <v>6.7062956375202827</v>
      </c>
      <c r="E51" s="67"/>
      <c r="F51" s="121">
        <f>(VLOOKUP($A51,Hitters!$A1:$R401,4,FALSE)-AVERAGE(Rankings!M2:M651))/STDEV(Rankings!M2:M651)</f>
        <v>1.4216165773807743</v>
      </c>
      <c r="G51" s="121">
        <f>(VLOOKUP($A51,Hitters!$A1:$R401,5,FALSE)-AVERAGE(Rankings!N2:N651))/STDEV(Rankings!N2:N651)</f>
        <v>2.264387951824105</v>
      </c>
      <c r="H51" s="121">
        <f>(VLOOKUP($A51,Hitters!$A1:$R401,6,FALSE)-AVERAGE(Rankings!O2:O651))/STDEV(Rankings!O2:O651)</f>
        <v>1.4038608617968904</v>
      </c>
      <c r="I51" s="121">
        <f>(VLOOKUP($A51,Hitters!$A1:$R401,7,FALSE)-AVERAGE(Rankings!P2:P651))/STDEV(Rankings!P2:P651)</f>
        <v>0.8583374968628481</v>
      </c>
      <c r="J51" s="121">
        <f>(VLOOKUP($A51,Hitters!$A1:$R401,8,FALSE)-AVERAGE(Rankings!Q2:Q651))/STDEV(Rankings!Q2:Q651)</f>
        <v>0.81975529130362357</v>
      </c>
      <c r="K51" s="121">
        <f>(VLOOKUP($A51,Hitters!$A1:$R401,9,FALSE)-AVERAGE(Rankings!R2:R651))/STDEV(Rankings!R2:R651)</f>
        <v>1.3599540357328146</v>
      </c>
      <c r="L51" s="121">
        <f>(VLOOKUP($A51,Hitters!$A1:$R401,10,FALSE)-AVERAGE(Rankings!S2:S651))/STDEV(Rankings!S2:S651)</f>
        <v>1.4795669110609586</v>
      </c>
      <c r="M51" s="121">
        <f>(VLOOKUP($A51,Hitters!$A1:$R401,11,FALSE)-AVERAGE(Rankings!T2:T651))/STDEV(Rankings!T2:T651)</f>
        <v>1.6284359193813771</v>
      </c>
      <c r="N51" s="121">
        <f>(VLOOKUP($A51,Hitters!$A1:$R401,12,FALSE)-AVERAGE(Rankings!U2:U651))/STDEV(Rankings!U2:U651)</f>
        <v>1.7167436874872173</v>
      </c>
      <c r="O51" s="121">
        <f>(VLOOKUP($A51,Hitters!$A1:$R401,13,FALSE)-AVERAGE(Rankings!V2:V651))/STDEV(Rankings!V2:V651)</f>
        <v>-0.89459261384319366</v>
      </c>
      <c r="P51" s="121">
        <f>(VLOOKUP($A51,Hitters!$A1:$R401,14,FALSE)-AVERAGE(Rankings!W2:W651))/STDEV(Rankings!W2:W651)</f>
        <v>1.4430050863469741</v>
      </c>
      <c r="Q51" s="121">
        <f>(VLOOKUP($A51,Hitters!$A1:$R401,15,FALSE)-AVERAGE(Rankings!X2:X651))/STDEV(Rankings!X2:X651)</f>
        <v>1.8815935373188038E-2</v>
      </c>
      <c r="R51" s="121">
        <f>(VLOOKUP($A51,Hitters!$A1:$R401,16,FALSE)-AVERAGE(Rankings!Y2:Y651))/STDEV(Rankings!Y2:Y651)</f>
        <v>1.2990926952353312</v>
      </c>
      <c r="S51" s="121">
        <f>(VLOOKUP($A51,Hitters!$A1:$R401,17,FALSE)-AVERAGE(Rankings!Z2:Z651))/STDEV(Rankings!Z2:Z651)</f>
        <v>1.5263857077079488</v>
      </c>
      <c r="T51" s="121">
        <f>IFERROR((VLOOKUP($A51,Hitters!$A1:$R401,18,FALSE)-AVERAGE(Rankings!AA2:AA651))/STDEV(Rankings!AA2:AA651),0)</f>
        <v>0</v>
      </c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</row>
    <row r="52" spans="1:37" ht="18.600000000000001" customHeight="1">
      <c r="A52" s="25" t="s">
        <v>150</v>
      </c>
      <c r="B52" s="26" t="s">
        <v>87</v>
      </c>
      <c r="C52" s="122" t="s">
        <v>11</v>
      </c>
      <c r="D52" s="67">
        <f>(F52*Settings!$C$2)+(G52*Settings!$C$3)+(H52*Settings!$C$4)+(I52*Settings!$C$5)+(J52*Settings!$C$6)+(M52*Settings!$C$9)+(N52*Settings!$C$10)+(O52*Settings!$C$11)+(P52*Settings!$C$12)+(Q52*Settings!$C$13)+(T52*Settings!$C$16)+(K52*Settings!$C$7)+(L52*Settings!$C$8)+(R52*Settings!$C$14)+(S52*Settings!$C$15)</f>
        <v>6.4434880040004376</v>
      </c>
      <c r="E52" s="67"/>
      <c r="F52" s="121">
        <f>(VLOOKUP($A52,Hitters!$A1:$R401,4,FALSE)-AVERAGE(Rankings!M2:M651))/STDEV(Rankings!M2:M651)</f>
        <v>1.7350283081157853</v>
      </c>
      <c r="G52" s="121">
        <f>(VLOOKUP($A52,Hitters!$A1:$R401,5,FALSE)-AVERAGE(Rankings!N2:N651))/STDEV(Rankings!N2:N651)</f>
        <v>1.8788510132488978</v>
      </c>
      <c r="H52" s="121">
        <f>(VLOOKUP($A52,Hitters!$A1:$R401,6,FALSE)-AVERAGE(Rankings!O2:O651))/STDEV(Rankings!O2:O651)</f>
        <v>1.5458791664403602</v>
      </c>
      <c r="I52" s="121">
        <f>(VLOOKUP($A52,Hitters!$A1:$R401,7,FALSE)-AVERAGE(Rankings!P2:P651))/STDEV(Rankings!P2:P651)</f>
        <v>1.1342698022671047</v>
      </c>
      <c r="J52" s="121">
        <f>(VLOOKUP($A52,Hitters!$A1:$R401,8,FALSE)-AVERAGE(Rankings!Q2:Q651))/STDEV(Rankings!Q2:Q651)</f>
        <v>1.8186941788558209</v>
      </c>
      <c r="K52" s="121">
        <f>(VLOOKUP($A52,Hitters!$A1:$R401,9,FALSE)-AVERAGE(Rankings!R2:R651))/STDEV(Rankings!R2:R651)</f>
        <v>6.5793843188254514E-2</v>
      </c>
      <c r="L52" s="121">
        <f>(VLOOKUP($A52,Hitters!$A1:$R401,10,FALSE)-AVERAGE(Rankings!S2:S651))/STDEV(Rankings!S2:S651)</f>
        <v>5.1791335942322124E-2</v>
      </c>
      <c r="M52" s="121">
        <f>(VLOOKUP($A52,Hitters!$A1:$R401,11,FALSE)-AVERAGE(Rankings!T2:T651))/STDEV(Rankings!T2:T651)</f>
        <v>1.4955927691907622</v>
      </c>
      <c r="N52" s="121">
        <f>(VLOOKUP($A52,Hitters!$A1:$R401,12,FALSE)-AVERAGE(Rankings!U2:U651))/STDEV(Rankings!U2:U651)</f>
        <v>1.3383224556615849</v>
      </c>
      <c r="O52" s="121">
        <f>(VLOOKUP($A52,Hitters!$A1:$R401,13,FALSE)-AVERAGE(Rankings!V2:V651))/STDEV(Rankings!V2:V651)</f>
        <v>1.4284310589994611</v>
      </c>
      <c r="P52" s="121">
        <f>(VLOOKUP($A52,Hitters!$A1:$R401,14,FALSE)-AVERAGE(Rankings!W2:W651))/STDEV(Rankings!W2:W651)</f>
        <v>1.1216479866579472</v>
      </c>
      <c r="Q52" s="121">
        <f>(VLOOKUP($A52,Hitters!$A1:$R401,15,FALSE)-AVERAGE(Rankings!X2:X651))/STDEV(Rankings!X2:X651)</f>
        <v>0.80148422537320441</v>
      </c>
      <c r="R52" s="121">
        <f>(VLOOKUP($A52,Hitters!$A1:$R401,16,FALSE)-AVERAGE(Rankings!Y2:Y651))/STDEV(Rankings!Y2:Y651)</f>
        <v>0.63240602227469778</v>
      </c>
      <c r="S52" s="121">
        <f>(VLOOKUP($A52,Hitters!$A1:$R401,17,FALSE)-AVERAGE(Rankings!Z2:Z651))/STDEV(Rankings!Z2:Z651)</f>
        <v>0.48066307085382631</v>
      </c>
      <c r="T52" s="121">
        <f>IFERROR((VLOOKUP($A52,Hitters!$A1:$R401,18,FALSE)-AVERAGE(Rankings!AA2:AA651))/STDEV(Rankings!AA2:AA651),0)</f>
        <v>0</v>
      </c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</row>
    <row r="53" spans="1:37" ht="18.600000000000001" customHeight="1">
      <c r="A53" s="25" t="s">
        <v>162</v>
      </c>
      <c r="B53" s="26" t="s">
        <v>136</v>
      </c>
      <c r="C53" s="122" t="s">
        <v>11</v>
      </c>
      <c r="D53" s="67">
        <f>(F53*Settings!$C$2)+(G53*Settings!$C$3)+(H53*Settings!$C$4)+(I53*Settings!$C$5)+(J53*Settings!$C$6)+(M53*Settings!$C$9)+(N53*Settings!$C$10)+(O53*Settings!$C$11)+(P53*Settings!$C$12)+(Q53*Settings!$C$13)+(T53*Settings!$C$16)+(K53*Settings!$C$7)+(L53*Settings!$C$8)+(R53*Settings!$C$14)+(S53*Settings!$C$15)</f>
        <v>6.0994740710770161</v>
      </c>
      <c r="E53" s="67"/>
      <c r="F53" s="121">
        <f>(VLOOKUP($A53,Hitters!$A1:$R401,4,FALSE)-AVERAGE(Rankings!M2:M651))/STDEV(Rankings!M2:M651)</f>
        <v>0.91754604378196725</v>
      </c>
      <c r="G53" s="121">
        <f>(VLOOKUP($A53,Hitters!$A1:$R401,5,FALSE)-AVERAGE(Rankings!N2:N651))/STDEV(Rankings!N2:N651)</f>
        <v>1.1320629275048242</v>
      </c>
      <c r="H53" s="121">
        <f>(VLOOKUP($A53,Hitters!$A1:$R401,6,FALSE)-AVERAGE(Rankings!O2:O651))/STDEV(Rankings!O2:O651)</f>
        <v>1.3077896557145572</v>
      </c>
      <c r="I53" s="121">
        <f>(VLOOKUP($A53,Hitters!$A1:$R401,7,FALSE)-AVERAGE(Rankings!P2:P651))/STDEV(Rankings!P2:P651)</f>
        <v>0.98628376137990381</v>
      </c>
      <c r="J53" s="121">
        <f>(VLOOKUP($A53,Hitters!$A1:$R401,8,FALSE)-AVERAGE(Rankings!Q2:Q651))/STDEV(Rankings!Q2:Q651)</f>
        <v>2.8176330664080322</v>
      </c>
      <c r="K53" s="121">
        <f>(VLOOKUP($A53,Hitters!$A1:$R401,9,FALSE)-AVERAGE(Rankings!R2:R651))/STDEV(Rankings!R2:R651)</f>
        <v>-0.1442953399303015</v>
      </c>
      <c r="L53" s="121">
        <f>(VLOOKUP($A53,Hitters!$A1:$R401,10,FALSE)-AVERAGE(Rankings!S2:S651))/STDEV(Rankings!S2:S651)</f>
        <v>-0.28283971538188452</v>
      </c>
      <c r="M53" s="121">
        <f>(VLOOKUP($A53,Hitters!$A1:$R401,11,FALSE)-AVERAGE(Rankings!T2:T651))/STDEV(Rankings!T2:T651)</f>
        <v>0.72219086739615146</v>
      </c>
      <c r="N53" s="121">
        <f>(VLOOKUP($A53,Hitters!$A1:$R401,12,FALSE)-AVERAGE(Rankings!U2:U651))/STDEV(Rankings!U2:U651)</f>
        <v>0.22857030390328156</v>
      </c>
      <c r="O53" s="121">
        <f>(VLOOKUP($A53,Hitters!$A1:$R401,13,FALSE)-AVERAGE(Rankings!V2:V651))/STDEV(Rankings!V2:V651)</f>
        <v>2.9771135075612238</v>
      </c>
      <c r="P53" s="121">
        <f>(VLOOKUP($A53,Hitters!$A1:$R401,14,FALSE)-AVERAGE(Rankings!W2:W651))/STDEV(Rankings!W2:W651)</f>
        <v>0.39348623476142641</v>
      </c>
      <c r="Q53" s="121">
        <f>(VLOOKUP($A53,Hitters!$A1:$R401,15,FALSE)-AVERAGE(Rankings!X2:X651))/STDEV(Rankings!X2:X651)</f>
        <v>1.5519880650992193</v>
      </c>
      <c r="R53" s="121">
        <f>(VLOOKUP($A53,Hitters!$A1:$R401,16,FALSE)-AVERAGE(Rankings!Y2:Y651))/STDEV(Rankings!Y2:Y651)</f>
        <v>0.9629232531495947</v>
      </c>
      <c r="S53" s="121">
        <f>(VLOOKUP($A53,Hitters!$A1:$R401,17,FALSE)-AVERAGE(Rankings!Z2:Z651))/STDEV(Rankings!Z2:Z651)</f>
        <v>0.58989877702332327</v>
      </c>
      <c r="T53" s="121">
        <f>IFERROR((VLOOKUP($A53,Hitters!$A1:$R401,18,FALSE)-AVERAGE(Rankings!AA2:AA651))/STDEV(Rankings!AA2:AA651),0)</f>
        <v>0</v>
      </c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</row>
    <row r="54" spans="1:37" ht="18.600000000000001" customHeight="1">
      <c r="A54" s="25" t="s">
        <v>198</v>
      </c>
      <c r="B54" s="26" t="s">
        <v>74</v>
      </c>
      <c r="C54" s="122" t="s">
        <v>11</v>
      </c>
      <c r="D54" s="67">
        <f>(F54*Settings!$C$2)+(G54*Settings!$C$3)+(H54*Settings!$C$4)+(I54*Settings!$C$5)+(J54*Settings!$C$6)+(M54*Settings!$C$9)+(N54*Settings!$C$10)+(O54*Settings!$C$11)+(P54*Settings!$C$12)+(Q54*Settings!$C$13)+(T54*Settings!$C$16)+(K54*Settings!$C$7)+(L54*Settings!$C$8)+(R54*Settings!$C$14)+(S54*Settings!$C$15)</f>
        <v>5.1820346763472296</v>
      </c>
      <c r="E54" s="67"/>
      <c r="F54" s="121">
        <f>(VLOOKUP($A54,Hitters!$A1:$R401,4,FALSE)-AVERAGE(Rankings!M2:M651))/STDEV(Rankings!M2:M651)</f>
        <v>1.2074518947118524</v>
      </c>
      <c r="G54" s="121">
        <f>(VLOOKUP($A54,Hitters!$A1:$R401,5,FALSE)-AVERAGE(Rankings!N2:N651))/STDEV(Rankings!N2:N651)</f>
        <v>1.2701883661282185</v>
      </c>
      <c r="H54" s="121">
        <f>(VLOOKUP($A54,Hitters!$A1:$R401,6,FALSE)-AVERAGE(Rankings!O2:O651))/STDEV(Rankings!O2:O651)</f>
        <v>0.91515081346498006</v>
      </c>
      <c r="I54" s="121">
        <f>(VLOOKUP($A54,Hitters!$A1:$R401,7,FALSE)-AVERAGE(Rankings!P2:P651))/STDEV(Rankings!P2:P651)</f>
        <v>1.2992125770059657</v>
      </c>
      <c r="J54" s="121">
        <f>(VLOOKUP($A54,Hitters!$A1:$R401,8,FALSE)-AVERAGE(Rankings!Q2:Q651))/STDEV(Rankings!Q2:Q651)</f>
        <v>1.1661210362337839</v>
      </c>
      <c r="K54" s="121">
        <f>(VLOOKUP($A54,Hitters!$A1:$R401,9,FALSE)-AVERAGE(Rankings!R2:R651))/STDEV(Rankings!R2:R651)</f>
        <v>0.53136188351428193</v>
      </c>
      <c r="L54" s="121">
        <f>(VLOOKUP($A54,Hitters!$A1:$R401,10,FALSE)-AVERAGE(Rankings!S2:S651))/STDEV(Rankings!S2:S651)</f>
        <v>-0.21552944388021414</v>
      </c>
      <c r="M54" s="121">
        <f>(VLOOKUP($A54,Hitters!$A1:$R401,11,FALSE)-AVERAGE(Rankings!T2:T651))/STDEV(Rankings!T2:T651)</f>
        <v>1.173493624208062</v>
      </c>
      <c r="N54" s="121">
        <f>(VLOOKUP($A54,Hitters!$A1:$R401,12,FALSE)-AVERAGE(Rankings!U2:U651))/STDEV(Rankings!U2:U651)</f>
        <v>1.6104455886597981</v>
      </c>
      <c r="O54" s="121">
        <f>(VLOOKUP($A54,Hitters!$A1:$R401,13,FALSE)-AVERAGE(Rankings!V2:V651))/STDEV(Rankings!V2:V651)</f>
        <v>1.3178108841021865</v>
      </c>
      <c r="P54" s="121">
        <f>(VLOOKUP($A54,Hitters!$A1:$R401,14,FALSE)-AVERAGE(Rankings!W2:W651))/STDEV(Rankings!W2:W651)</f>
        <v>5.5411135666617824E-2</v>
      </c>
      <c r="Q54" s="121">
        <f>(VLOOKUP($A54,Hitters!$A1:$R401,15,FALSE)-AVERAGE(Rankings!X2:X651))/STDEV(Rankings!X2:X651)</f>
        <v>0.38139701118888208</v>
      </c>
      <c r="R54" s="121">
        <f>(VLOOKUP($A54,Hitters!$A1:$R401,16,FALSE)-AVERAGE(Rankings!Y2:Y651))/STDEV(Rankings!Y2:Y651)</f>
        <v>0.8367085254870843</v>
      </c>
      <c r="S54" s="121">
        <f>(VLOOKUP($A54,Hitters!$A1:$R401,17,FALSE)-AVERAGE(Rankings!Z2:Z651))/STDEV(Rankings!Z2:Z651)</f>
        <v>0.52444687366907949</v>
      </c>
      <c r="T54" s="121">
        <f>IFERROR((VLOOKUP($A54,Hitters!$A1:$R401,18,FALSE)-AVERAGE(Rankings!AA2:AA651))/STDEV(Rankings!AA2:AA651),0)</f>
        <v>0</v>
      </c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</row>
    <row r="55" spans="1:37" ht="18.600000000000001" customHeight="1">
      <c r="A55" s="25" t="s">
        <v>188</v>
      </c>
      <c r="B55" s="26" t="s">
        <v>77</v>
      </c>
      <c r="C55" s="122" t="s">
        <v>11</v>
      </c>
      <c r="D55" s="67">
        <f>(F55*Settings!$C$2)+(G55*Settings!$C$3)+(H55*Settings!$C$4)+(I55*Settings!$C$5)+(J55*Settings!$C$6)+(M55*Settings!$C$9)+(N55*Settings!$C$10)+(O55*Settings!$C$11)+(P55*Settings!$C$12)+(Q55*Settings!$C$13)+(T55*Settings!$C$16)+(K55*Settings!$C$7)+(L55*Settings!$C$8)+(R55*Settings!$C$14)+(S55*Settings!$C$15)</f>
        <v>5.5132144367237998</v>
      </c>
      <c r="E55" s="67"/>
      <c r="F55" s="121">
        <f>(VLOOKUP($A55,Hitters!$A1:$R401,4,FALSE)-AVERAGE(Rankings!M2:M651))/STDEV(Rankings!M2:M651)</f>
        <v>0.96716956781500785</v>
      </c>
      <c r="G55" s="121">
        <f>(VLOOKUP($A55,Hitters!$A1:$R401,5,FALSE)-AVERAGE(Rankings!N2:N651))/STDEV(Rankings!N2:N651)</f>
        <v>0.81331191529698799</v>
      </c>
      <c r="H55" s="121">
        <f>(VLOOKUP($A55,Hitters!$A1:$R401,6,FALSE)-AVERAGE(Rankings!O2:O651))/STDEV(Rankings!O2:O651)</f>
        <v>0.33872357697093147</v>
      </c>
      <c r="I55" s="121">
        <f>(VLOOKUP($A55,Hitters!$A1:$R401,7,FALSE)-AVERAGE(Rankings!P2:P651))/STDEV(Rankings!P2:P651)</f>
        <v>0.78588599767848766</v>
      </c>
      <c r="J55" s="121">
        <f>(VLOOKUP($A55,Hitters!$A1:$R401,8,FALSE)-AVERAGE(Rankings!Q2:Q651))/STDEV(Rankings!Q2:Q651)</f>
        <v>2.3156537259295291</v>
      </c>
      <c r="K55" s="121">
        <f>(VLOOKUP($A55,Hitters!$A1:$R401,9,FALSE)-AVERAGE(Rankings!R2:R651))/STDEV(Rankings!R2:R651)</f>
        <v>1.2596392208478631</v>
      </c>
      <c r="L55" s="121">
        <f>(VLOOKUP($A55,Hitters!$A1:$R401,10,FALSE)-AVERAGE(Rankings!S2:S651))/STDEV(Rankings!S2:S651)</f>
        <v>0.29678838596458923</v>
      </c>
      <c r="M55" s="121">
        <f>(VLOOKUP($A55,Hitters!$A1:$R401,11,FALSE)-AVERAGE(Rankings!T2:T651))/STDEV(Rankings!T2:T651)</f>
        <v>1.1607552399432002</v>
      </c>
      <c r="N55" s="121">
        <f>(VLOOKUP($A55,Hitters!$A1:$R401,12,FALSE)-AVERAGE(Rankings!U2:U651))/STDEV(Rankings!U2:U651)</f>
        <v>1.0406877789448028</v>
      </c>
      <c r="O55" s="121">
        <f>(VLOOKUP($A55,Hitters!$A1:$R401,13,FALSE)-AVERAGE(Rankings!V2:V651))/STDEV(Rankings!V2:V651)</f>
        <v>1.0412604468590163</v>
      </c>
      <c r="P55" s="121">
        <f>(VLOOKUP($A55,Hitters!$A1:$R401,14,FALSE)-AVERAGE(Rankings!W2:W651))/STDEV(Rankings!W2:W651)</f>
        <v>-0.13591707975517539</v>
      </c>
      <c r="Q55" s="121">
        <f>(VLOOKUP($A55,Hitters!$A1:$R401,15,FALSE)-AVERAGE(Rankings!X2:X651))/STDEV(Rankings!X2:X651)</f>
        <v>0.63968729369198796</v>
      </c>
      <c r="R55" s="121">
        <f>(VLOOKUP($A55,Hitters!$A1:$R401,16,FALSE)-AVERAGE(Rankings!Y2:Y651))/STDEV(Rankings!Y2:Y651)</f>
        <v>0.58912183184434663</v>
      </c>
      <c r="S55" s="121">
        <f>(VLOOKUP($A55,Hitters!$A1:$R401,17,FALSE)-AVERAGE(Rankings!Z2:Z651))/STDEV(Rankings!Z2:Z651)</f>
        <v>0.54532328086749071</v>
      </c>
      <c r="T55" s="121">
        <f>IFERROR((VLOOKUP($A55,Hitters!$A1:$R401,18,FALSE)-AVERAGE(Rankings!AA2:AA651))/STDEV(Rankings!AA2:AA651),0)</f>
        <v>0</v>
      </c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</row>
    <row r="56" spans="1:37" ht="18.600000000000001" customHeight="1">
      <c r="A56" s="25" t="s">
        <v>201</v>
      </c>
      <c r="B56" s="26" t="s">
        <v>74</v>
      </c>
      <c r="C56" s="122" t="s">
        <v>11</v>
      </c>
      <c r="D56" s="67">
        <f>(F56*Settings!$C$2)+(G56*Settings!$C$3)+(H56*Settings!$C$4)+(I56*Settings!$C$5)+(J56*Settings!$C$6)+(M56*Settings!$C$9)+(N56*Settings!$C$10)+(O56*Settings!$C$11)+(P56*Settings!$C$12)+(Q56*Settings!$C$13)+(T56*Settings!$C$16)+(K56*Settings!$C$7)+(L56*Settings!$C$8)+(R56*Settings!$C$14)+(S56*Settings!$C$15)</f>
        <v>5.0370763966480645</v>
      </c>
      <c r="E56" s="67"/>
      <c r="F56" s="121">
        <f>(VLOOKUP($A56,Hitters!$A1:$R401,4,FALSE)-AVERAGE(Rankings!M2:M651))/STDEV(Rankings!M2:M651)</f>
        <v>1.1290989620280998</v>
      </c>
      <c r="G56" s="121">
        <f>(VLOOKUP($A56,Hitters!$A1:$R401,5,FALSE)-AVERAGE(Rankings!N2:N651))/STDEV(Rankings!N2:N651)</f>
        <v>1.2125096115382323</v>
      </c>
      <c r="H56" s="121">
        <f>(VLOOKUP($A56,Hitters!$A1:$R401,6,FALSE)-AVERAGE(Rankings!O2:O651))/STDEV(Rankings!O2:O651)</f>
        <v>0.26771442464920936</v>
      </c>
      <c r="I56" s="121">
        <f>(VLOOKUP($A56,Hitters!$A1:$R401,7,FALSE)-AVERAGE(Rankings!P2:P651))/STDEV(Rankings!P2:P651)</f>
        <v>0.69185320086474689</v>
      </c>
      <c r="J56" s="121">
        <f>(VLOOKUP($A56,Hitters!$A1:$R401,8,FALSE)-AVERAGE(Rankings!Q2:Q651))/STDEV(Rankings!Q2:Q651)</f>
        <v>1.5024471943543698</v>
      </c>
      <c r="K56" s="121">
        <f>(VLOOKUP($A56,Hitters!$A1:$R401,9,FALSE)-AVERAGE(Rankings!R2:R651))/STDEV(Rankings!R2:R651)</f>
        <v>1.3625519652415061</v>
      </c>
      <c r="L56" s="121">
        <f>(VLOOKUP($A56,Hitters!$A1:$R401,10,FALSE)-AVERAGE(Rankings!S2:S651))/STDEV(Rankings!S2:S651)</f>
        <v>0.636540206523314</v>
      </c>
      <c r="M56" s="121">
        <f>(VLOOKUP($A56,Hitters!$A1:$R401,11,FALSE)-AVERAGE(Rankings!T2:T651))/STDEV(Rankings!T2:T651)</f>
        <v>1.3463716963739092</v>
      </c>
      <c r="N56" s="121">
        <f>(VLOOKUP($A56,Hitters!$A1:$R401,12,FALSE)-AVERAGE(Rankings!U2:U651))/STDEV(Rankings!U2:U651)</f>
        <v>0.6707703950253685</v>
      </c>
      <c r="O56" s="121">
        <f>(VLOOKUP($A56,Hitters!$A1:$R401,13,FALSE)-AVERAGE(Rankings!V2:V651))/STDEV(Rankings!V2:V651)</f>
        <v>7.333391650790845E-2</v>
      </c>
      <c r="P56" s="121">
        <f>(VLOOKUP($A56,Hitters!$A1:$R401,14,FALSE)-AVERAGE(Rankings!W2:W651))/STDEV(Rankings!W2:W651)</f>
        <v>0.23002135168261781</v>
      </c>
      <c r="Q56" s="121">
        <f>(VLOOKUP($A56,Hitters!$A1:$R401,15,FALSE)-AVERAGE(Rankings!X2:X651))/STDEV(Rankings!X2:X651)</f>
        <v>0.38724509305687727</v>
      </c>
      <c r="R56" s="121">
        <f>(VLOOKUP($A56,Hitters!$A1:$R401,16,FALSE)-AVERAGE(Rankings!Y2:Y651))/STDEV(Rankings!Y2:Y651)</f>
        <v>0.19016358699251928</v>
      </c>
      <c r="S56" s="121">
        <f>(VLOOKUP($A56,Hitters!$A1:$R401,17,FALSE)-AVERAGE(Rankings!Z2:Z651))/STDEV(Rankings!Z2:Z651)</f>
        <v>0.38827879916966718</v>
      </c>
      <c r="T56" s="121">
        <f>IFERROR((VLOOKUP($A56,Hitters!$A1:$R401,18,FALSE)-AVERAGE(Rankings!AA2:AA651))/STDEV(Rankings!AA2:AA651),0)</f>
        <v>0</v>
      </c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</row>
    <row r="57" spans="1:37" ht="18.600000000000001" customHeight="1">
      <c r="A57" s="25" t="s">
        <v>194</v>
      </c>
      <c r="B57" s="26" t="s">
        <v>125</v>
      </c>
      <c r="C57" s="122" t="s">
        <v>11</v>
      </c>
      <c r="D57" s="67">
        <f>(F57*Settings!$C$2)+(G57*Settings!$C$3)+(H57*Settings!$C$4)+(I57*Settings!$C$5)+(J57*Settings!$C$6)+(M57*Settings!$C$9)+(N57*Settings!$C$10)+(O57*Settings!$C$11)+(P57*Settings!$C$12)+(Q57*Settings!$C$13)+(T57*Settings!$C$16)+(K57*Settings!$C$7)+(L57*Settings!$C$8)+(R57*Settings!$C$14)+(S57*Settings!$C$15)</f>
        <v>5.2517165511962647</v>
      </c>
      <c r="E57" s="67"/>
      <c r="F57" s="121">
        <f>(VLOOKUP($A57,Hitters!$A1:$R401,4,FALSE)-AVERAGE(Rankings!M2:M651))/STDEV(Rankings!M2:M651)</f>
        <v>1.4816871591049872</v>
      </c>
      <c r="G57" s="121">
        <f>(VLOOKUP($A57,Hitters!$A1:$R401,5,FALSE)-AVERAGE(Rankings!N2:N651))/STDEV(Rankings!N2:N651)</f>
        <v>1.4401889059724011</v>
      </c>
      <c r="H57" s="121">
        <f>(VLOOKUP($A57,Hitters!$A1:$R401,6,FALSE)-AVERAGE(Rankings!O2:O651))/STDEV(Rankings!O2:O651)</f>
        <v>-0.27947374912413075</v>
      </c>
      <c r="I57" s="121">
        <f>(VLOOKUP($A57,Hitters!$A1:$R401,7,FALSE)-AVERAGE(Rankings!P2:P651))/STDEV(Rankings!P2:P651)</f>
        <v>0.37584134272020076</v>
      </c>
      <c r="J57" s="121">
        <f>(VLOOKUP($A57,Hitters!$A1:$R401,8,FALSE)-AVERAGE(Rankings!Q2:Q651))/STDEV(Rankings!Q2:Q651)</f>
        <v>3.0284643894089998</v>
      </c>
      <c r="K57" s="121">
        <f>(VLOOKUP($A57,Hitters!$A1:$R401,9,FALSE)-AVERAGE(Rankings!R2:R651))/STDEV(Rankings!R2:R651)</f>
        <v>0.68669566221879375</v>
      </c>
      <c r="L57" s="121">
        <f>(VLOOKUP($A57,Hitters!$A1:$R401,10,FALSE)-AVERAGE(Rankings!S2:S651))/STDEV(Rankings!S2:S651)</f>
        <v>-3.0856190871824098E-2</v>
      </c>
      <c r="M57" s="121">
        <f>(VLOOKUP($A57,Hitters!$A1:$R401,11,FALSE)-AVERAGE(Rankings!T2:T651))/STDEV(Rankings!T2:T651)</f>
        <v>1.4719357698417415</v>
      </c>
      <c r="N57" s="121">
        <f>(VLOOKUP($A57,Hitters!$A1:$R401,12,FALSE)-AVERAGE(Rankings!U2:U651))/STDEV(Rankings!U2:U651)</f>
        <v>1.5806821209881108</v>
      </c>
      <c r="O57" s="121">
        <f>(VLOOKUP($A57,Hitters!$A1:$R401,13,FALSE)-AVERAGE(Rankings!V2:V651))/STDEV(Rankings!V2:V651)</f>
        <v>1.3178108841021865</v>
      </c>
      <c r="P57" s="121">
        <f>(VLOOKUP($A57,Hitters!$A1:$R401,14,FALSE)-AVERAGE(Rankings!W2:W651))/STDEV(Rankings!W2:W651)</f>
        <v>0.26531490598372298</v>
      </c>
      <c r="Q57" s="121">
        <f>(VLOOKUP($A57,Hitters!$A1:$R401,15,FALSE)-AVERAGE(Rankings!X2:X651))/STDEV(Rankings!X2:X651)</f>
        <v>0.28100493912164326</v>
      </c>
      <c r="R57" s="121">
        <f>(VLOOKUP($A57,Hitters!$A1:$R401,16,FALSE)-AVERAGE(Rankings!Y2:Y651))/STDEV(Rankings!Y2:Y651)</f>
        <v>-0.50212624281641338</v>
      </c>
      <c r="S57" s="121">
        <f>(VLOOKUP($A57,Hitters!$A1:$R401,17,FALSE)-AVERAGE(Rankings!Z2:Z651))/STDEV(Rankings!Z2:Z651)</f>
        <v>-0.37761376653669437</v>
      </c>
      <c r="T57" s="121">
        <f>IFERROR((VLOOKUP($A57,Hitters!$A1:$R401,18,FALSE)-AVERAGE(Rankings!AA2:AA651))/STDEV(Rankings!AA2:AA651),0)</f>
        <v>0</v>
      </c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</row>
    <row r="58" spans="1:37" ht="18.600000000000001" customHeight="1">
      <c r="A58" s="25" t="s">
        <v>241</v>
      </c>
      <c r="B58" s="26" t="s">
        <v>69</v>
      </c>
      <c r="C58" s="122" t="s">
        <v>11</v>
      </c>
      <c r="D58" s="67">
        <f>(F58*Settings!$C$2)+(G58*Settings!$C$3)+(H58*Settings!$C$4)+(I58*Settings!$C$5)+(J58*Settings!$C$6)+(M58*Settings!$C$9)+(N58*Settings!$C$10)+(O58*Settings!$C$11)+(P58*Settings!$C$12)+(Q58*Settings!$C$13)+(T58*Settings!$C$16)+(K58*Settings!$C$7)+(L58*Settings!$C$8)+(R58*Settings!$C$14)+(S58*Settings!$C$15)</f>
        <v>3.9318301492573529</v>
      </c>
      <c r="E58" s="67"/>
      <c r="F58" s="121">
        <f>(VLOOKUP($A58,Hitters!$A1:$R401,4,FALSE)-AVERAGE(Rankings!M2:M651))/STDEV(Rankings!M2:M651)</f>
        <v>1.0324636783848071</v>
      </c>
      <c r="G58" s="121">
        <f>(VLOOKUP($A58,Hitters!$A1:$R401,5,FALSE)-AVERAGE(Rankings!N2:N651))/STDEV(Rankings!N2:N651)</f>
        <v>0.89072287540460549</v>
      </c>
      <c r="H58" s="121">
        <f>(VLOOKUP($A58,Hitters!$A1:$R401,6,FALSE)-AVERAGE(Rankings!O2:O651))/STDEV(Rankings!O2:O651)</f>
        <v>0.71883139234020343</v>
      </c>
      <c r="I58" s="121">
        <f>(VLOOKUP($A58,Hitters!$A1:$R401,7,FALSE)-AVERAGE(Rankings!P2:P651))/STDEV(Rankings!P2:P651)</f>
        <v>0.87683575197374786</v>
      </c>
      <c r="J58" s="121">
        <f>(VLOOKUP($A58,Hitters!$A1:$R401,8,FALSE)-AVERAGE(Rankings!Q2:Q651))/STDEV(Rankings!Q2:Q651)</f>
        <v>0.89003239897061748</v>
      </c>
      <c r="K58" s="121">
        <f>(VLOOKUP($A58,Hitters!$A1:$R401,9,FALSE)-AVERAGE(Rankings!R2:R651))/STDEV(Rankings!R2:R651)</f>
        <v>0.55540773056817838</v>
      </c>
      <c r="L58" s="121">
        <f>(VLOOKUP($A58,Hitters!$A1:$R401,10,FALSE)-AVERAGE(Rankings!S2:S651))/STDEV(Rankings!S2:S651)</f>
        <v>0.40534713994845906</v>
      </c>
      <c r="M58" s="121">
        <f>(VLOOKUP($A58,Hitters!$A1:$R401,11,FALSE)-AVERAGE(Rankings!T2:T651))/STDEV(Rankings!T2:T651)</f>
        <v>1.0215428976201686</v>
      </c>
      <c r="N58" s="121">
        <f>(VLOOKUP($A58,Hitters!$A1:$R401,12,FALSE)-AVERAGE(Rankings!U2:U651))/STDEV(Rankings!U2:U651)</f>
        <v>0.75155695013420598</v>
      </c>
      <c r="O58" s="121">
        <f>(VLOOKUP($A58,Hitters!$A1:$R401,13,FALSE)-AVERAGE(Rankings!V2:V651))/STDEV(Rankings!V2:V651)</f>
        <v>-0.23087156445957627</v>
      </c>
      <c r="P58" s="121">
        <f>(VLOOKUP($A58,Hitters!$A1:$R401,14,FALSE)-AVERAGE(Rankings!W2:W651))/STDEV(Rankings!W2:W651)</f>
        <v>0.62010800448432446</v>
      </c>
      <c r="Q58" s="121">
        <f>(VLOOKUP($A58,Hitters!$A1:$R401,15,FALSE)-AVERAGE(Rankings!X2:X651))/STDEV(Rankings!X2:X651)</f>
        <v>0.75177552949524662</v>
      </c>
      <c r="R58" s="121">
        <f>(VLOOKUP($A58,Hitters!$A1:$R401,16,FALSE)-AVERAGE(Rankings!Y2:Y651))/STDEV(Rankings!Y2:Y651)</f>
        <v>0.36792948846385093</v>
      </c>
      <c r="S58" s="121">
        <f>(VLOOKUP($A58,Hitters!$A1:$R401,17,FALSE)-AVERAGE(Rankings!Z2:Z651))/STDEV(Rankings!Z2:Z651)</f>
        <v>0.42692736561079908</v>
      </c>
      <c r="T58" s="121">
        <f>IFERROR((VLOOKUP($A58,Hitters!$A1:$R401,18,FALSE)-AVERAGE(Rankings!AA2:AA651))/STDEV(Rankings!AA2:AA651),0)</f>
        <v>0</v>
      </c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</row>
    <row r="59" spans="1:37" ht="18.600000000000001" customHeight="1">
      <c r="A59" s="25" t="s">
        <v>264</v>
      </c>
      <c r="B59" s="26" t="s">
        <v>225</v>
      </c>
      <c r="C59" s="122" t="s">
        <v>11</v>
      </c>
      <c r="D59" s="67">
        <f>(F59*Settings!$C$2)+(G59*Settings!$C$3)+(H59*Settings!$C$4)+(I59*Settings!$C$5)+(J59*Settings!$C$6)+(M59*Settings!$C$9)+(N59*Settings!$C$10)+(O59*Settings!$C$11)+(P59*Settings!$C$12)+(Q59*Settings!$C$13)+(T59*Settings!$C$16)+(K59*Settings!$C$7)+(L59*Settings!$C$8)+(R59*Settings!$C$14)+(S59*Settings!$C$15)</f>
        <v>3.4098039143471048</v>
      </c>
      <c r="E59" s="67"/>
      <c r="F59" s="121">
        <f>(VLOOKUP($A59,Hitters!$A1:$R401,4,FALSE)-AVERAGE(Rankings!M2:M651))/STDEV(Rankings!M2:M651)</f>
        <v>1.2100636591346419</v>
      </c>
      <c r="G59" s="121">
        <f>(VLOOKUP($A59,Hitters!$A1:$R401,5,FALSE)-AVERAGE(Rankings!N2:N651))/STDEV(Rankings!N2:N651)</f>
        <v>1.4887604887850203</v>
      </c>
      <c r="H59" s="121">
        <f>(VLOOKUP($A59,Hitters!$A1:$R401,6,FALSE)-AVERAGE(Rankings!O2:O651))/STDEV(Rankings!O2:O651)</f>
        <v>0.42226375617297163</v>
      </c>
      <c r="I59" s="121">
        <f>(VLOOKUP($A59,Hitters!$A1:$R401,7,FALSE)-AVERAGE(Rankings!P2:P651))/STDEV(Rankings!P2:P651)</f>
        <v>0.63789995679128675</v>
      </c>
      <c r="J59" s="121">
        <f>(VLOOKUP($A59,Hitters!$A1:$R401,8,FALSE)-AVERAGE(Rankings!Q2:Q651))/STDEV(Rankings!Q2:Q651)</f>
        <v>0.38303326508733415</v>
      </c>
      <c r="K59" s="121">
        <f>(VLOOKUP($A59,Hitters!$A1:$R401,9,FALSE)-AVERAGE(Rankings!R2:R651))/STDEV(Rankings!R2:R651)</f>
        <v>0.47784644751049205</v>
      </c>
      <c r="L59" s="121">
        <f>(VLOOKUP($A59,Hitters!$A1:$R401,10,FALSE)-AVERAGE(Rankings!S2:S651))/STDEV(Rankings!S2:S651)</f>
        <v>0.71938472870886183</v>
      </c>
      <c r="M59" s="121">
        <f>(VLOOKUP($A59,Hitters!$A1:$R401,11,FALSE)-AVERAGE(Rankings!T2:T651))/STDEV(Rankings!T2:T651)</f>
        <v>1.1598453553528629</v>
      </c>
      <c r="N59" s="121">
        <f>(VLOOKUP($A59,Hitters!$A1:$R401,12,FALSE)-AVERAGE(Rankings!U2:U651))/STDEV(Rankings!U2:U651)</f>
        <v>1.4573763263483082</v>
      </c>
      <c r="O59" s="121">
        <f>(VLOOKUP($A59,Hitters!$A1:$R401,13,FALSE)-AVERAGE(Rankings!V2:V651))/STDEV(Rankings!V2:V651)</f>
        <v>0.68174487844289422</v>
      </c>
      <c r="P59" s="121">
        <f>(VLOOKUP($A59,Hitters!$A1:$R401,14,FALSE)-AVERAGE(Rankings!W2:W651))/STDEV(Rankings!W2:W651)</f>
        <v>1.1755170958543755</v>
      </c>
      <c r="Q59" s="121">
        <f>(VLOOKUP($A59,Hitters!$A1:$R401,15,FALSE)-AVERAGE(Rankings!X2:X651))/STDEV(Rankings!X2:X651)</f>
        <v>1.1757614649248889</v>
      </c>
      <c r="R59" s="121">
        <f>(VLOOKUP($A59,Hitters!$A1:$R401,16,FALSE)-AVERAGE(Rankings!Y2:Y651))/STDEV(Rankings!Y2:Y651)</f>
        <v>0.1951772460880099</v>
      </c>
      <c r="S59" s="121">
        <f>(VLOOKUP($A59,Hitters!$A1:$R401,17,FALSE)-AVERAGE(Rankings!Z2:Z651))/STDEV(Rankings!Z2:Z651)</f>
        <v>0.42444672058662758</v>
      </c>
      <c r="T59" s="121">
        <f>IFERROR((VLOOKUP($A59,Hitters!$A1:$R401,18,FALSE)-AVERAGE(Rankings!AA2:AA651))/STDEV(Rankings!AA2:AA651),0)</f>
        <v>0</v>
      </c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</row>
    <row r="60" spans="1:37" ht="18.600000000000001" customHeight="1">
      <c r="A60" s="25" t="s">
        <v>268</v>
      </c>
      <c r="B60" s="26" t="s">
        <v>158</v>
      </c>
      <c r="C60" s="122" t="s">
        <v>11</v>
      </c>
      <c r="D60" s="67">
        <f>(F60*Settings!$C$2)+(G60*Settings!$C$3)+(H60*Settings!$C$4)+(I60*Settings!$C$5)+(J60*Settings!$C$6)+(M60*Settings!$C$9)+(N60*Settings!$C$10)+(O60*Settings!$C$11)+(P60*Settings!$C$12)+(Q60*Settings!$C$13)+(T60*Settings!$C$16)+(K60*Settings!$C$7)+(L60*Settings!$C$8)+(R60*Settings!$C$14)+(S60*Settings!$C$15)</f>
        <v>3.3463225934038792</v>
      </c>
      <c r="E60" s="67"/>
      <c r="F60" s="121">
        <f>(VLOOKUP($A60,Hitters!$A1:$R401,4,FALSE)-AVERAGE(Rankings!M2:M651))/STDEV(Rankings!M2:M651)</f>
        <v>0.96716956781500785</v>
      </c>
      <c r="G60" s="121">
        <f>(VLOOKUP($A60,Hitters!$A1:$R401,5,FALSE)-AVERAGE(Rankings!N2:N651))/STDEV(Rankings!N2:N651)</f>
        <v>0.95143735392038231</v>
      </c>
      <c r="H60" s="121">
        <f>(VLOOKUP($A60,Hitters!$A1:$R401,6,FALSE)-AVERAGE(Rankings!O2:O651))/STDEV(Rankings!O2:O651)</f>
        <v>0.85667268802356311</v>
      </c>
      <c r="I60" s="121">
        <f>(VLOOKUP($A60,Hitters!$A1:$R401,7,FALSE)-AVERAGE(Rankings!P2:P651))/STDEV(Rankings!P2:P651)</f>
        <v>1.020197229083224</v>
      </c>
      <c r="J60" s="121">
        <f>(VLOOKUP($A60,Hitters!$A1:$R401,8,FALSE)-AVERAGE(Rankings!Q2:Q651))/STDEV(Rankings!Q2:Q651)</f>
        <v>0.15212276846722758</v>
      </c>
      <c r="K60" s="121">
        <f>(VLOOKUP($A60,Hitters!$A1:$R401,9,FALSE)-AVERAGE(Rankings!R2:R651))/STDEV(Rankings!R2:R651)</f>
        <v>0.36589255390948233</v>
      </c>
      <c r="L60" s="121">
        <f>(VLOOKUP($A60,Hitters!$A1:$R401,10,FALSE)-AVERAGE(Rankings!S2:S651))/STDEV(Rankings!S2:S651)</f>
        <v>0.72381951746358975</v>
      </c>
      <c r="M60" s="121">
        <f>(VLOOKUP($A60,Hitters!$A1:$R401,11,FALSE)-AVERAGE(Rankings!T2:T651))/STDEV(Rankings!T2:T651)</f>
        <v>0.9087172084171975</v>
      </c>
      <c r="N60" s="121">
        <f>(VLOOKUP($A60,Hitters!$A1:$R401,12,FALSE)-AVERAGE(Rankings!U2:U651))/STDEV(Rankings!U2:U651)</f>
        <v>0.8238396573368586</v>
      </c>
      <c r="O60" s="121">
        <f>(VLOOKUP($A60,Hitters!$A1:$R401,13,FALSE)-AVERAGE(Rankings!V2:V651))/STDEV(Rankings!V2:V651)</f>
        <v>-0.50742200170275464</v>
      </c>
      <c r="P60" s="121">
        <f>(VLOOKUP($A60,Hitters!$A1:$R401,14,FALSE)-AVERAGE(Rankings!W2:W651))/STDEV(Rankings!W2:W651)</f>
        <v>1.0900695433359024</v>
      </c>
      <c r="Q60" s="121">
        <f>(VLOOKUP($A60,Hitters!$A1:$R401,15,FALSE)-AVERAGE(Rankings!X2:X651))/STDEV(Rankings!X2:X651)</f>
        <v>0.52759905788875883</v>
      </c>
      <c r="R60" s="121">
        <f>(VLOOKUP($A60,Hitters!$A1:$R401,16,FALSE)-AVERAGE(Rankings!Y2:Y651))/STDEV(Rankings!Y2:Y651)</f>
        <v>0.48746880183114055</v>
      </c>
      <c r="S60" s="121">
        <f>(VLOOKUP($A60,Hitters!$A1:$R401,17,FALSE)-AVERAGE(Rankings!Z2:Z651))/STDEV(Rankings!Z2:Z651)</f>
        <v>0.63894900025161738</v>
      </c>
      <c r="T60" s="121">
        <f>IFERROR((VLOOKUP($A60,Hitters!$A1:$R401,18,FALSE)-AVERAGE(Rankings!AA2:AA651))/STDEV(Rankings!AA2:AA651),0)</f>
        <v>0</v>
      </c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</row>
    <row r="61" spans="1:37" ht="18.600000000000001" customHeight="1">
      <c r="A61" s="25" t="s">
        <v>302</v>
      </c>
      <c r="B61" s="26" t="s">
        <v>103</v>
      </c>
      <c r="C61" s="122" t="s">
        <v>11</v>
      </c>
      <c r="D61" s="67">
        <f>(F61*Settings!$C$2)+(G61*Settings!$C$3)+(H61*Settings!$C$4)+(I61*Settings!$C$5)+(J61*Settings!$C$6)+(M61*Settings!$C$9)+(N61*Settings!$C$10)+(O61*Settings!$C$11)+(P61*Settings!$C$12)+(Q61*Settings!$C$13)+(T61*Settings!$C$16)+(K61*Settings!$C$7)+(L61*Settings!$C$8)+(R61*Settings!$C$14)+(S61*Settings!$C$15)</f>
        <v>2.7234290450547252</v>
      </c>
      <c r="E61" s="67"/>
      <c r="F61" s="121">
        <f>(VLOOKUP($A61,Hitters!$A1:$R401,4,FALSE)-AVERAGE(Rankings!M2:M651))/STDEV(Rankings!M2:M651)</f>
        <v>0.71121665438142123</v>
      </c>
      <c r="G61" s="121">
        <f>(VLOOKUP($A61,Hitters!$A1:$R401,5,FALSE)-AVERAGE(Rankings!N2:N651))/STDEV(Rankings!N2:N651)</f>
        <v>0.90893721895933932</v>
      </c>
      <c r="H61" s="121">
        <f>(VLOOKUP($A61,Hitters!$A1:$R401,6,FALSE)-AVERAGE(Rankings!O2:O651))/STDEV(Rankings!O2:O651)</f>
        <v>1.3871528259564874</v>
      </c>
      <c r="I61" s="121">
        <f>(VLOOKUP($A61,Hitters!$A1:$R401,7,FALSE)-AVERAGE(Rankings!P2:P651))/STDEV(Rankings!P2:P651)</f>
        <v>1.0710674306381991</v>
      </c>
      <c r="J61" s="121">
        <f>(VLOOKUP($A61,Hitters!$A1:$R401,8,FALSE)-AVERAGE(Rankings!Q2:Q651))/STDEV(Rankings!Q2:Q651)</f>
        <v>-0.26452008412992251</v>
      </c>
      <c r="K61" s="121">
        <f>(VLOOKUP($A61,Hitters!$A1:$R401,9,FALSE)-AVERAGE(Rankings!R2:R651))/STDEV(Rankings!R2:R651)</f>
        <v>-0.37920834636937778</v>
      </c>
      <c r="L61" s="121">
        <f>(VLOOKUP($A61,Hitters!$A1:$R401,10,FALSE)-AVERAGE(Rankings!S2:S651))/STDEV(Rankings!S2:S651)</f>
        <v>0.22570557430328414</v>
      </c>
      <c r="M61" s="121">
        <f>(VLOOKUP($A61,Hitters!$A1:$R401,11,FALSE)-AVERAGE(Rankings!T2:T651))/STDEV(Rankings!T2:T651)</f>
        <v>0.48289122013498326</v>
      </c>
      <c r="N61" s="121">
        <f>(VLOOKUP($A61,Hitters!$A1:$R401,12,FALSE)-AVERAGE(Rankings!U2:U651))/STDEV(Rankings!U2:U651)</f>
        <v>0.51770113271387797</v>
      </c>
      <c r="O61" s="121">
        <f>(VLOOKUP($A61,Hitters!$A1:$R401,13,FALSE)-AVERAGE(Rankings!V2:V651))/STDEV(Rankings!V2:V651)</f>
        <v>0.34988435375108684</v>
      </c>
      <c r="P61" s="121">
        <f>(VLOOKUP($A61,Hitters!$A1:$R401,14,FALSE)-AVERAGE(Rankings!W2:W651))/STDEV(Rankings!W2:W651)</f>
        <v>0.96189821455819902</v>
      </c>
      <c r="Q61" s="121">
        <f>(VLOOKUP($A61,Hitters!$A1:$R401,15,FALSE)-AVERAGE(Rankings!X2:X651))/STDEV(Rankings!X2:X651)</f>
        <v>1.145546375273562</v>
      </c>
      <c r="R61" s="121">
        <f>(VLOOKUP($A61,Hitters!$A1:$R401,16,FALSE)-AVERAGE(Rankings!Y2:Y651))/STDEV(Rankings!Y2:Y651)</f>
        <v>1.0171918056967673</v>
      </c>
      <c r="S61" s="121">
        <f>(VLOOKUP($A61,Hitters!$A1:$R401,17,FALSE)-AVERAGE(Rankings!Z2:Z651))/STDEV(Rankings!Z2:Z651)</f>
        <v>0.82901738496221888</v>
      </c>
      <c r="T61" s="121">
        <f>IFERROR((VLOOKUP($A61,Hitters!$A1:$R401,18,FALSE)-AVERAGE(Rankings!AA2:AA651))/STDEV(Rankings!AA2:AA651),0)</f>
        <v>0</v>
      </c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</row>
    <row r="62" spans="1:37" ht="18.600000000000001" customHeight="1">
      <c r="A62" s="25" t="s">
        <v>278</v>
      </c>
      <c r="B62" s="26" t="s">
        <v>95</v>
      </c>
      <c r="C62" s="122" t="s">
        <v>11</v>
      </c>
      <c r="D62" s="67">
        <f>(F62*Settings!$C$2)+(G62*Settings!$C$3)+(H62*Settings!$C$4)+(I62*Settings!$C$5)+(J62*Settings!$C$6)+(M62*Settings!$C$9)+(N62*Settings!$C$10)+(O62*Settings!$C$11)+(P62*Settings!$C$12)+(Q62*Settings!$C$13)+(T62*Settings!$C$16)+(K62*Settings!$C$7)+(L62*Settings!$C$8)+(R62*Settings!$C$14)+(S62*Settings!$C$15)</f>
        <v>3.171716148463501</v>
      </c>
      <c r="E62" s="67"/>
      <c r="F62" s="121">
        <f>(VLOOKUP($A62,Hitters!$A1:$R401,4,FALSE)-AVERAGE(Rankings!M2:M651))/STDEV(Rankings!M2:M651)</f>
        <v>0.79218135148796287</v>
      </c>
      <c r="G62" s="121">
        <f>(VLOOKUP($A62,Hitters!$A1:$R401,5,FALSE)-AVERAGE(Rankings!N2:N651))/STDEV(Rankings!N2:N651)</f>
        <v>0.63723992760122927</v>
      </c>
      <c r="H62" s="121">
        <f>(VLOOKUP($A62,Hitters!$A1:$R401,6,FALSE)-AVERAGE(Rankings!O2:O651))/STDEV(Rankings!O2:O651)</f>
        <v>-0.42149205376758792</v>
      </c>
      <c r="I62" s="121">
        <f>(VLOOKUP($A62,Hitters!$A1:$R401,7,FALSE)-AVERAGE(Rankings!P2:P651))/STDEV(Rankings!P2:P651)</f>
        <v>0.20010791916664961</v>
      </c>
      <c r="J62" s="121">
        <f>(VLOOKUP($A62,Hitters!$A1:$R401,8,FALSE)-AVERAGE(Rankings!Q2:Q651))/STDEV(Rankings!Q2:Q651)</f>
        <v>2.0445848820711428</v>
      </c>
      <c r="K62" s="121">
        <f>(VLOOKUP($A62,Hitters!$A1:$R401,9,FALSE)-AVERAGE(Rankings!R2:R651))/STDEV(Rankings!R2:R651)</f>
        <v>0.71127547339206765</v>
      </c>
      <c r="L62" s="121">
        <f>(VLOOKUP($A62,Hitters!$A1:$R401,10,FALSE)-AVERAGE(Rankings!S2:S651))/STDEV(Rankings!S2:S651)</f>
        <v>-0.1916495414839898</v>
      </c>
      <c r="M62" s="121">
        <f>(VLOOKUP($A62,Hitters!$A1:$R401,11,FALSE)-AVERAGE(Rankings!T2:T651))/STDEV(Rankings!T2:T651)</f>
        <v>0.84502528709294411</v>
      </c>
      <c r="N62" s="121">
        <f>(VLOOKUP($A62,Hitters!$A1:$R401,12,FALSE)-AVERAGE(Rankings!U2:U651))/STDEV(Rankings!U2:U651)</f>
        <v>1.0832070184757681</v>
      </c>
      <c r="O62" s="121">
        <f>(VLOOKUP($A62,Hitters!$A1:$R401,13,FALSE)-AVERAGE(Rankings!V2:V651))/STDEV(Rankings!V2:V651)</f>
        <v>-0.23087156445957627</v>
      </c>
      <c r="P62" s="121">
        <f>(VLOOKUP($A62,Hitters!$A1:$R401,14,FALSE)-AVERAGE(Rankings!W2:W651))/STDEV(Rankings!W2:W651)</f>
        <v>-0.27151863049100478</v>
      </c>
      <c r="Q62" s="121">
        <f>(VLOOKUP($A62,Hitters!$A1:$R401,15,FALSE)-AVERAGE(Rankings!X2:X651))/STDEV(Rankings!X2:X651)</f>
        <v>-0.35936002542382572</v>
      </c>
      <c r="R62" s="121">
        <f>(VLOOKUP($A62,Hitters!$A1:$R401,16,FALSE)-AVERAGE(Rankings!Y2:Y651))/STDEV(Rankings!Y2:Y651)</f>
        <v>-0.47310415598209626</v>
      </c>
      <c r="S62" s="121">
        <f>(VLOOKUP($A62,Hitters!$A1:$R401,17,FALSE)-AVERAGE(Rankings!Z2:Z651))/STDEV(Rankings!Z2:Z651)</f>
        <v>-0.41960353820802054</v>
      </c>
      <c r="T62" s="121">
        <f>IFERROR((VLOOKUP($A62,Hitters!$A1:$R401,18,FALSE)-AVERAGE(Rankings!AA2:AA651))/STDEV(Rankings!AA2:AA651),0)</f>
        <v>0</v>
      </c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</row>
    <row r="63" spans="1:37" ht="18.600000000000001" customHeight="1">
      <c r="A63" s="25" t="s">
        <v>313</v>
      </c>
      <c r="B63" s="26" t="s">
        <v>136</v>
      </c>
      <c r="C63" s="122" t="s">
        <v>11</v>
      </c>
      <c r="D63" s="67">
        <f>(F63*Settings!$C$2)+(G63*Settings!$C$3)+(H63*Settings!$C$4)+(I63*Settings!$C$5)+(J63*Settings!$C$6)+(M63*Settings!$C$9)+(N63*Settings!$C$10)+(O63*Settings!$C$11)+(P63*Settings!$C$12)+(Q63*Settings!$C$13)+(T63*Settings!$C$16)+(K63*Settings!$C$7)+(L63*Settings!$C$8)+(R63*Settings!$C$14)+(S63*Settings!$C$15)</f>
        <v>2.5726864803565688</v>
      </c>
      <c r="E63" s="67"/>
      <c r="F63" s="121">
        <f>(VLOOKUP($A63,Hitters!$A1:$R401,4,FALSE)-AVERAGE(Rankings!M2:M651))/STDEV(Rankings!M2:M651)</f>
        <v>1.0585813226127223</v>
      </c>
      <c r="G63" s="121">
        <f>(VLOOKUP($A63,Hitters!$A1:$R401,5,FALSE)-AVERAGE(Rankings!N2:N651))/STDEV(Rankings!N2:N651)</f>
        <v>1.0136696943990566</v>
      </c>
      <c r="H63" s="121">
        <f>(VLOOKUP($A63,Hitters!$A1:$R401,6,FALSE)-AVERAGE(Rankings!O2:O651))/STDEV(Rankings!O2:O651)</f>
        <v>-0.97285723650102918</v>
      </c>
      <c r="I63" s="121">
        <f>(VLOOKUP($A63,Hitters!$A1:$R401,7,FALSE)-AVERAGE(Rankings!P2:P651))/STDEV(Rankings!P2:P651)</f>
        <v>3.20821019093087E-2</v>
      </c>
      <c r="J63" s="121">
        <f>(VLOOKUP($A63,Hitters!$A1:$R401,8,FALSE)-AVERAGE(Rankings!Q2:Q651))/STDEV(Rankings!Q2:Q651)</f>
        <v>-0.23440132370121289</v>
      </c>
      <c r="K63" s="121">
        <f>(VLOOKUP($A63,Hitters!$A1:$R401,9,FALSE)-AVERAGE(Rankings!R2:R651))/STDEV(Rankings!R2:R651)</f>
        <v>2.7341932442504455</v>
      </c>
      <c r="L63" s="121">
        <f>(VLOOKUP($A63,Hitters!$A1:$R401,10,FALSE)-AVERAGE(Rankings!S2:S651))/STDEV(Rankings!S2:S651)</f>
        <v>2.1173190088098517</v>
      </c>
      <c r="M63" s="121">
        <f>(VLOOKUP($A63,Hitters!$A1:$R401,11,FALSE)-AVERAGE(Rankings!T2:T651))/STDEV(Rankings!T2:T651)</f>
        <v>1.6739301488986895</v>
      </c>
      <c r="N63" s="121">
        <f>(VLOOKUP($A63,Hitters!$A1:$R401,12,FALSE)-AVERAGE(Rankings!U2:U651))/STDEV(Rankings!U2:U651)</f>
        <v>0.99816853941383754</v>
      </c>
      <c r="O63" s="121">
        <f>(VLOOKUP($A63,Hitters!$A1:$R401,13,FALSE)-AVERAGE(Rankings!V2:V651))/STDEV(Rankings!V2:V651)</f>
        <v>1.0136054031347017</v>
      </c>
      <c r="P63" s="121">
        <f>(VLOOKUP($A63,Hitters!$A1:$R401,14,FALSE)-AVERAGE(Rankings!W2:W651))/STDEV(Rankings!W2:W651)</f>
        <v>0.65540155878542961</v>
      </c>
      <c r="Q63" s="121">
        <f>(VLOOKUP($A63,Hitters!$A1:$R401,15,FALSE)-AVERAGE(Rankings!X2:X651))/STDEV(Rankings!X2:X651)</f>
        <v>-1.282382280255715</v>
      </c>
      <c r="R63" s="121">
        <f>(VLOOKUP($A63,Hitters!$A1:$R401,16,FALSE)-AVERAGE(Rankings!Y2:Y651))/STDEV(Rankings!Y2:Y651)</f>
        <v>-0.20655377946703288</v>
      </c>
      <c r="S63" s="121">
        <f>(VLOOKUP($A63,Hitters!$A1:$R401,17,FALSE)-AVERAGE(Rankings!Z2:Z651))/STDEV(Rankings!Z2:Z651)</f>
        <v>0.6807455738537137</v>
      </c>
      <c r="T63" s="121">
        <f>IFERROR((VLOOKUP($A63,Hitters!$A1:$R401,18,FALSE)-AVERAGE(Rankings!AA2:AA651))/STDEV(Rankings!AA2:AA651),0)</f>
        <v>0</v>
      </c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</row>
    <row r="64" spans="1:37" ht="18.600000000000001" customHeight="1">
      <c r="A64" s="25" t="s">
        <v>325</v>
      </c>
      <c r="B64" s="26" t="s">
        <v>122</v>
      </c>
      <c r="C64" s="122" t="s">
        <v>11</v>
      </c>
      <c r="D64" s="67">
        <f>(F64*Settings!$C$2)+(G64*Settings!$C$3)+(H64*Settings!$C$4)+(I64*Settings!$C$5)+(J64*Settings!$C$6)+(M64*Settings!$C$9)+(N64*Settings!$C$10)+(O64*Settings!$C$11)+(P64*Settings!$C$12)+(Q64*Settings!$C$13)+(T64*Settings!$C$16)+(K64*Settings!$C$7)+(L64*Settings!$C$8)+(R64*Settings!$C$14)+(S64*Settings!$C$15)</f>
        <v>2.4106394875628472</v>
      </c>
      <c r="E64" s="67"/>
      <c r="F64" s="121">
        <f>(VLOOKUP($A64,Hitters!$A1:$R401,4,FALSE)-AVERAGE(Rankings!M2:M651))/STDEV(Rankings!M2:M651)</f>
        <v>1.118651904336935</v>
      </c>
      <c r="G64" s="121">
        <f>(VLOOKUP($A64,Hitters!$A1:$R401,5,FALSE)-AVERAGE(Rankings!N2:N651))/STDEV(Rankings!N2:N651)</f>
        <v>0.98331245514116605</v>
      </c>
      <c r="H64" s="121">
        <f>(VLOOKUP($A64,Hitters!$A1:$R401,6,FALSE)-AVERAGE(Rankings!O2:O651))/STDEV(Rankings!O2:O651)</f>
        <v>0.1089880841653366</v>
      </c>
      <c r="I64" s="121">
        <f>(VLOOKUP($A64,Hitters!$A1:$R401,7,FALSE)-AVERAGE(Rankings!P2:P651))/STDEV(Rankings!P2:P651)</f>
        <v>0.58857127649555196</v>
      </c>
      <c r="J64" s="121">
        <f>(VLOOKUP($A64,Hitters!$A1:$R401,8,FALSE)-AVERAGE(Rankings!Q2:Q651))/STDEV(Rankings!Q2:Q651)</f>
        <v>-0.26953987753470693</v>
      </c>
      <c r="K64" s="121">
        <f>(VLOOKUP($A64,Hitters!$A1:$R401,9,FALSE)-AVERAGE(Rankings!R2:R651))/STDEV(Rankings!R2:R651)</f>
        <v>0.99930754929549959</v>
      </c>
      <c r="L64" s="121">
        <f>(VLOOKUP($A64,Hitters!$A1:$R401,10,FALSE)-AVERAGE(Rankings!S2:S651))/STDEV(Rankings!S2:S651)</f>
        <v>0.80649524266767714</v>
      </c>
      <c r="M64" s="121">
        <f>(VLOOKUP($A64,Hitters!$A1:$R401,11,FALSE)-AVERAGE(Rankings!T2:T651))/STDEV(Rankings!T2:T651)</f>
        <v>1.2299064688095611</v>
      </c>
      <c r="N64" s="121">
        <f>(VLOOKUP($A64,Hitters!$A1:$R401,12,FALSE)-AVERAGE(Rankings!U2:U651))/STDEV(Rankings!U2:U651)</f>
        <v>2.2524861055774332</v>
      </c>
      <c r="O64" s="121">
        <f>(VLOOKUP($A64,Hitters!$A1:$R401,13,FALSE)-AVERAGE(Rankings!V2:V651))/STDEV(Rankings!V2:V651)</f>
        <v>0.57112470354561962</v>
      </c>
      <c r="P64" s="121">
        <f>(VLOOKUP($A64,Hitters!$A1:$R401,14,FALSE)-AVERAGE(Rankings!W2:W651))/STDEV(Rankings!W2:W651)</f>
        <v>0.74084911130390207</v>
      </c>
      <c r="Q64" s="121">
        <f>(VLOOKUP($A64,Hitters!$A1:$R401,15,FALSE)-AVERAGE(Rankings!X2:X651))/STDEV(Rankings!X2:X651)</f>
        <v>0.17086606394105994</v>
      </c>
      <c r="R64" s="121">
        <f>(VLOOKUP($A64,Hitters!$A1:$R401,16,FALSE)-AVERAGE(Rankings!Y2:Y651))/STDEV(Rankings!Y2:Y651)</f>
        <v>0.45357240542635818</v>
      </c>
      <c r="S64" s="121">
        <f>(VLOOKUP($A64,Hitters!$A1:$R401,17,FALSE)-AVERAGE(Rankings!Z2:Z651))/STDEV(Rankings!Z2:Z651)</f>
        <v>0.64672770310052774</v>
      </c>
      <c r="T64" s="121">
        <f>IFERROR((VLOOKUP($A64,Hitters!$A1:$R401,18,FALSE)-AVERAGE(Rankings!AA2:AA651))/STDEV(Rankings!AA2:AA651),0)</f>
        <v>0</v>
      </c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</row>
    <row r="65" spans="1:37" ht="18.600000000000001" customHeight="1">
      <c r="A65" s="25" t="s">
        <v>341</v>
      </c>
      <c r="B65" s="26" t="s">
        <v>64</v>
      </c>
      <c r="C65" s="122" t="s">
        <v>11</v>
      </c>
      <c r="D65" s="67">
        <f>(F65*Settings!$C$2)+(G65*Settings!$C$3)+(H65*Settings!$C$4)+(I65*Settings!$C$5)+(J65*Settings!$C$6)+(M65*Settings!$C$9)+(N65*Settings!$C$10)+(O65*Settings!$C$11)+(P65*Settings!$C$12)+(Q65*Settings!$C$13)+(T65*Settings!$C$16)+(K65*Settings!$C$7)+(L65*Settings!$C$8)+(R65*Settings!$C$14)+(S65*Settings!$C$15)</f>
        <v>2.2509738349313437</v>
      </c>
      <c r="E65" s="67"/>
      <c r="F65" s="121">
        <f>(VLOOKUP($A65,Hitters!$A1:$R401,4,FALSE)-AVERAGE(Rankings!M2:M651))/STDEV(Rankings!M2:M651)</f>
        <v>1.2126754235574384</v>
      </c>
      <c r="G65" s="121">
        <f>(VLOOKUP($A65,Hitters!$A1:$R401,5,FALSE)-AVERAGE(Rankings!N2:N651))/STDEV(Rankings!N2:N651)</f>
        <v>1.1942952679834986</v>
      </c>
      <c r="H65" s="121">
        <f>(VLOOKUP($A65,Hitters!$A1:$R401,6,FALSE)-AVERAGE(Rankings!O2:O651))/STDEV(Rankings!O2:O651)</f>
        <v>0.2008822812875721</v>
      </c>
      <c r="I65" s="121">
        <f>(VLOOKUP($A65,Hitters!$A1:$R401,7,FALSE)-AVERAGE(Rankings!P2:P651))/STDEV(Rankings!P2:P651)</f>
        <v>1.0016989739723237</v>
      </c>
      <c r="J65" s="121">
        <f>(VLOOKUP($A65,Hitters!$A1:$R401,8,FALSE)-AVERAGE(Rankings!Q2:Q651))/STDEV(Rankings!Q2:Q651)</f>
        <v>-0.38499512584476092</v>
      </c>
      <c r="K65" s="121">
        <f>(VLOOKUP($A65,Hitters!$A1:$R401,9,FALSE)-AVERAGE(Rankings!R2:R651))/STDEV(Rankings!R2:R651)</f>
        <v>0.23909243753271014</v>
      </c>
      <c r="L65" s="121">
        <f>(VLOOKUP($A65,Hitters!$A1:$R401,10,FALSE)-AVERAGE(Rankings!S2:S651))/STDEV(Rankings!S2:S651)</f>
        <v>0.56098254546884152</v>
      </c>
      <c r="M65" s="121">
        <f>(VLOOKUP($A65,Hitters!$A1:$R401,11,FALSE)-AVERAGE(Rankings!T2:T651))/STDEV(Rankings!T2:T651)</f>
        <v>1.0906941264865289</v>
      </c>
      <c r="N65" s="121">
        <f>(VLOOKUP($A65,Hitters!$A1:$R401,12,FALSE)-AVERAGE(Rankings!U2:U651))/STDEV(Rankings!U2:U651)</f>
        <v>1.4573763263483082</v>
      </c>
      <c r="O65" s="121">
        <f>(VLOOKUP($A65,Hitters!$A1:$R401,13,FALSE)-AVERAGE(Rankings!V2:V651))/STDEV(Rankings!V2:V651)</f>
        <v>2.1751172395560281</v>
      </c>
      <c r="P65" s="121">
        <f>(VLOOKUP($A65,Hitters!$A1:$R401,14,FALSE)-AVERAGE(Rankings!W2:W651))/STDEV(Rankings!W2:W651)</f>
        <v>1.2070955391764147</v>
      </c>
      <c r="Q65" s="121">
        <f>(VLOOKUP($A65,Hitters!$A1:$R401,15,FALSE)-AVERAGE(Rankings!X2:X651))/STDEV(Rankings!X2:X651)</f>
        <v>0.37165020807556709</v>
      </c>
      <c r="R65" s="121">
        <f>(VLOOKUP($A65,Hitters!$A1:$R401,16,FALSE)-AVERAGE(Rankings!Y2:Y651))/STDEV(Rankings!Y2:Y651)</f>
        <v>1.0459753822698495E-2</v>
      </c>
      <c r="S65" s="121">
        <f>(VLOOKUP($A65,Hitters!$A1:$R401,17,FALSE)-AVERAGE(Rankings!Z2:Z651))/STDEV(Rankings!Z2:Z651)</f>
        <v>0.22781267338766295</v>
      </c>
      <c r="T65" s="121">
        <f>IFERROR((VLOOKUP($A65,Hitters!$A1:$R401,18,FALSE)-AVERAGE(Rankings!AA2:AA651))/STDEV(Rankings!AA2:AA651),0)</f>
        <v>0</v>
      </c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</row>
    <row r="66" spans="1:37" ht="18.600000000000001" customHeight="1">
      <c r="A66" s="25" t="s">
        <v>333</v>
      </c>
      <c r="B66" s="26" t="s">
        <v>178</v>
      </c>
      <c r="C66" s="122" t="s">
        <v>11</v>
      </c>
      <c r="D66" s="67">
        <f>(F66*Settings!$C$2)+(G66*Settings!$C$3)+(H66*Settings!$C$4)+(I66*Settings!$C$5)+(J66*Settings!$C$6)+(M66*Settings!$C$9)+(N66*Settings!$C$10)+(O66*Settings!$C$11)+(P66*Settings!$C$12)+(Q66*Settings!$C$13)+(T66*Settings!$C$16)+(K66*Settings!$C$7)+(L66*Settings!$C$8)+(R66*Settings!$C$14)+(S66*Settings!$C$15)</f>
        <v>2.3077359302634353</v>
      </c>
      <c r="E66" s="67"/>
      <c r="F66" s="121">
        <f>(VLOOKUP($A66,Hitters!$A1:$R401,4,FALSE)-AVERAGE(Rankings!M2:M651))/STDEV(Rankings!M2:M651)</f>
        <v>1.0429107360759717</v>
      </c>
      <c r="G66" s="121">
        <f>(VLOOKUP($A66,Hitters!$A1:$R401,5,FALSE)-AVERAGE(Rankings!N2:N651))/STDEV(Rankings!N2:N651)</f>
        <v>0.73134736930068744</v>
      </c>
      <c r="H66" s="121">
        <f>(VLOOKUP($A66,Hitters!$A1:$R401,6,FALSE)-AVERAGE(Rankings!O2:O651))/STDEV(Rankings!O2:O651)</f>
        <v>0.23429835296839061</v>
      </c>
      <c r="I66" s="121">
        <f>(VLOOKUP($A66,Hitters!$A1:$R401,7,FALSE)-AVERAGE(Rankings!P2:P651))/STDEV(Rankings!P2:P651)</f>
        <v>0.81363338034483823</v>
      </c>
      <c r="J66" s="121">
        <f>(VLOOKUP($A66,Hitters!$A1:$R401,8,FALSE)-AVERAGE(Rankings!Q2:Q651))/STDEV(Rankings!Q2:Q651)</f>
        <v>-0.85183591248975987</v>
      </c>
      <c r="K66" s="121">
        <f>(VLOOKUP($A66,Hitters!$A1:$R401,9,FALSE)-AVERAGE(Rankings!R2:R651))/STDEV(Rankings!R2:R651)</f>
        <v>1.3802927401392791</v>
      </c>
      <c r="L66" s="121">
        <f>(VLOOKUP($A66,Hitters!$A1:$R401,10,FALSE)-AVERAGE(Rankings!S2:S651))/STDEV(Rankings!S2:S651)</f>
        <v>0.57232257549662613</v>
      </c>
      <c r="M66" s="121">
        <f>(VLOOKUP($A66,Hitters!$A1:$R401,11,FALSE)-AVERAGE(Rankings!T2:T651))/STDEV(Rankings!T2:T651)</f>
        <v>1.2681216216041182</v>
      </c>
      <c r="N66" s="121">
        <f>(VLOOKUP($A66,Hitters!$A1:$R401,12,FALSE)-AVERAGE(Rankings!U2:U651))/STDEV(Rankings!U2:U651)</f>
        <v>1.2532839765996544</v>
      </c>
      <c r="O66" s="121">
        <f>(VLOOKUP($A66,Hitters!$A1:$R401,13,FALSE)-AVERAGE(Rankings!V2:V651))/STDEV(Rankings!V2:V651)</f>
        <v>1.1242255780319683</v>
      </c>
      <c r="P66" s="121">
        <f>(VLOOKUP($A66,Hitters!$A1:$R401,14,FALSE)-AVERAGE(Rankings!W2:W651))/STDEV(Rankings!W2:W651)</f>
        <v>9.627735643631849E-2</v>
      </c>
      <c r="Q66" s="121">
        <f>(VLOOKUP($A66,Hitters!$A1:$R401,15,FALSE)-AVERAGE(Rankings!X2:X651))/STDEV(Rankings!X2:X651)</f>
        <v>0.27028345569697587</v>
      </c>
      <c r="R66" s="121">
        <f>(VLOOKUP($A66,Hitters!$A1:$R401,16,FALSE)-AVERAGE(Rankings!Y2:Y651))/STDEV(Rankings!Y2:Y651)</f>
        <v>0.5464745971290027</v>
      </c>
      <c r="S66" s="121">
        <f>(VLOOKUP($A66,Hitters!$A1:$R401,17,FALSE)-AVERAGE(Rankings!Z2:Z651))/STDEV(Rankings!Z2:Z651)</f>
        <v>0.62243368655006726</v>
      </c>
      <c r="T66" s="121">
        <f>IFERROR((VLOOKUP($A66,Hitters!$A1:$R401,18,FALSE)-AVERAGE(Rankings!AA2:AA651))/STDEV(Rankings!AA2:AA651),0)</f>
        <v>0</v>
      </c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</row>
    <row r="67" spans="1:37" ht="18.600000000000001" customHeight="1">
      <c r="A67" s="25" t="s">
        <v>327</v>
      </c>
      <c r="B67" s="26" t="s">
        <v>97</v>
      </c>
      <c r="C67" s="122" t="s">
        <v>11</v>
      </c>
      <c r="D67" s="67">
        <f>(F67*Settings!$C$2)+(G67*Settings!$C$3)+(H67*Settings!$C$4)+(I67*Settings!$C$5)+(J67*Settings!$C$6)+(M67*Settings!$C$9)+(N67*Settings!$C$10)+(O67*Settings!$C$11)+(P67*Settings!$C$12)+(Q67*Settings!$C$13)+(T67*Settings!$C$16)+(K67*Settings!$C$7)+(L67*Settings!$C$8)+(R67*Settings!$C$14)+(S67*Settings!$C$15)</f>
        <v>2.3682034744782507</v>
      </c>
      <c r="E67" s="67"/>
      <c r="F67" s="121">
        <f>(VLOOKUP($A67,Hitters!$A1:$R401,4,FALSE)-AVERAGE(Rankings!M2:M651))/STDEV(Rankings!M2:M651)</f>
        <v>0.97239309666059426</v>
      </c>
      <c r="G67" s="121">
        <f>(VLOOKUP($A67,Hitters!$A1:$R401,5,FALSE)-AVERAGE(Rankings!N2:N651))/STDEV(Rankings!N2:N651)</f>
        <v>0.59322193067729312</v>
      </c>
      <c r="H67" s="121">
        <f>(VLOOKUP($A67,Hitters!$A1:$R401,6,FALSE)-AVERAGE(Rankings!O2:O651))/STDEV(Rankings!O2:O651)</f>
        <v>-0.52174026881003477</v>
      </c>
      <c r="I67" s="121">
        <f>(VLOOKUP($A67,Hitters!$A1:$R401,7,FALSE)-AVERAGE(Rankings!P2:P651))/STDEV(Rankings!P2:P651)</f>
        <v>0.48220630960787619</v>
      </c>
      <c r="J67" s="121">
        <f>(VLOOKUP($A67,Hitters!$A1:$R401,8,FALSE)-AVERAGE(Rankings!Q2:Q651))/STDEV(Rankings!Q2:Q651)</f>
        <v>-0.4552722335117505</v>
      </c>
      <c r="K67" s="121">
        <f>(VLOOKUP($A67,Hitters!$A1:$R401,9,FALSE)-AVERAGE(Rankings!R2:R651))/STDEV(Rankings!R2:R651)</f>
        <v>2.2697877365148669</v>
      </c>
      <c r="L67" s="121">
        <f>(VLOOKUP($A67,Hitters!$A1:$R401,10,FALSE)-AVERAGE(Rankings!S2:S651))/STDEV(Rankings!S2:S651)</f>
        <v>1.3608962626645937</v>
      </c>
      <c r="M67" s="121">
        <f>(VLOOKUP($A67,Hitters!$A1:$R401,11,FALSE)-AVERAGE(Rankings!T2:T651))/STDEV(Rankings!T2:T651)</f>
        <v>1.4510084242637877</v>
      </c>
      <c r="N67" s="121">
        <f>(VLOOKUP($A67,Hitters!$A1:$R401,12,FALSE)-AVERAGE(Rankings!U2:U651))/STDEV(Rankings!U2:U651)</f>
        <v>1.7380033072527061</v>
      </c>
      <c r="O67" s="121">
        <f>(VLOOKUP($A67,Hitters!$A1:$R401,13,FALSE)-AVERAGE(Rankings!V2:V651))/STDEV(Rankings!V2:V651)</f>
        <v>-0.20321652073526184</v>
      </c>
      <c r="P67" s="121">
        <f>(VLOOKUP($A67,Hitters!$A1:$R401,14,FALSE)-AVERAGE(Rankings!W2:W651))/STDEV(Rankings!W2:W651)</f>
        <v>0.15200402112227657</v>
      </c>
      <c r="Q67" s="121">
        <f>(VLOOKUP($A67,Hitters!$A1:$R401,15,FALSE)-AVERAGE(Rankings!X2:X651))/STDEV(Rankings!X2:X651)</f>
        <v>-0.77749787898547318</v>
      </c>
      <c r="R67" s="121">
        <f>(VLOOKUP($A67,Hitters!$A1:$R401,16,FALSE)-AVERAGE(Rankings!Y2:Y651))/STDEV(Rankings!Y2:Y651)</f>
        <v>0.24002724986664858</v>
      </c>
      <c r="S67" s="121">
        <f>(VLOOKUP($A67,Hitters!$A1:$R401,17,FALSE)-AVERAGE(Rankings!Z2:Z651))/STDEV(Rankings!Z2:Z651)</f>
        <v>0.70890188501243168</v>
      </c>
      <c r="T67" s="121">
        <f>IFERROR((VLOOKUP($A67,Hitters!$A1:$R401,18,FALSE)-AVERAGE(Rankings!AA2:AA651))/STDEV(Rankings!AA2:AA651),0)</f>
        <v>0</v>
      </c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</row>
    <row r="68" spans="1:37" ht="18.600000000000001" customHeight="1">
      <c r="A68" s="25" t="s">
        <v>310</v>
      </c>
      <c r="B68" s="26" t="s">
        <v>136</v>
      </c>
      <c r="C68" s="122" t="s">
        <v>11</v>
      </c>
      <c r="D68" s="67">
        <f>(F68*Settings!$C$2)+(G68*Settings!$C$3)+(H68*Settings!$C$4)+(I68*Settings!$C$5)+(J68*Settings!$C$6)+(M68*Settings!$C$9)+(N68*Settings!$C$10)+(O68*Settings!$C$11)+(P68*Settings!$C$12)+(Q68*Settings!$C$13)+(T68*Settings!$C$16)+(K68*Settings!$C$7)+(L68*Settings!$C$8)+(R68*Settings!$C$14)+(S68*Settings!$C$15)</f>
        <v>2.6177206445061234</v>
      </c>
      <c r="E68" s="67"/>
      <c r="F68" s="121">
        <f>(VLOOKUP($A68,Hitters!$A1:$R401,4,FALSE)-AVERAGE(Rankings!M2:M651))/STDEV(Rankings!M2:M651)</f>
        <v>0.85747546205775405</v>
      </c>
      <c r="G68" s="121">
        <f>(VLOOKUP($A68,Hitters!$A1:$R401,5,FALSE)-AVERAGE(Rankings!N2:N651))/STDEV(Rankings!N2:N651)</f>
        <v>0.59625765460307933</v>
      </c>
      <c r="H68" s="121">
        <f>(VLOOKUP($A68,Hitters!$A1:$R401,6,FALSE)-AVERAGE(Rankings!O2:O651))/STDEV(Rankings!O2:O651)</f>
        <v>-0.27111973120392296</v>
      </c>
      <c r="I68" s="121">
        <f>(VLOOKUP($A68,Hitters!$A1:$R401,7,FALSE)-AVERAGE(Rankings!P2:P651))/STDEV(Rankings!P2:P651)</f>
        <v>8.6035345982768852E-2</v>
      </c>
      <c r="J68" s="121">
        <f>(VLOOKUP($A68,Hitters!$A1:$R401,8,FALSE)-AVERAGE(Rankings!Q2:Q651))/STDEV(Rankings!Q2:Q651)</f>
        <v>0.86493343194668781</v>
      </c>
      <c r="K68" s="121">
        <f>(VLOOKUP($A68,Hitters!$A1:$R401,9,FALSE)-AVERAGE(Rankings!R2:R651))/STDEV(Rankings!R2:R651)</f>
        <v>1.3416139431775103</v>
      </c>
      <c r="L68" s="121">
        <f>(VLOOKUP($A68,Hitters!$A1:$R401,10,FALSE)-AVERAGE(Rankings!S2:S651))/STDEV(Rankings!S2:S651)</f>
        <v>0.58963111428479908</v>
      </c>
      <c r="M68" s="121">
        <f>(VLOOKUP($A68,Hitters!$A1:$R401,11,FALSE)-AVERAGE(Rankings!T2:T651))/STDEV(Rankings!T2:T651)</f>
        <v>1.0779557422216677</v>
      </c>
      <c r="N68" s="121">
        <f>(VLOOKUP($A68,Hitters!$A1:$R401,12,FALSE)-AVERAGE(Rankings!U2:U651))/STDEV(Rankings!U2:U651)</f>
        <v>9.2508737404187427E-2</v>
      </c>
      <c r="O68" s="121">
        <f>(VLOOKUP($A68,Hitters!$A1:$R401,13,FALSE)-AVERAGE(Rankings!V2:V651))/STDEV(Rankings!V2:V651)</f>
        <v>0.26691922257813488</v>
      </c>
      <c r="P68" s="121">
        <f>(VLOOKUP($A68,Hitters!$A1:$R401,14,FALSE)-AVERAGE(Rankings!W2:W651))/STDEV(Rankings!W2:W651)</f>
        <v>4.798091370848654E-2</v>
      </c>
      <c r="Q68" s="121">
        <f>(VLOOKUP($A68,Hitters!$A1:$R401,15,FALSE)-AVERAGE(Rankings!X2:X651))/STDEV(Rankings!X2:X651)</f>
        <v>-0.28625900207388738</v>
      </c>
      <c r="R68" s="121">
        <f>(VLOOKUP($A68,Hitters!$A1:$R401,16,FALSE)-AVERAGE(Rankings!Y2:Y651))/STDEV(Rankings!Y2:Y651)</f>
        <v>-0.36803939149548626</v>
      </c>
      <c r="S68" s="121">
        <f>(VLOOKUP($A68,Hitters!$A1:$R401,17,FALSE)-AVERAGE(Rankings!Z2:Z651))/STDEV(Rankings!Z2:Z651)</f>
        <v>-3.6454846060129178E-2</v>
      </c>
      <c r="T68" s="121">
        <f>IFERROR((VLOOKUP($A68,Hitters!$A1:$R401,18,FALSE)-AVERAGE(Rankings!AA2:AA651))/STDEV(Rankings!AA2:AA651),0)</f>
        <v>0</v>
      </c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</row>
    <row r="69" spans="1:37" ht="18.600000000000001" customHeight="1">
      <c r="A69" s="25" t="s">
        <v>317</v>
      </c>
      <c r="B69" s="26" t="s">
        <v>219</v>
      </c>
      <c r="C69" s="122" t="s">
        <v>11</v>
      </c>
      <c r="D69" s="67">
        <f>(F69*Settings!$C$2)+(G69*Settings!$C$3)+(H69*Settings!$C$4)+(I69*Settings!$C$5)+(J69*Settings!$C$6)+(M69*Settings!$C$9)+(N69*Settings!$C$10)+(O69*Settings!$C$11)+(P69*Settings!$C$12)+(Q69*Settings!$C$13)+(T69*Settings!$C$16)+(K69*Settings!$C$7)+(L69*Settings!$C$8)+(R69*Settings!$C$14)+(S69*Settings!$C$15)</f>
        <v>2.5215785039797103</v>
      </c>
      <c r="E69" s="67"/>
      <c r="F69" s="121">
        <f>(VLOOKUP($A69,Hitters!$A1:$R401,4,FALSE)-AVERAGE(Rankings!M2:M651))/STDEV(Rankings!M2:M651)</f>
        <v>0.55451078901391571</v>
      </c>
      <c r="G69" s="121">
        <f>(VLOOKUP($A69,Hitters!$A1:$R401,5,FALSE)-AVERAGE(Rankings!N2:N651))/STDEV(Rankings!N2:N651)</f>
        <v>0.45813221597968501</v>
      </c>
      <c r="H69" s="121">
        <f>(VLOOKUP($A69,Hitters!$A1:$R401,6,FALSE)-AVERAGE(Rankings!O2:O651))/STDEV(Rankings!O2:O651)</f>
        <v>-1.2145175677619838E-2</v>
      </c>
      <c r="I69" s="121">
        <f>(VLOOKUP($A69,Hitters!$A1:$R401,7,FALSE)-AVERAGE(Rankings!P2:P651))/STDEV(Rankings!P2:P651)</f>
        <v>0.16465293020409441</v>
      </c>
      <c r="J69" s="121">
        <f>(VLOOKUP($A69,Hitters!$A1:$R401,8,FALSE)-AVERAGE(Rankings!Q2:Q651))/STDEV(Rankings!Q2:Q651)</f>
        <v>1.4321700866873905</v>
      </c>
      <c r="K69" s="121">
        <f>(VLOOKUP($A69,Hitters!$A1:$R401,9,FALSE)-AVERAGE(Rankings!R2:R651))/STDEV(Rankings!R2:R651)</f>
        <v>0.47876844678616026</v>
      </c>
      <c r="L69" s="121">
        <f>(VLOOKUP($A69,Hitters!$A1:$R401,10,FALSE)-AVERAGE(Rankings!S2:S651))/STDEV(Rankings!S2:S651)</f>
        <v>-0.30517385127806923</v>
      </c>
      <c r="M69" s="121">
        <f>(VLOOKUP($A69,Hitters!$A1:$R401,11,FALSE)-AVERAGE(Rankings!T2:T651))/STDEV(Rankings!T2:T651)</f>
        <v>0.5675104870372184</v>
      </c>
      <c r="N69" s="121">
        <f>(VLOOKUP($A69,Hitters!$A1:$R401,12,FALSE)-AVERAGE(Rankings!U2:U651))/STDEV(Rankings!U2:U651)</f>
        <v>3.2981802060826279E-2</v>
      </c>
      <c r="O69" s="121">
        <f>(VLOOKUP($A69,Hitters!$A1:$R401,13,FALSE)-AVERAGE(Rankings!V2:V651))/STDEV(Rankings!V2:V651)</f>
        <v>7.333391650790845E-2</v>
      </c>
      <c r="P69" s="121">
        <f>(VLOOKUP($A69,Hitters!$A1:$R401,14,FALSE)-AVERAGE(Rankings!W2:W651))/STDEV(Rankings!W2:W651)</f>
        <v>-0.31609996223977127</v>
      </c>
      <c r="Q69" s="121">
        <f>(VLOOKUP($A69,Hitters!$A1:$R401,15,FALSE)-AVERAGE(Rankings!X2:X651))/STDEV(Rankings!X2:X651)</f>
        <v>-0.20925925747861959</v>
      </c>
      <c r="R69" s="121">
        <f>(VLOOKUP($A69,Hitters!$A1:$R401,16,FALSE)-AVERAGE(Rankings!Y2:Y651))/STDEV(Rankings!Y2:Y651)</f>
        <v>-0.26753386943483937</v>
      </c>
      <c r="S69" s="121">
        <f>(VLOOKUP($A69,Hitters!$A1:$R401,17,FALSE)-AVERAGE(Rankings!Z2:Z651))/STDEV(Rankings!Z2:Z651)</f>
        <v>-0.31452814976435473</v>
      </c>
      <c r="T69" s="121">
        <f>IFERROR((VLOOKUP($A69,Hitters!$A1:$R401,18,FALSE)-AVERAGE(Rankings!AA2:AA651))/STDEV(Rankings!AA2:AA651),0)</f>
        <v>0</v>
      </c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</row>
    <row r="70" spans="1:37" ht="18.600000000000001" customHeight="1">
      <c r="A70" s="25" t="s">
        <v>384</v>
      </c>
      <c r="B70" s="26" t="s">
        <v>122</v>
      </c>
      <c r="C70" s="122" t="s">
        <v>11</v>
      </c>
      <c r="D70" s="67">
        <f>(F70*Settings!$C$2)+(G70*Settings!$C$3)+(H70*Settings!$C$4)+(I70*Settings!$C$5)+(J70*Settings!$C$6)+(M70*Settings!$C$9)+(N70*Settings!$C$10)+(O70*Settings!$C$11)+(P70*Settings!$C$12)+(Q70*Settings!$C$13)+(T70*Settings!$C$16)+(K70*Settings!$C$7)+(L70*Settings!$C$8)+(R70*Settings!$C$14)+(S70*Settings!$C$15)</f>
        <v>1.5633581317804561</v>
      </c>
      <c r="E70" s="67"/>
      <c r="F70" s="121">
        <f>(VLOOKUP($A70,Hitters!$A1:$R401,4,FALSE)-AVERAGE(Rankings!M2:M651))/STDEV(Rankings!M2:M651)</f>
        <v>0.48138138517574086</v>
      </c>
      <c r="G70" s="121">
        <f>(VLOOKUP($A70,Hitters!$A1:$R401,5,FALSE)-AVERAGE(Rankings!N2:N651))/STDEV(Rankings!N2:N651)</f>
        <v>0.39134628961232748</v>
      </c>
      <c r="H70" s="121">
        <f>(VLOOKUP($A70,Hitters!$A1:$R401,6,FALSE)-AVERAGE(Rankings!O2:O651))/STDEV(Rankings!O2:O651)</f>
        <v>-0.57186437633125642</v>
      </c>
      <c r="I70" s="121">
        <f>(VLOOKUP($A70,Hitters!$A1:$R401,7,FALSE)-AVERAGE(Rankings!P2:P651))/STDEV(Rankings!P2:P651)</f>
        <v>-6.8116779941401709E-2</v>
      </c>
      <c r="J70" s="121">
        <f>(VLOOKUP($A70,Hitters!$A1:$R401,8,FALSE)-AVERAGE(Rankings!Q2:Q651))/STDEV(Rankings!Q2:Q651)</f>
        <v>1.3970315328538863</v>
      </c>
      <c r="K70" s="121">
        <f>(VLOOKUP($A70,Hitters!$A1:$R401,9,FALSE)-AVERAGE(Rankings!R2:R651))/STDEV(Rankings!R2:R651)</f>
        <v>0.4149614655869005</v>
      </c>
      <c r="L70" s="121">
        <f>(VLOOKUP($A70,Hitters!$A1:$R401,10,FALSE)-AVERAGE(Rankings!S2:S651))/STDEV(Rankings!S2:S651)</f>
        <v>0.96657824952209459</v>
      </c>
      <c r="M70" s="121">
        <f>(VLOOKUP($A70,Hitters!$A1:$R401,11,FALSE)-AVERAGE(Rankings!T2:T651))/STDEV(Rankings!T2:T651)</f>
        <v>0.48562087390602338</v>
      </c>
      <c r="N70" s="121">
        <f>(VLOOKUP($A70,Hitters!$A1:$R401,12,FALSE)-AVERAGE(Rankings!U2:U651))/STDEV(Rankings!U2:U651)</f>
        <v>0.56022037224484322</v>
      </c>
      <c r="O70" s="121">
        <f>(VLOOKUP($A70,Hitters!$A1:$R401,13,FALSE)-AVERAGE(Rankings!V2:V651))/STDEV(Rankings!V2:V651)</f>
        <v>0.23926417885381215</v>
      </c>
      <c r="P70" s="121">
        <f>(VLOOKUP($A70,Hitters!$A1:$R401,14,FALSE)-AVERAGE(Rankings!W2:W651))/STDEV(Rankings!W2:W651)</f>
        <v>0.90802910536177639</v>
      </c>
      <c r="Q70" s="121">
        <f>(VLOOKUP($A70,Hitters!$A1:$R401,15,FALSE)-AVERAGE(Rankings!X2:X651))/STDEV(Rankings!X2:X651)</f>
        <v>0.41258678115153236</v>
      </c>
      <c r="R70" s="121">
        <f>(VLOOKUP($A70,Hitters!$A1:$R401,16,FALSE)-AVERAGE(Rankings!Y2:Y651))/STDEV(Rankings!Y2:Y651)</f>
        <v>-0.68161877348461886</v>
      </c>
      <c r="S70" s="121">
        <f>(VLOOKUP($A70,Hitters!$A1:$R401,17,FALSE)-AVERAGE(Rankings!Z2:Z651))/STDEV(Rankings!Z2:Z651)</f>
        <v>-0.11675128266305157</v>
      </c>
      <c r="T70" s="121">
        <f>IFERROR((VLOOKUP($A70,Hitters!$A1:$R401,18,FALSE)-AVERAGE(Rankings!AA2:AA651))/STDEV(Rankings!AA2:AA651),0)</f>
        <v>0</v>
      </c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</row>
    <row r="71" spans="1:37" ht="18.600000000000001" customHeight="1">
      <c r="A71" s="25" t="s">
        <v>393</v>
      </c>
      <c r="B71" s="26" t="s">
        <v>72</v>
      </c>
      <c r="C71" s="122" t="s">
        <v>11</v>
      </c>
      <c r="D71" s="67">
        <f>(F71*Settings!$C$2)+(G71*Settings!$C$3)+(H71*Settings!$C$4)+(I71*Settings!$C$5)+(J71*Settings!$C$6)+(M71*Settings!$C$9)+(N71*Settings!$C$10)+(O71*Settings!$C$11)+(P71*Settings!$C$12)+(Q71*Settings!$C$13)+(T71*Settings!$C$16)+(K71*Settings!$C$7)+(L71*Settings!$C$8)+(R71*Settings!$C$14)+(S71*Settings!$C$15)</f>
        <v>1.4912389362833973</v>
      </c>
      <c r="E71" s="67"/>
      <c r="F71" s="121">
        <f>(VLOOKUP($A71,Hitters!$A1:$R401,4,FALSE)-AVERAGE(Rankings!M2:M651))/STDEV(Rankings!M2:M651)</f>
        <v>0.46048726979341242</v>
      </c>
      <c r="G71" s="121">
        <f>(VLOOKUP($A71,Hitters!$A1:$R401,5,FALSE)-AVERAGE(Rankings!N2:N651))/STDEV(Rankings!N2:N651)</f>
        <v>0.38831056568654132</v>
      </c>
      <c r="H71" s="121">
        <f>(VLOOKUP($A71,Hitters!$A1:$R401,6,FALSE)-AVERAGE(Rankings!O2:O651))/STDEV(Rankings!O2:O651)</f>
        <v>-0.26276571328372783</v>
      </c>
      <c r="I71" s="121">
        <f>(VLOOKUP($A71,Hitters!$A1:$R401,7,FALSE)-AVERAGE(Rankings!P2:P651))/STDEV(Rankings!P2:P651)</f>
        <v>-9.2781120089267102E-2</v>
      </c>
      <c r="J71" s="121">
        <f>(VLOOKUP($A71,Hitters!$A1:$R401,8,FALSE)-AVERAGE(Rankings!Q2:Q651))/STDEV(Rankings!Q2:Q651)</f>
        <v>1.1410220692098543</v>
      </c>
      <c r="K71" s="121">
        <f>(VLOOKUP($A71,Hitters!$A1:$R401,9,FALSE)-AVERAGE(Rankings!R2:R651))/STDEV(Rankings!R2:R651)</f>
        <v>0.31745313475999665</v>
      </c>
      <c r="L71" s="121">
        <f>(VLOOKUP($A71,Hitters!$A1:$R401,10,FALSE)-AVERAGE(Rankings!S2:S651))/STDEV(Rankings!S2:S651)</f>
        <v>0.12952784615279508</v>
      </c>
      <c r="M71" s="121">
        <f>(VLOOKUP($A71,Hitters!$A1:$R401,11,FALSE)-AVERAGE(Rankings!T2:T651))/STDEV(Rankings!T2:T651)</f>
        <v>0.44285629815972338</v>
      </c>
      <c r="N71" s="121">
        <f>(VLOOKUP($A71,Hitters!$A1:$R401,12,FALSE)-AVERAGE(Rankings!U2:U651))/STDEV(Rankings!U2:U651)</f>
        <v>0.6622665471191701</v>
      </c>
      <c r="O71" s="121">
        <f>(VLOOKUP($A71,Hitters!$A1:$R401,13,FALSE)-AVERAGE(Rankings!V2:V651))/STDEV(Rankings!V2:V651)</f>
        <v>1.1242255780319683</v>
      </c>
      <c r="P71" s="121">
        <f>(VLOOKUP($A71,Hitters!$A1:$R401,14,FALSE)-AVERAGE(Rankings!W2:W651))/STDEV(Rankings!W2:W651)</f>
        <v>0.15571913210134222</v>
      </c>
      <c r="Q71" s="121">
        <f>(VLOOKUP($A71,Hitters!$A1:$R401,15,FALSE)-AVERAGE(Rankings!X2:X651))/STDEV(Rankings!X2:X651)</f>
        <v>-0.20243649529929322</v>
      </c>
      <c r="R71" s="121">
        <f>(VLOOKUP($A71,Hitters!$A1:$R401,16,FALSE)-AVERAGE(Rankings!Y2:Y651))/STDEV(Rankings!Y2:Y651)</f>
        <v>-0.17775718568513543</v>
      </c>
      <c r="S71" s="121">
        <f>(VLOOKUP($A71,Hitters!$A1:$R401,17,FALSE)-AVERAGE(Rankings!Z2:Z651))/STDEV(Rankings!Z2:Z651)</f>
        <v>-7.8548227882290669E-2</v>
      </c>
      <c r="T71" s="121">
        <f>IFERROR((VLOOKUP($A71,Hitters!$A1:$R401,18,FALSE)-AVERAGE(Rankings!AA2:AA651))/STDEV(Rankings!AA2:AA651),0)</f>
        <v>0</v>
      </c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</row>
    <row r="72" spans="1:37" ht="18.600000000000001" customHeight="1">
      <c r="A72" s="25" t="s">
        <v>417</v>
      </c>
      <c r="B72" s="26" t="s">
        <v>99</v>
      </c>
      <c r="C72" s="122" t="s">
        <v>11</v>
      </c>
      <c r="D72" s="67">
        <f>(F72*Settings!$C$2)+(G72*Settings!$C$3)+(H72*Settings!$C$4)+(I72*Settings!$C$5)+(J72*Settings!$C$6)+(M72*Settings!$C$9)+(N72*Settings!$C$10)+(O72*Settings!$C$11)+(P72*Settings!$C$12)+(Q72*Settings!$C$13)+(T72*Settings!$C$16)+(K72*Settings!$C$7)+(L72*Settings!$C$8)+(R72*Settings!$C$14)+(S72*Settings!$C$15)</f>
        <v>0.95841277097537891</v>
      </c>
      <c r="E72" s="67"/>
      <c r="F72" s="121">
        <f>(VLOOKUP($A72,Hitters!$A1:$R401,4,FALSE)-AVERAGE(Rankings!M2:M651))/STDEV(Rankings!M2:M651)</f>
        <v>0.74516959187771126</v>
      </c>
      <c r="G72" s="121">
        <f>(VLOOKUP($A72,Hitters!$A1:$R401,5,FALSE)-AVERAGE(Rankings!N2:N651))/STDEV(Rankings!N2:N651)</f>
        <v>0.57348972515966246</v>
      </c>
      <c r="H72" s="121">
        <f>(VLOOKUP($A72,Hitters!$A1:$R401,6,FALSE)-AVERAGE(Rankings!O2:O651))/STDEV(Rankings!O2:O651)</f>
        <v>0.48074188161440107</v>
      </c>
      <c r="I72" s="121">
        <f>(VLOOKUP($A72,Hitters!$A1:$R401,7,FALSE)-AVERAGE(Rankings!P2:P651))/STDEV(Rankings!P2:P651)</f>
        <v>0.53615955368133639</v>
      </c>
      <c r="J72" s="121">
        <f>(VLOOKUP($A72,Hitters!$A1:$R401,8,FALSE)-AVERAGE(Rankings!Q2:Q651))/STDEV(Rankings!Q2:Q651)</f>
        <v>-0.40507429946390011</v>
      </c>
      <c r="K72" s="121">
        <f>(VLOOKUP($A72,Hitters!$A1:$R401,9,FALSE)-AVERAGE(Rankings!R2:R651))/STDEV(Rankings!R2:R651)</f>
        <v>-0.22690409001612105</v>
      </c>
      <c r="L72" s="121">
        <f>(VLOOKUP($A72,Hitters!$A1:$R401,10,FALSE)-AVERAGE(Rankings!S2:S651))/STDEV(Rankings!S2:S651)</f>
        <v>0.43268865449784044</v>
      </c>
      <c r="M72" s="121">
        <f>(VLOOKUP($A72,Hitters!$A1:$R401,11,FALSE)-AVERAGE(Rankings!T2:T651))/STDEV(Rankings!T2:T651)</f>
        <v>0.55204244900131683</v>
      </c>
      <c r="N72" s="121">
        <f>(VLOOKUP($A72,Hitters!$A1:$R401,12,FALSE)-AVERAGE(Rankings!U2:U651))/STDEV(Rankings!U2:U651)</f>
        <v>0.40289918598026059</v>
      </c>
      <c r="O72" s="121">
        <f>(VLOOKUP($A72,Hitters!$A1:$R401,13,FALSE)-AVERAGE(Rankings!V2:V651))/STDEV(Rankings!V2:V651)</f>
        <v>-0.12025138956230989</v>
      </c>
      <c r="P72" s="121">
        <f>(VLOOKUP($A72,Hitters!$A1:$R401,14,FALSE)-AVERAGE(Rankings!W2:W651))/STDEV(Rankings!W2:W651)</f>
        <v>1.0844968768673067</v>
      </c>
      <c r="Q72" s="121">
        <f>(VLOOKUP($A72,Hitters!$A1:$R401,15,FALSE)-AVERAGE(Rankings!X2:X651))/STDEV(Rankings!X2:X651)</f>
        <v>0.59582667968202496</v>
      </c>
      <c r="R72" s="121">
        <f>(VLOOKUP($A72,Hitters!$A1:$R401,16,FALSE)-AVERAGE(Rankings!Y2:Y651))/STDEV(Rankings!Y2:Y651)</f>
        <v>-8.4987958749183135E-2</v>
      </c>
      <c r="S72" s="121">
        <f>(VLOOKUP($A72,Hitters!$A1:$R401,17,FALSE)-AVERAGE(Rankings!Z2:Z651))/STDEV(Rankings!Z2:Z651)</f>
        <v>0.10797707881294945</v>
      </c>
      <c r="T72" s="121">
        <f>IFERROR((VLOOKUP($A72,Hitters!$A1:$R401,18,FALSE)-AVERAGE(Rankings!AA2:AA651))/STDEV(Rankings!AA2:AA651),0)</f>
        <v>0</v>
      </c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</row>
    <row r="73" spans="1:37" ht="18.600000000000001" customHeight="1">
      <c r="A73" s="25" t="s">
        <v>408</v>
      </c>
      <c r="B73" s="26" t="s">
        <v>160</v>
      </c>
      <c r="C73" s="122" t="s">
        <v>11</v>
      </c>
      <c r="D73" s="67">
        <f>(F73*Settings!$C$2)+(G73*Settings!$C$3)+(H73*Settings!$C$4)+(I73*Settings!$C$5)+(J73*Settings!$C$6)+(M73*Settings!$C$9)+(N73*Settings!$C$10)+(O73*Settings!$C$11)+(P73*Settings!$C$12)+(Q73*Settings!$C$13)+(T73*Settings!$C$16)+(K73*Settings!$C$7)+(L73*Settings!$C$8)+(R73*Settings!$C$14)+(S73*Settings!$C$15)</f>
        <v>1.2514807516880335</v>
      </c>
      <c r="E73" s="67"/>
      <c r="F73" s="121">
        <f>(VLOOKUP($A73,Hitters!$A1:$R401,4,FALSE)-AVERAGE(Rankings!M2:M651))/STDEV(Rankings!M2:M651)</f>
        <v>0.42653433229711391</v>
      </c>
      <c r="G73" s="121">
        <f>(VLOOKUP($A73,Hitters!$A1:$R401,5,FALSE)-AVERAGE(Rankings!N2:N651))/STDEV(Rankings!N2:N651)</f>
        <v>0.38072125587206751</v>
      </c>
      <c r="H73" s="121">
        <f>(VLOOKUP($A73,Hitters!$A1:$R401,6,FALSE)-AVERAGE(Rankings!O2:O651))/STDEV(Rankings!O2:O651)</f>
        <v>0.53086598913562244</v>
      </c>
      <c r="I73" s="121">
        <f>(VLOOKUP($A73,Hitters!$A1:$R401,7,FALSE)-AVERAGE(Rankings!P2:P651))/STDEV(Rankings!P2:P651)</f>
        <v>0.21089856798134465</v>
      </c>
      <c r="J73" s="121">
        <f>(VLOOKUP($A73,Hitters!$A1:$R401,8,FALSE)-AVERAGE(Rankings!Q2:Q651))/STDEV(Rankings!Q2:Q651)</f>
        <v>0.80469591108926852</v>
      </c>
      <c r="K73" s="121">
        <f>(VLOOKUP($A73,Hitters!$A1:$R401,9,FALSE)-AVERAGE(Rankings!R2:R651))/STDEV(Rankings!R2:R651)</f>
        <v>-0.67570097239026949</v>
      </c>
      <c r="L73" s="121">
        <f>(VLOOKUP($A73,Hitters!$A1:$R401,10,FALSE)-AVERAGE(Rankings!S2:S651))/STDEV(Rankings!S2:S651)</f>
        <v>-0.52217846042510774</v>
      </c>
      <c r="M73" s="121">
        <f>(VLOOKUP($A73,Hitters!$A1:$R401,11,FALSE)-AVERAGE(Rankings!T2:T651))/STDEV(Rankings!T2:T651)</f>
        <v>0.17080080564610461</v>
      </c>
      <c r="N73" s="121">
        <f>(VLOOKUP($A73,Hitters!$A1:$R401,12,FALSE)-AVERAGE(Rankings!U2:U651))/STDEV(Rankings!U2:U651)</f>
        <v>0.12652412902895474</v>
      </c>
      <c r="O73" s="121">
        <f>(VLOOKUP($A73,Hitters!$A1:$R401,13,FALSE)-AVERAGE(Rankings!V2:V651))/STDEV(Rankings!V2:V651)</f>
        <v>1.8432567148642203</v>
      </c>
      <c r="P73" s="121">
        <f>(VLOOKUP($A73,Hitters!$A1:$R401,14,FALSE)-AVERAGE(Rankings!W2:W651))/STDEV(Rankings!W2:W651)</f>
        <v>0.24673935108840547</v>
      </c>
      <c r="Q73" s="121">
        <f>(VLOOKUP($A73,Hitters!$A1:$R401,15,FALSE)-AVERAGE(Rankings!X2:X651))/STDEV(Rankings!X2:X651)</f>
        <v>1.5071527707779331</v>
      </c>
      <c r="R73" s="121">
        <f>(VLOOKUP($A73,Hitters!$A1:$R401,16,FALSE)-AVERAGE(Rankings!Y2:Y651))/STDEV(Rankings!Y2:Y651)</f>
        <v>0.2552114075992053</v>
      </c>
      <c r="S73" s="121">
        <f>(VLOOKUP($A73,Hitters!$A1:$R401,17,FALSE)-AVERAGE(Rankings!Z2:Z651))/STDEV(Rankings!Z2:Z651)</f>
        <v>-1.9196843714903111E-2</v>
      </c>
      <c r="T73" s="121">
        <f>IFERROR((VLOOKUP($A73,Hitters!$A1:$R401,18,FALSE)-AVERAGE(Rankings!AA2:AA651))/STDEV(Rankings!AA2:AA651),0)</f>
        <v>0</v>
      </c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</row>
    <row r="74" spans="1:37" ht="18.600000000000001" customHeight="1">
      <c r="A74" s="25" t="s">
        <v>425</v>
      </c>
      <c r="B74" s="26" t="s">
        <v>82</v>
      </c>
      <c r="C74" s="122" t="s">
        <v>11</v>
      </c>
      <c r="D74" s="67">
        <f>(F74*Settings!$C$2)+(G74*Settings!$C$3)+(H74*Settings!$C$4)+(I74*Settings!$C$5)+(J74*Settings!$C$6)+(M74*Settings!$C$9)+(N74*Settings!$C$10)+(O74*Settings!$C$11)+(P74*Settings!$C$12)+(Q74*Settings!$C$13)+(T74*Settings!$C$16)+(K74*Settings!$C$7)+(L74*Settings!$C$8)+(R74*Settings!$C$14)+(S74*Settings!$C$15)</f>
        <v>0.74981699990732353</v>
      </c>
      <c r="E74" s="67"/>
      <c r="F74" s="121">
        <f>(VLOOKUP($A74,Hitters!$A1:$R401,4,FALSE)-AVERAGE(Rankings!M2:M651))/STDEV(Rankings!M2:M651)</f>
        <v>0.47093432748457664</v>
      </c>
      <c r="G74" s="121">
        <f>(VLOOKUP($A74,Hitters!$A1:$R401,5,FALSE)-AVERAGE(Rankings!N2:N651))/STDEV(Rankings!N2:N651)</f>
        <v>0.46572152579415882</v>
      </c>
      <c r="H74" s="121">
        <f>(VLOOKUP($A74,Hitters!$A1:$R401,6,FALSE)-AVERAGE(Rankings!O2:O651))/STDEV(Rankings!O2:O651)</f>
        <v>-0.5384483046504428</v>
      </c>
      <c r="I74" s="121">
        <f>(VLOOKUP($A74,Hitters!$A1:$R401,7,FALSE)-AVERAGE(Rankings!P2:P651))/STDEV(Rankings!P2:P651)</f>
        <v>0.11686577116759929</v>
      </c>
      <c r="J74" s="121">
        <f>(VLOOKUP($A74,Hitters!$A1:$R401,8,FALSE)-AVERAGE(Rankings!Q2:Q651))/STDEV(Rankings!Q2:Q651)</f>
        <v>7.1806073990667713E-2</v>
      </c>
      <c r="K74" s="121">
        <f>(VLOOKUP($A74,Hitters!$A1:$R401,9,FALSE)-AVERAGE(Rankings!R2:R651))/STDEV(Rankings!R2:R651)</f>
        <v>0.63387193360534055</v>
      </c>
      <c r="L74" s="121">
        <f>(VLOOKUP($A74,Hitters!$A1:$R401,10,FALSE)-AVERAGE(Rankings!S2:S651))/STDEV(Rankings!S2:S651)</f>
        <v>0.90810157348904763</v>
      </c>
      <c r="M74" s="121">
        <f>(VLOOKUP($A74,Hitters!$A1:$R401,11,FALSE)-AVERAGE(Rankings!T2:T651))/STDEV(Rankings!T2:T651)</f>
        <v>0.5302052188329982</v>
      </c>
      <c r="N74" s="121">
        <f>(VLOOKUP($A74,Hitters!$A1:$R401,12,FALSE)-AVERAGE(Rankings!U2:U651))/STDEV(Rankings!U2:U651)</f>
        <v>0.29660108715284111</v>
      </c>
      <c r="O74" s="121">
        <f>(VLOOKUP($A74,Hitters!$A1:$R401,13,FALSE)-AVERAGE(Rankings!V2:V651))/STDEV(Rankings!V2:V651)</f>
        <v>3.0047685512855469</v>
      </c>
      <c r="P74" s="121">
        <f>(VLOOKUP($A74,Hitters!$A1:$R401,14,FALSE)-AVERAGE(Rankings!W2:W651))/STDEV(Rankings!W2:W651)</f>
        <v>0.67583466917028245</v>
      </c>
      <c r="Q74" s="121">
        <f>(VLOOKUP($A74,Hitters!$A1:$R401,15,FALSE)-AVERAGE(Rankings!X2:X651))/STDEV(Rankings!X2:X651)</f>
        <v>0.20692923546035291</v>
      </c>
      <c r="R74" s="121">
        <f>(VLOOKUP($A74,Hitters!$A1:$R401,16,FALSE)-AVERAGE(Rankings!Y2:Y651))/STDEV(Rankings!Y2:Y651)</f>
        <v>-0.29453772993333216</v>
      </c>
      <c r="S74" s="121">
        <f>(VLOOKUP($A74,Hitters!$A1:$R401,17,FALSE)-AVERAGE(Rankings!Z2:Z651))/STDEV(Rankings!Z2:Z651)</f>
        <v>0.1420548356092157</v>
      </c>
      <c r="T74" s="121">
        <f>IFERROR((VLOOKUP($A74,Hitters!$A1:$R401,18,FALSE)-AVERAGE(Rankings!AA2:AA651))/STDEV(Rankings!AA2:AA651),0)</f>
        <v>0</v>
      </c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</row>
    <row r="75" spans="1:37" ht="18.600000000000001" customHeight="1">
      <c r="A75" s="25" t="s">
        <v>426</v>
      </c>
      <c r="B75" s="26" t="s">
        <v>69</v>
      </c>
      <c r="C75" s="122" t="s">
        <v>11</v>
      </c>
      <c r="D75" s="67">
        <f>(F75*Settings!$C$2)+(G75*Settings!$C$3)+(H75*Settings!$C$4)+(I75*Settings!$C$5)+(J75*Settings!$C$6)+(M75*Settings!$C$9)+(N75*Settings!$C$10)+(O75*Settings!$C$11)+(P75*Settings!$C$12)+(Q75*Settings!$C$13)+(T75*Settings!$C$16)+(K75*Settings!$C$7)+(L75*Settings!$C$8)+(R75*Settings!$C$14)+(S75*Settings!$C$15)</f>
        <v>0.74233014947442422</v>
      </c>
      <c r="E75" s="67"/>
      <c r="F75" s="121">
        <f>(VLOOKUP($A75,Hitters!$A1:$R401,4,FALSE)-AVERAGE(Rankings!M2:M651))/STDEV(Rankings!M2:M651)</f>
        <v>0.20453435635981729</v>
      </c>
      <c r="G75" s="121">
        <f>(VLOOKUP($A75,Hitters!$A1:$R401,5,FALSE)-AVERAGE(Rankings!N2:N651))/STDEV(Rankings!N2:N651)</f>
        <v>0.45965007794257806</v>
      </c>
      <c r="H75" s="121">
        <f>(VLOOKUP($A75,Hitters!$A1:$R401,6,FALSE)-AVERAGE(Rankings!O2:O651))/STDEV(Rankings!O2:O651)</f>
        <v>-0.50503223296962807</v>
      </c>
      <c r="I75" s="121">
        <f>(VLOOKUP($A75,Hitters!$A1:$R401,7,FALSE)-AVERAGE(Rankings!P2:P651))/STDEV(Rankings!P2:P651)</f>
        <v>-0.27159758616130275</v>
      </c>
      <c r="J75" s="121">
        <f>(VLOOKUP($A75,Hitters!$A1:$R401,8,FALSE)-AVERAGE(Rankings!Q2:Q651))/STDEV(Rankings!Q2:Q651)</f>
        <v>-0.34985657201126691</v>
      </c>
      <c r="K75" s="121">
        <f>(VLOOKUP($A75,Hitters!$A1:$R401,9,FALSE)-AVERAGE(Rankings!R2:R651))/STDEV(Rankings!R2:R651)</f>
        <v>1.4091664626740439</v>
      </c>
      <c r="L75" s="121">
        <f>(VLOOKUP($A75,Hitters!$A1:$R401,10,FALSE)-AVERAGE(Rankings!S2:S651))/STDEV(Rankings!S2:S651)</f>
        <v>1.7166376820577369</v>
      </c>
      <c r="M75" s="121">
        <f>(VLOOKUP($A75,Hitters!$A1:$R401,11,FALSE)-AVERAGE(Rankings!T2:T651))/STDEV(Rankings!T2:T651)</f>
        <v>0.46287375914736711</v>
      </c>
      <c r="N75" s="121">
        <f>(VLOOKUP($A75,Hitters!$A1:$R401,12,FALSE)-AVERAGE(Rankings!U2:U651))/STDEV(Rankings!U2:U651)</f>
        <v>-0.24339325489047958</v>
      </c>
      <c r="O75" s="121">
        <f>(VLOOKUP($A75,Hitters!$A1:$R401,13,FALSE)-AVERAGE(Rankings!V2:V651))/STDEV(Rankings!V2:V651)</f>
        <v>-0.5903871328757041</v>
      </c>
      <c r="P75" s="121">
        <f>(VLOOKUP($A75,Hitters!$A1:$R401,14,FALSE)-AVERAGE(Rankings!W2:W651))/STDEV(Rankings!W2:W651)</f>
        <v>0.66654689172262094</v>
      </c>
      <c r="Q75" s="121">
        <f>(VLOOKUP($A75,Hitters!$A1:$R401,15,FALSE)-AVERAGE(Rankings!X2:X651))/STDEV(Rankings!X2:X651)</f>
        <v>-0.90518099977003297</v>
      </c>
      <c r="R75" s="121">
        <f>(VLOOKUP($A75,Hitters!$A1:$R401,16,FALSE)-AVERAGE(Rankings!Y2:Y651))/STDEV(Rankings!Y2:Y651)</f>
        <v>-0.34340159525263675</v>
      </c>
      <c r="S75" s="121">
        <f>(VLOOKUP($A75,Hitters!$A1:$R401,17,FALSE)-AVERAGE(Rankings!Z2:Z651))/STDEV(Rankings!Z2:Z651)</f>
        <v>0.42385597375054135</v>
      </c>
      <c r="T75" s="121">
        <f>IFERROR((VLOOKUP($A75,Hitters!$A1:$R401,18,FALSE)-AVERAGE(Rankings!AA2:AA651))/STDEV(Rankings!AA2:AA651),0)</f>
        <v>0</v>
      </c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</row>
    <row r="76" spans="1:37" ht="18.600000000000001" customHeight="1">
      <c r="A76" s="25" t="s">
        <v>424</v>
      </c>
      <c r="B76" s="26" t="s">
        <v>82</v>
      </c>
      <c r="C76" s="122" t="s">
        <v>11</v>
      </c>
      <c r="D76" s="67">
        <f>(F76*Settings!$C$2)+(G76*Settings!$C$3)+(H76*Settings!$C$4)+(I76*Settings!$C$5)+(J76*Settings!$C$6)+(M76*Settings!$C$9)+(N76*Settings!$C$10)+(O76*Settings!$C$11)+(P76*Settings!$C$12)+(Q76*Settings!$C$13)+(T76*Settings!$C$16)+(K76*Settings!$C$7)+(L76*Settings!$C$8)+(R76*Settings!$C$14)+(S76*Settings!$C$15)</f>
        <v>0.76781171691532635</v>
      </c>
      <c r="E76" s="67"/>
      <c r="F76" s="121">
        <f>(VLOOKUP($A76,Hitters!$A1:$R401,4,FALSE)-AVERAGE(Rankings!M2:M651))/STDEV(Rankings!M2:M651)</f>
        <v>0.65114607265720792</v>
      </c>
      <c r="G76" s="121">
        <f>(VLOOKUP($A76,Hitters!$A1:$R401,5,FALSE)-AVERAGE(Rankings!N2:N651))/STDEV(Rankings!N2:N651)</f>
        <v>0.50518593682941182</v>
      </c>
      <c r="H76" s="121">
        <f>(VLOOKUP($A76,Hitters!$A1:$R401,6,FALSE)-AVERAGE(Rankings!O2:O651))/STDEV(Rankings!O2:O651)</f>
        <v>4.6332949763809604E-2</v>
      </c>
      <c r="I76" s="121">
        <f>(VLOOKUP($A76,Hitters!$A1:$R401,7,FALSE)-AVERAGE(Rankings!P2:P651))/STDEV(Rankings!P2:P651)</f>
        <v>0.37429982146096047</v>
      </c>
      <c r="J76" s="121">
        <f>(VLOOKUP($A76,Hitters!$A1:$R401,8,FALSE)-AVERAGE(Rankings!Q2:Q651))/STDEV(Rankings!Q2:Q651)</f>
        <v>0.5135478936117428</v>
      </c>
      <c r="K76" s="121">
        <f>(VLOOKUP($A76,Hitters!$A1:$R401,9,FALSE)-AVERAGE(Rankings!R2:R651))/STDEV(Rankings!R2:R651)</f>
        <v>-0.67155488475059844</v>
      </c>
      <c r="L76" s="121">
        <f>(VLOOKUP($A76,Hitters!$A1:$R401,10,FALSE)-AVERAGE(Rankings!S2:S651))/STDEV(Rankings!S2:S651)</f>
        <v>-6.9276726820859974E-2</v>
      </c>
      <c r="M76" s="121">
        <f>(VLOOKUP($A76,Hitters!$A1:$R401,11,FALSE)-AVERAGE(Rankings!T2:T651))/STDEV(Rankings!T2:T651)</f>
        <v>0.35641726207681335</v>
      </c>
      <c r="N76" s="121">
        <f>(VLOOKUP($A76,Hitters!$A1:$R401,12,FALSE)-AVERAGE(Rankings!U2:U651))/STDEV(Rankings!U2:U651)</f>
        <v>0.86635889686782386</v>
      </c>
      <c r="O76" s="121">
        <f>(VLOOKUP($A76,Hitters!$A1:$R401,13,FALSE)-AVERAGE(Rankings!V2:V651))/STDEV(Rankings!V2:V651)</f>
        <v>1.2901558403778721</v>
      </c>
      <c r="P76" s="121">
        <f>(VLOOKUP($A76,Hitters!$A1:$R401,14,FALSE)-AVERAGE(Rankings!W2:W651))/STDEV(Rankings!W2:W651)</f>
        <v>0.84115710773862695</v>
      </c>
      <c r="Q76" s="121">
        <f>(VLOOKUP($A76,Hitters!$A1:$R401,15,FALSE)-AVERAGE(Rankings!X2:X651))/STDEV(Rankings!X2:X651)</f>
        <v>1.9847461233308541</v>
      </c>
      <c r="R76" s="121">
        <f>(VLOOKUP($A76,Hitters!$A1:$R401,16,FALSE)-AVERAGE(Rankings!Y2:Y651))/STDEV(Rankings!Y2:Y651)</f>
        <v>-0.35753811896288501</v>
      </c>
      <c r="S76" s="121">
        <f>(VLOOKUP($A76,Hitters!$A1:$R401,17,FALSE)-AVERAGE(Rankings!Z2:Z651))/STDEV(Rankings!Z2:Z651)</f>
        <v>-0.28744780604375691</v>
      </c>
      <c r="T76" s="121">
        <f>IFERROR((VLOOKUP($A76,Hitters!$A1:$R401,18,FALSE)-AVERAGE(Rankings!AA2:AA651))/STDEV(Rankings!AA2:AA651),0)</f>
        <v>0</v>
      </c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</row>
    <row r="77" spans="1:37" ht="18.600000000000001" customHeight="1">
      <c r="A77" s="25" t="s">
        <v>481</v>
      </c>
      <c r="B77" s="26" t="s">
        <v>260</v>
      </c>
      <c r="C77" s="122" t="s">
        <v>11</v>
      </c>
      <c r="D77" s="67">
        <f>(F77*Settings!$C$2)+(G77*Settings!$C$3)+(H77*Settings!$C$4)+(I77*Settings!$C$5)+(J77*Settings!$C$6)+(M77*Settings!$C$9)+(N77*Settings!$C$10)+(O77*Settings!$C$11)+(P77*Settings!$C$12)+(Q77*Settings!$C$13)+(T77*Settings!$C$16)+(K77*Settings!$C$7)+(L77*Settings!$C$8)+(R77*Settings!$C$14)+(S77*Settings!$C$15)</f>
        <v>8.2608503859927074E-2</v>
      </c>
      <c r="E77" s="67"/>
      <c r="F77" s="121">
        <f>(VLOOKUP($A77,Hitters!$A1:$R401,4,FALSE)-AVERAGE(Rankings!M2:M651))/STDEV(Rankings!M2:M651)</f>
        <v>0.97239309666059426</v>
      </c>
      <c r="G77" s="121">
        <f>(VLOOKUP($A77,Hitters!$A1:$R401,5,FALSE)-AVERAGE(Rankings!N2:N651))/STDEV(Rankings!N2:N651)</f>
        <v>0.27902450435814041</v>
      </c>
      <c r="H77" s="121">
        <f>(VLOOKUP($A77,Hitters!$A1:$R401,6,FALSE)-AVERAGE(Rankings!O2:O651))/STDEV(Rankings!O2:O651)</f>
        <v>0.16328920064665581</v>
      </c>
      <c r="I77" s="121">
        <f>(VLOOKUP($A77,Hitters!$A1:$R401,7,FALSE)-AVERAGE(Rankings!P2:P651))/STDEV(Rankings!P2:P651)</f>
        <v>0.38971503405337571</v>
      </c>
      <c r="J77" s="121">
        <f>(VLOOKUP($A77,Hitters!$A1:$R401,8,FALSE)-AVERAGE(Rankings!Q2:Q651))/STDEV(Rankings!Q2:Q651)</f>
        <v>-0.51550975436916968</v>
      </c>
      <c r="K77" s="121">
        <f>(VLOOKUP($A77,Hitters!$A1:$R401,9,FALSE)-AVERAGE(Rankings!R2:R651))/STDEV(Rankings!R2:R651)</f>
        <v>-0.23391048082907523</v>
      </c>
      <c r="L77" s="121">
        <f>(VLOOKUP($A77,Hitters!$A1:$R401,10,FALSE)-AVERAGE(Rankings!S2:S651))/STDEV(Rankings!S2:S651)</f>
        <v>-1.3591755373888332</v>
      </c>
      <c r="M77" s="121">
        <f>(VLOOKUP($A77,Hitters!$A1:$R401,11,FALSE)-AVERAGE(Rankings!T2:T651))/STDEV(Rankings!T2:T651)</f>
        <v>0.74402809756447008</v>
      </c>
      <c r="N77" s="121">
        <f>(VLOOKUP($A77,Hitters!$A1:$R401,12,FALSE)-AVERAGE(Rankings!U2:U651))/STDEV(Rankings!U2:U651)</f>
        <v>0.4411665015581332</v>
      </c>
      <c r="O77" s="121">
        <f>(VLOOKUP($A77,Hitters!$A1:$R401,13,FALSE)-AVERAGE(Rankings!V2:V651))/STDEV(Rankings!V2:V651)</f>
        <v>0.12864400395654579</v>
      </c>
      <c r="P77" s="121">
        <f>(VLOOKUP($A77,Hitters!$A1:$R401,14,FALSE)-AVERAGE(Rankings!W2:W651))/STDEV(Rankings!W2:W651)</f>
        <v>-0.60030595213815752</v>
      </c>
      <c r="Q77" s="121">
        <f>(VLOOKUP($A77,Hitters!$A1:$R401,15,FALSE)-AVERAGE(Rankings!X2:X651))/STDEV(Rankings!X2:X651)</f>
        <v>0.50225736979410374</v>
      </c>
      <c r="R77" s="121">
        <f>(VLOOKUP($A77,Hitters!$A1:$R401,16,FALSE)-AVERAGE(Rankings!Y2:Y651))/STDEV(Rankings!Y2:Y651)</f>
        <v>-0.60496775572495265</v>
      </c>
      <c r="S77" s="121">
        <f>(VLOOKUP($A77,Hitters!$A1:$R401,17,FALSE)-AVERAGE(Rankings!Z2:Z651))/STDEV(Rankings!Z2:Z651)</f>
        <v>-0.97386977103581451</v>
      </c>
      <c r="T77" s="121">
        <f>IFERROR((VLOOKUP($A77,Hitters!$A1:$R401,18,FALSE)-AVERAGE(Rankings!AA2:AA651))/STDEV(Rankings!AA2:AA651),0)</f>
        <v>0</v>
      </c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</row>
    <row r="78" spans="1:37" ht="18.600000000000001" customHeight="1">
      <c r="A78" s="25" t="s">
        <v>470</v>
      </c>
      <c r="B78" s="26" t="s">
        <v>119</v>
      </c>
      <c r="C78" s="122" t="s">
        <v>11</v>
      </c>
      <c r="D78" s="67">
        <f>(F78*Settings!$C$2)+(G78*Settings!$C$3)+(H78*Settings!$C$4)+(I78*Settings!$C$5)+(J78*Settings!$C$6)+(M78*Settings!$C$9)+(N78*Settings!$C$10)+(O78*Settings!$C$11)+(P78*Settings!$C$12)+(Q78*Settings!$C$13)+(T78*Settings!$C$16)+(K78*Settings!$C$7)+(L78*Settings!$C$8)+(R78*Settings!$C$14)+(S78*Settings!$C$15)</f>
        <v>0.21913658788613899</v>
      </c>
      <c r="E78" s="67"/>
      <c r="F78" s="121">
        <f>(VLOOKUP($A78,Hitters!$A1:$R401,4,FALSE)-AVERAGE(Rankings!M2:M651))/STDEV(Rankings!M2:M651)</f>
        <v>0.62764019285208217</v>
      </c>
      <c r="G78" s="121">
        <f>(VLOOKUP($A78,Hitters!$A1:$R401,5,FALSE)-AVERAGE(Rankings!N2:N651))/STDEV(Rankings!N2:N651)</f>
        <v>-1.6958578406278881E-2</v>
      </c>
      <c r="H78" s="121">
        <f>(VLOOKUP($A78,Hitters!$A1:$R401,6,FALSE)-AVERAGE(Rankings!O2:O651))/STDEV(Rankings!O2:O651)</f>
        <v>-0.14163245344077138</v>
      </c>
      <c r="I78" s="121">
        <f>(VLOOKUP($A78,Hitters!$A1:$R401,7,FALSE)-AVERAGE(Rankings!P2:P651))/STDEV(Rankings!P2:P651)</f>
        <v>6.291252709414373E-2</v>
      </c>
      <c r="J78" s="121">
        <f>(VLOOKUP($A78,Hitters!$A1:$R401,8,FALSE)-AVERAGE(Rankings!Q2:Q651))/STDEV(Rankings!Q2:Q651)</f>
        <v>0.17722173549115122</v>
      </c>
      <c r="K78" s="121">
        <f>(VLOOKUP($A78,Hitters!$A1:$R401,9,FALSE)-AVERAGE(Rankings!R2:R651))/STDEV(Rankings!R2:R651)</f>
        <v>0.13759335714789431</v>
      </c>
      <c r="L78" s="121">
        <f>(VLOOKUP($A78,Hitters!$A1:$R401,10,FALSE)-AVERAGE(Rankings!S2:S651))/STDEV(Rankings!S2:S651)</f>
        <v>-0.82226746121628347</v>
      </c>
      <c r="M78" s="121">
        <f>(VLOOKUP($A78,Hitters!$A1:$R401,11,FALSE)-AVERAGE(Rankings!T2:T651))/STDEV(Rankings!T2:T651)</f>
        <v>0.54567325686889978</v>
      </c>
      <c r="N78" s="121">
        <f>(VLOOKUP($A78,Hitters!$A1:$R401,12,FALSE)-AVERAGE(Rankings!U2:U651))/STDEV(Rankings!U2:U651)</f>
        <v>0.77281656989969494</v>
      </c>
      <c r="O78" s="121">
        <f>(VLOOKUP($A78,Hitters!$A1:$R401,13,FALSE)-AVERAGE(Rankings!V2:V651))/STDEV(Rankings!V2:V651)</f>
        <v>1.8023829059279399E-2</v>
      </c>
      <c r="P78" s="121">
        <f>(VLOOKUP($A78,Hitters!$A1:$R401,14,FALSE)-AVERAGE(Rankings!W2:W651))/STDEV(Rankings!W2:W651)</f>
        <v>-0.50928573315109449</v>
      </c>
      <c r="Q78" s="121">
        <f>(VLOOKUP($A78,Hitters!$A1:$R401,15,FALSE)-AVERAGE(Rankings!X2:X651))/STDEV(Rankings!X2:X651)</f>
        <v>0.57438371283271961</v>
      </c>
      <c r="R78" s="121">
        <f>(VLOOKUP($A78,Hitters!$A1:$R401,16,FALSE)-AVERAGE(Rankings!Y2:Y651))/STDEV(Rankings!Y2:Y651)</f>
        <v>-0.36574691890513955</v>
      </c>
      <c r="S78" s="121">
        <f>(VLOOKUP($A78,Hitters!$A1:$R401,17,FALSE)-AVERAGE(Rankings!Z2:Z651))/STDEV(Rankings!Z2:Z651)</f>
        <v>-0.58898975043827873</v>
      </c>
      <c r="T78" s="121">
        <f>IFERROR((VLOOKUP($A78,Hitters!$A1:$R401,18,FALSE)-AVERAGE(Rankings!AA2:AA651))/STDEV(Rankings!AA2:AA651),0)</f>
        <v>0</v>
      </c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</row>
    <row r="79" spans="1:37" ht="18.600000000000001" customHeight="1">
      <c r="A79" s="25" t="s">
        <v>351</v>
      </c>
      <c r="B79" s="26" t="s">
        <v>309</v>
      </c>
      <c r="C79" s="122" t="s">
        <v>11</v>
      </c>
      <c r="D79" s="67">
        <f>(F79*Settings!$C$2)+(G79*Settings!$C$3)+(H79*Settings!$C$4)+(I79*Settings!$C$5)+(J79*Settings!$C$6)+(M79*Settings!$C$9)+(N79*Settings!$C$10)+(O79*Settings!$C$11)+(P79*Settings!$C$12)+(Q79*Settings!$C$13)+(T79*Settings!$C$16)+(K79*Settings!$C$7)+(L79*Settings!$C$8)+(R79*Settings!$C$14)+(S79*Settings!$C$15)</f>
        <v>-3.9699202977914405E-2</v>
      </c>
      <c r="E79" s="67"/>
      <c r="F79" s="121">
        <f>(VLOOKUP($A79,Hitters!$A1:$R401,4,FALSE)-AVERAGE(Rankings!M2:M651))/STDEV(Rankings!M2:M651)</f>
        <v>0.23065200058773203</v>
      </c>
      <c r="G79" s="121">
        <f>(VLOOKUP($A79,Hitters!$A1:$R401,5,FALSE)-AVERAGE(Rankings!N2:N651))/STDEV(Rankings!N2:N651)</f>
        <v>-0.22642352928571413</v>
      </c>
      <c r="H79" s="121">
        <f>(VLOOKUP($A79,Hitters!$A1:$R401,6,FALSE)-AVERAGE(Rankings!O2:O651))/STDEV(Rankings!O2:O651)</f>
        <v>-0.37972196416657406</v>
      </c>
      <c r="I79" s="121">
        <f>(VLOOKUP($A79,Hitters!$A1:$R401,7,FALSE)-AVERAGE(Rankings!P2:P651))/STDEV(Rankings!P2:P651)</f>
        <v>-1.5705057127181826E-2</v>
      </c>
      <c r="J79" s="121">
        <f>(VLOOKUP($A79,Hitters!$A1:$R401,8,FALSE)-AVERAGE(Rankings!Q2:Q651))/STDEV(Rankings!Q2:Q651)</f>
        <v>-0.33981698520169656</v>
      </c>
      <c r="K79" s="121">
        <f>(VLOOKUP($A79,Hitters!$A1:$R401,9,FALSE)-AVERAGE(Rankings!R2:R651))/STDEV(Rankings!R2:R651)</f>
        <v>0.92196833280325219</v>
      </c>
      <c r="L79" s="121">
        <f>(VLOOKUP($A79,Hitters!$A1:$R401,10,FALSE)-AVERAGE(Rankings!S2:S651))/STDEV(Rankings!S2:S651)</f>
        <v>-0.52095148314471629</v>
      </c>
      <c r="M79" s="121">
        <f>(VLOOKUP($A79,Hitters!$A1:$R401,11,FALSE)-AVERAGE(Rankings!T2:T651))/STDEV(Rankings!T2:T651)</f>
        <v>0.37643472306442993</v>
      </c>
      <c r="N79" s="121">
        <f>(VLOOKUP($A79,Hitters!$A1:$R401,12,FALSE)-AVERAGE(Rankings!U2:U651))/STDEV(Rankings!U2:U651)</f>
        <v>0.60273961177582125</v>
      </c>
      <c r="O79" s="121">
        <f>(VLOOKUP($A79,Hitters!$A1:$R401,13,FALSE)-AVERAGE(Rankings!V2:V651))/STDEV(Rankings!V2:V651)</f>
        <v>0.87533018451311273</v>
      </c>
      <c r="P79" s="121">
        <f>(VLOOKUP($A79,Hitters!$A1:$R401,14,FALSE)-AVERAGE(Rankings!W2:W651))/STDEV(Rankings!W2:W651)</f>
        <v>-0.95138393965969337</v>
      </c>
      <c r="Q79" s="121">
        <f>(VLOOKUP($A79,Hitters!$A1:$R401,15,FALSE)-AVERAGE(Rankings!X2:X651))/STDEV(Rankings!X2:X651)</f>
        <v>-0.1897656512519684</v>
      </c>
      <c r="R79" s="121">
        <f>(VLOOKUP($A79,Hitters!$A1:$R401,16,FALSE)-AVERAGE(Rankings!Y2:Y651))/STDEV(Rankings!Y2:Y651)</f>
        <v>0.13423460186039443</v>
      </c>
      <c r="S79" s="121">
        <f>(VLOOKUP($A79,Hitters!$A1:$R401,17,FALSE)-AVERAGE(Rankings!Z2:Z651))/STDEV(Rankings!Z2:Z651)</f>
        <v>-0.10677527633173062</v>
      </c>
      <c r="T79" s="121">
        <f>IFERROR((VLOOKUP($A79,Hitters!$A1:$R401,18,FALSE)-AVERAGE(Rankings!AA2:AA651))/STDEV(Rankings!AA2:AA651),0)</f>
        <v>0</v>
      </c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</row>
    <row r="80" spans="1:37" ht="18.600000000000001" customHeight="1">
      <c r="A80" s="25" t="s">
        <v>520</v>
      </c>
      <c r="B80" s="26" t="s">
        <v>101</v>
      </c>
      <c r="C80" s="122" t="s">
        <v>11</v>
      </c>
      <c r="D80" s="67">
        <f>(F80*Settings!$C$2)+(G80*Settings!$C$3)+(H80*Settings!$C$4)+(I80*Settings!$C$5)+(J80*Settings!$C$6)+(M80*Settings!$C$9)+(N80*Settings!$C$10)+(O80*Settings!$C$11)+(P80*Settings!$C$12)+(Q80*Settings!$C$13)+(T80*Settings!$C$16)+(K80*Settings!$C$7)+(L80*Settings!$C$8)+(R80*Settings!$C$14)+(S80*Settings!$C$15)</f>
        <v>-0.43335475134122559</v>
      </c>
      <c r="E80" s="67"/>
      <c r="F80" s="121">
        <f>(VLOOKUP($A80,Hitters!$A1:$R401,4,FALSE)-AVERAGE(Rankings!M2:M651))/STDEV(Rankings!M2:M651)</f>
        <v>0.58846372651020573</v>
      </c>
      <c r="G80" s="121">
        <f>(VLOOKUP($A80,Hitters!$A1:$R401,5,FALSE)-AVERAGE(Rankings!N2:N651))/STDEV(Rankings!N2:N651)</f>
        <v>9.0809620959224749E-2</v>
      </c>
      <c r="H80" s="121">
        <f>(VLOOKUP($A80,Hitters!$A1:$R401,6,FALSE)-AVERAGE(Rankings!O2:O651))/STDEV(Rankings!O2:O651)</f>
        <v>-1.139937594905102</v>
      </c>
      <c r="I80" s="121">
        <f>(VLOOKUP($A80,Hitters!$A1:$R401,7,FALSE)-AVERAGE(Rankings!P2:P651))/STDEV(Rankings!P2:P651)</f>
        <v>-0.43654036090015885</v>
      </c>
      <c r="J80" s="121">
        <f>(VLOOKUP($A80,Hitters!$A1:$R401,8,FALSE)-AVERAGE(Rankings!Q2:Q651))/STDEV(Rankings!Q2:Q651)</f>
        <v>0.32279574422991492</v>
      </c>
      <c r="K80" s="121">
        <f>(VLOOKUP($A80,Hitters!$A1:$R401,9,FALSE)-AVERAGE(Rankings!R2:R651))/STDEV(Rankings!R2:R651)</f>
        <v>0.72951783927489544</v>
      </c>
      <c r="L80" s="121">
        <f>(VLOOKUP($A80,Hitters!$A1:$R401,10,FALSE)-AVERAGE(Rankings!S2:S651))/STDEV(Rankings!S2:S651)</f>
        <v>0.21907389873149799</v>
      </c>
      <c r="M80" s="121">
        <f>(VLOOKUP($A80,Hitters!$A1:$R401,11,FALSE)-AVERAGE(Rankings!T2:T651))/STDEV(Rankings!T2:T651)</f>
        <v>0.66213848443327505</v>
      </c>
      <c r="N80" s="121">
        <f>(VLOOKUP($A80,Hitters!$A1:$R401,12,FALSE)-AVERAGE(Rankings!U2:U651))/STDEV(Rankings!U2:U651)</f>
        <v>0.48368574108909845</v>
      </c>
      <c r="O80" s="121">
        <f>(VLOOKUP($A80,Hitters!$A1:$R401,13,FALSE)-AVERAGE(Rankings!V2:V651))/STDEV(Rankings!V2:V651)</f>
        <v>1.3178108841021865</v>
      </c>
      <c r="P80" s="121">
        <f>(VLOOKUP($A80,Hitters!$A1:$R401,14,FALSE)-AVERAGE(Rankings!W2:W651))/STDEV(Rankings!W2:W651)</f>
        <v>1.0829803917851513E-2</v>
      </c>
      <c r="Q80" s="121">
        <f>(VLOOKUP($A80,Hitters!$A1:$R401,15,FALSE)-AVERAGE(Rankings!X2:X651))/STDEV(Rankings!X2:X651)</f>
        <v>-0.92954800755334488</v>
      </c>
      <c r="R80" s="121">
        <f>(VLOOKUP($A80,Hitters!$A1:$R401,16,FALSE)-AVERAGE(Rankings!Y2:Y651))/STDEV(Rankings!Y2:Y651)</f>
        <v>-1.1975243666644251</v>
      </c>
      <c r="S80" s="121">
        <f>(VLOOKUP($A80,Hitters!$A1:$R401,17,FALSE)-AVERAGE(Rankings!Z2:Z651))/STDEV(Rankings!Z2:Z651)</f>
        <v>-0.78569652400795675</v>
      </c>
      <c r="T80" s="121">
        <f>IFERROR((VLOOKUP($A80,Hitters!$A1:$R401,18,FALSE)-AVERAGE(Rankings!AA2:AA651))/STDEV(Rankings!AA2:AA651),0)</f>
        <v>0</v>
      </c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</row>
    <row r="81" spans="1:37" ht="18.600000000000001" customHeight="1">
      <c r="A81" s="25" t="s">
        <v>548</v>
      </c>
      <c r="B81" s="26" t="s">
        <v>101</v>
      </c>
      <c r="C81" s="122" t="s">
        <v>11</v>
      </c>
      <c r="D81" s="67">
        <f>(F81*Settings!$C$2)+(G81*Settings!$C$3)+(H81*Settings!$C$4)+(I81*Settings!$C$5)+(J81*Settings!$C$6)+(M81*Settings!$C$9)+(N81*Settings!$C$10)+(O81*Settings!$C$11)+(P81*Settings!$C$12)+(Q81*Settings!$C$13)+(T81*Settings!$C$16)+(K81*Settings!$C$7)+(L81*Settings!$C$8)+(R81*Settings!$C$14)+(S81*Settings!$C$15)</f>
        <v>-0.68954390149029798</v>
      </c>
      <c r="E81" s="67"/>
      <c r="F81" s="121">
        <f>(VLOOKUP($A81,Hitters!$A1:$R401,4,FALSE)-AVERAGE(Rankings!M2:M651))/STDEV(Rankings!M2:M651)</f>
        <v>0.14968730348119036</v>
      </c>
      <c r="G81" s="121">
        <f>(VLOOKUP($A81,Hitters!$A1:$R401,5,FALSE)-AVERAGE(Rankings!N2:N651))/STDEV(Rankings!N2:N651)</f>
        <v>-0.13383394954915359</v>
      </c>
      <c r="H81" s="121">
        <f>(VLOOKUP($A81,Hitters!$A1:$R401,6,FALSE)-AVERAGE(Rankings!O2:O651))/STDEV(Rankings!O2:O651)</f>
        <v>-5.3915265278633683E-2</v>
      </c>
      <c r="I81" s="121">
        <f>(VLOOKUP($A81,Hitters!$A1:$R401,7,FALSE)-AVERAGE(Rankings!P2:P651))/STDEV(Rankings!P2:P651)</f>
        <v>-7.9974508309765182E-3</v>
      </c>
      <c r="J81" s="121">
        <f>(VLOOKUP($A81,Hitters!$A1:$R401,8,FALSE)-AVERAGE(Rankings!Q2:Q651))/STDEV(Rankings!Q2:Q651)</f>
        <v>-0.6560639697031474</v>
      </c>
      <c r="K81" s="121">
        <f>(VLOOKUP($A81,Hitters!$A1:$R401,9,FALSE)-AVERAGE(Rankings!R2:R651))/STDEV(Rankings!R2:R651)</f>
        <v>0.16226673387161325</v>
      </c>
      <c r="L81" s="121">
        <f>(VLOOKUP($A81,Hitters!$A1:$R401,10,FALSE)-AVERAGE(Rankings!S2:S651))/STDEV(Rankings!S2:S651)</f>
        <v>-0.10410960538387569</v>
      </c>
      <c r="M81" s="121">
        <f>(VLOOKUP($A81,Hitters!$A1:$R401,11,FALSE)-AVERAGE(Rankings!T2:T651))/STDEV(Rankings!T2:T651)</f>
        <v>0.13076588367084471</v>
      </c>
      <c r="N81" s="121">
        <f>(VLOOKUP($A81,Hitters!$A1:$R401,12,FALSE)-AVERAGE(Rankings!U2:U651))/STDEV(Rankings!U2:U651)</f>
        <v>-9.5374374701389739E-3</v>
      </c>
      <c r="O81" s="121">
        <f>(VLOOKUP($A81,Hitters!$A1:$R401,13,FALSE)-AVERAGE(Rankings!V2:V651))/STDEV(Rankings!V2:V651)</f>
        <v>-0.47976695797843194</v>
      </c>
      <c r="P81" s="121">
        <f>(VLOOKUP($A81,Hitters!$A1:$R401,14,FALSE)-AVERAGE(Rankings!W2:W651))/STDEV(Rankings!W2:W651)</f>
        <v>-0.13777463524470523</v>
      </c>
      <c r="Q81" s="121">
        <f>(VLOOKUP($A81,Hitters!$A1:$R401,15,FALSE)-AVERAGE(Rankings!X2:X651))/STDEV(Rankings!X2:X651)</f>
        <v>0.28880238161228383</v>
      </c>
      <c r="R81" s="121">
        <f>(VLOOKUP($A81,Hitters!$A1:$R401,16,FALSE)-AVERAGE(Rankings!Y2:Y651))/STDEV(Rankings!Y2:Y651)</f>
        <v>-0.1434489508820653</v>
      </c>
      <c r="S81" s="121">
        <f>(VLOOKUP($A81,Hitters!$A1:$R401,17,FALSE)-AVERAGE(Rankings!Z2:Z651))/STDEV(Rankings!Z2:Z651)</f>
        <v>-0.14528320134564701</v>
      </c>
      <c r="T81" s="121">
        <f>IFERROR((VLOOKUP($A81,Hitters!$A1:$R401,18,FALSE)-AVERAGE(Rankings!AA2:AA651))/STDEV(Rankings!AA2:AA651),0)</f>
        <v>0</v>
      </c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</row>
    <row r="82" spans="1:37" ht="18.600000000000001" customHeight="1">
      <c r="A82" s="25" t="s">
        <v>550</v>
      </c>
      <c r="B82" s="26" t="s">
        <v>142</v>
      </c>
      <c r="C82" s="122" t="s">
        <v>11</v>
      </c>
      <c r="D82" s="67">
        <f>(F82*Settings!$C$2)+(G82*Settings!$C$3)+(H82*Settings!$C$4)+(I82*Settings!$C$5)+(J82*Settings!$C$6)+(M82*Settings!$C$9)+(N82*Settings!$C$10)+(O82*Settings!$C$11)+(P82*Settings!$C$12)+(Q82*Settings!$C$13)+(T82*Settings!$C$16)+(K82*Settings!$C$7)+(L82*Settings!$C$8)+(R82*Settings!$C$14)+(S82*Settings!$C$15)</f>
        <v>-0.69632177971039999</v>
      </c>
      <c r="E82" s="67"/>
      <c r="F82" s="121">
        <f>(VLOOKUP($A82,Hitters!$A1:$R401,4,FALSE)-AVERAGE(Rankings!M2:M651))/STDEV(Rankings!M2:M651)</f>
        <v>0.42914609671991133</v>
      </c>
      <c r="G82" s="121">
        <f>(VLOOKUP($A82,Hitters!$A1:$R401,5,FALSE)-AVERAGE(Rankings!N2:N651))/STDEV(Rankings!N2:N651)</f>
        <v>0.247149403137357</v>
      </c>
      <c r="H82" s="121">
        <f>(VLOOKUP($A82,Hitters!$A1:$R401,6,FALSE)-AVERAGE(Rankings!O2:O651))/STDEV(Rankings!O2:O651)</f>
        <v>-0.91855612001970621</v>
      </c>
      <c r="I82" s="121">
        <f>(VLOOKUP($A82,Hitters!$A1:$R401,7,FALSE)-AVERAGE(Rankings!P2:P651))/STDEV(Rankings!P2:P651)</f>
        <v>-0.49357664749210411</v>
      </c>
      <c r="J82" s="121">
        <f>(VLOOKUP($A82,Hitters!$A1:$R401,8,FALSE)-AVERAGE(Rankings!Q2:Q651))/STDEV(Rankings!Q2:Q651)</f>
        <v>0.47338954637346292</v>
      </c>
      <c r="K82" s="121">
        <f>(VLOOKUP($A82,Hitters!$A1:$R401,9,FALSE)-AVERAGE(Rankings!R2:R651))/STDEV(Rankings!R2:R651)</f>
        <v>-4.7279617094096215E-3</v>
      </c>
      <c r="L82" s="121">
        <f>(VLOOKUP($A82,Hitters!$A1:$R401,10,FALSE)-AVERAGE(Rankings!S2:S651))/STDEV(Rankings!S2:S651)</f>
        <v>0.37121360250921259</v>
      </c>
      <c r="M82" s="121">
        <f>(VLOOKUP($A82,Hitters!$A1:$R401,11,FALSE)-AVERAGE(Rankings!T2:T651))/STDEV(Rankings!T2:T651)</f>
        <v>0.33639980108916961</v>
      </c>
      <c r="N82" s="121">
        <f>(VLOOKUP($A82,Hitters!$A1:$R401,12,FALSE)-AVERAGE(Rankings!U2:U651))/STDEV(Rankings!U2:U651)</f>
        <v>0.44541842551122585</v>
      </c>
      <c r="O82" s="121">
        <f>(VLOOKUP($A82,Hitters!$A1:$R401,13,FALSE)-AVERAGE(Rankings!V2:V651))/STDEV(Rankings!V2:V651)</f>
        <v>0.29457426630244948</v>
      </c>
      <c r="P82" s="121">
        <f>(VLOOKUP($A82,Hitters!$A1:$R401,14,FALSE)-AVERAGE(Rankings!W2:W651))/STDEV(Rankings!W2:W651)</f>
        <v>0.59781733860994124</v>
      </c>
      <c r="Q82" s="121">
        <f>(VLOOKUP($A82,Hitters!$A1:$R401,15,FALSE)-AVERAGE(Rankings!X2:X651))/STDEV(Rankings!X2:X651)</f>
        <v>-0.83792805828808958</v>
      </c>
      <c r="R82" s="121">
        <f>(VLOOKUP($A82,Hitters!$A1:$R401,16,FALSE)-AVERAGE(Rankings!Y2:Y651))/STDEV(Rankings!Y2:Y651)</f>
        <v>-1.3027149895050834</v>
      </c>
      <c r="S82" s="121">
        <f>(VLOOKUP($A82,Hitters!$A1:$R401,17,FALSE)-AVERAGE(Rankings!Z2:Z651))/STDEV(Rankings!Z2:Z651)</f>
        <v>-0.80254724154521828</v>
      </c>
      <c r="T82" s="121">
        <f>IFERROR((VLOOKUP($A82,Hitters!$A1:$R401,18,FALSE)-AVERAGE(Rankings!AA2:AA651))/STDEV(Rankings!AA2:AA651),0)</f>
        <v>0</v>
      </c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</row>
    <row r="83" spans="1:37" ht="18.600000000000001" customHeight="1">
      <c r="A83" s="25" t="s">
        <v>553</v>
      </c>
      <c r="B83" s="26" t="s">
        <v>95</v>
      </c>
      <c r="C83" s="122" t="s">
        <v>11</v>
      </c>
      <c r="D83" s="67">
        <f>(F83*Settings!$C$2)+(G83*Settings!$C$3)+(H83*Settings!$C$4)+(I83*Settings!$C$5)+(J83*Settings!$C$6)+(M83*Settings!$C$9)+(N83*Settings!$C$10)+(O83*Settings!$C$11)+(P83*Settings!$C$12)+(Q83*Settings!$C$13)+(T83*Settings!$C$16)+(K83*Settings!$C$7)+(L83*Settings!$C$8)+(R83*Settings!$C$14)+(S83*Settings!$C$15)</f>
        <v>-0.72502880495413513</v>
      </c>
      <c r="E83" s="67"/>
      <c r="F83" s="121">
        <f>(VLOOKUP($A83,Hitters!$A1:$R401,4,FALSE)-AVERAGE(Rankings!M2:M651))/STDEV(Rankings!M2:M651)</f>
        <v>-0.14805384071707009</v>
      </c>
      <c r="G83" s="121">
        <f>(VLOOKUP($A83,Hitters!$A1:$R401,5,FALSE)-AVERAGE(Rankings!N2:N651))/STDEV(Rankings!N2:N651)</f>
        <v>-0.31749524705938159</v>
      </c>
      <c r="H83" s="121">
        <f>(VLOOKUP($A83,Hitters!$A1:$R401,6,FALSE)-AVERAGE(Rankings!O2:O651))/STDEV(Rankings!O2:O651)</f>
        <v>-0.99791929026164006</v>
      </c>
      <c r="I83" s="121">
        <f>(VLOOKUP($A83,Hitters!$A1:$R401,7,FALSE)-AVERAGE(Rankings!P2:P651))/STDEV(Rankings!P2:P651)</f>
        <v>-0.47507839238120375</v>
      </c>
      <c r="J83" s="121">
        <f>(VLOOKUP($A83,Hitters!$A1:$R401,8,FALSE)-AVERAGE(Rankings!Q2:Q651))/STDEV(Rankings!Q2:Q651)</f>
        <v>5.1726900371528439E-2</v>
      </c>
      <c r="K83" s="121">
        <f>(VLOOKUP($A83,Hitters!$A1:$R401,9,FALSE)-AVERAGE(Rankings!R2:R651))/STDEV(Rankings!R2:R651)</f>
        <v>1.0137372243765619</v>
      </c>
      <c r="L83" s="121">
        <f>(VLOOKUP($A83,Hitters!$A1:$R401,10,FALSE)-AVERAGE(Rankings!S2:S651))/STDEV(Rankings!S2:S651)</f>
        <v>0.51474202403473468</v>
      </c>
      <c r="M83" s="121">
        <f>(VLOOKUP($A83,Hitters!$A1:$R401,11,FALSE)-AVERAGE(Rankings!T2:T651))/STDEV(Rankings!T2:T651)</f>
        <v>4.0687309226530209E-2</v>
      </c>
      <c r="N83" s="121">
        <f>(VLOOKUP($A83,Hitters!$A1:$R401,12,FALSE)-AVERAGE(Rankings!U2:U651))/STDEV(Rankings!U2:U651)</f>
        <v>0.18605106437231633</v>
      </c>
      <c r="O83" s="121">
        <f>(VLOOKUP($A83,Hitters!$A1:$R401,13,FALSE)-AVERAGE(Rankings!V2:V651))/STDEV(Rankings!V2:V651)</f>
        <v>-0.9222476575675117</v>
      </c>
      <c r="P83" s="121">
        <f>(VLOOKUP($A83,Hitters!$A1:$R401,14,FALSE)-AVERAGE(Rankings!W2:W651))/STDEV(Rankings!W2:W651)</f>
        <v>-0.35696618300947192</v>
      </c>
      <c r="Q83" s="121">
        <f>(VLOOKUP($A83,Hitters!$A1:$R401,15,FALSE)-AVERAGE(Rankings!X2:X651))/STDEV(Rankings!X2:X651)</f>
        <v>-1.0367628417999222</v>
      </c>
      <c r="R83" s="121">
        <f>(VLOOKUP($A83,Hitters!$A1:$R401,16,FALSE)-AVERAGE(Rankings!Y2:Y651))/STDEV(Rankings!Y2:Y651)</f>
        <v>-0.76086696702346601</v>
      </c>
      <c r="S83" s="121">
        <f>(VLOOKUP($A83,Hitters!$A1:$R401,17,FALSE)-AVERAGE(Rankings!Z2:Z651))/STDEV(Rankings!Z2:Z651)</f>
        <v>-0.35179313447722776</v>
      </c>
      <c r="T83" s="121">
        <f>IFERROR((VLOOKUP($A83,Hitters!$A1:$R401,18,FALSE)-AVERAGE(Rankings!AA2:AA651))/STDEV(Rankings!AA2:AA651),0)</f>
        <v>0</v>
      </c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</row>
    <row r="84" spans="1:37" ht="18.600000000000001" customHeight="1">
      <c r="A84" s="25" t="s">
        <v>563</v>
      </c>
      <c r="B84" s="26" t="s">
        <v>105</v>
      </c>
      <c r="C84" s="122" t="s">
        <v>11</v>
      </c>
      <c r="D84" s="67">
        <f>(F84*Settings!$C$2)+(G84*Settings!$C$3)+(H84*Settings!$C$4)+(I84*Settings!$C$5)+(J84*Settings!$C$6)+(M84*Settings!$C$9)+(N84*Settings!$C$10)+(O84*Settings!$C$11)+(P84*Settings!$C$12)+(Q84*Settings!$C$13)+(T84*Settings!$C$16)+(K84*Settings!$C$7)+(L84*Settings!$C$8)+(R84*Settings!$C$14)+(S84*Settings!$C$15)</f>
        <v>-0.8506203141672557</v>
      </c>
      <c r="E84" s="67"/>
      <c r="F84" s="121">
        <f>(VLOOKUP($A84,Hitters!$A1:$R401,4,FALSE)-AVERAGE(Rankings!M2:M651))/STDEV(Rankings!M2:M651)</f>
        <v>-0.84539494160246953</v>
      </c>
      <c r="G84" s="121">
        <f>(VLOOKUP($A84,Hitters!$A1:$R401,5,FALSE)-AVERAGE(Rankings!N2:N651))/STDEV(Rankings!N2:N651)</f>
        <v>-0.56035316112249789</v>
      </c>
      <c r="H84" s="121">
        <f>(VLOOKUP($A84,Hitters!$A1:$R401,6,FALSE)-AVERAGE(Rankings!O2:O651))/STDEV(Rankings!O2:O651)</f>
        <v>-0.27947374912413075</v>
      </c>
      <c r="I84" s="121">
        <f>(VLOOKUP($A84,Hitters!$A1:$R401,7,FALSE)-AVERAGE(Rankings!P2:P651))/STDEV(Rankings!P2:P651)</f>
        <v>-0.49357664749210411</v>
      </c>
      <c r="J84" s="121">
        <f>(VLOOKUP($A84,Hitters!$A1:$R401,8,FALSE)-AVERAGE(Rankings!Q2:Q651))/STDEV(Rankings!Q2:Q651)</f>
        <v>0.61896355511223111</v>
      </c>
      <c r="K84" s="121">
        <f>(VLOOKUP($A84,Hitters!$A1:$R401,9,FALSE)-AVERAGE(Rankings!R2:R651))/STDEV(Rankings!R2:R651)</f>
        <v>-0.13618031154075388</v>
      </c>
      <c r="L84" s="121">
        <f>(VLOOKUP($A84,Hitters!$A1:$R401,10,FALSE)-AVERAGE(Rankings!S2:S651))/STDEV(Rankings!S2:S651)</f>
        <v>-0.10636666268723538</v>
      </c>
      <c r="M84" s="121">
        <f>(VLOOKUP($A84,Hitters!$A1:$R401,11,FALSE)-AVERAGE(Rankings!T2:T651))/STDEV(Rankings!T2:T651)</f>
        <v>-0.79185709094061973</v>
      </c>
      <c r="N84" s="121">
        <f>(VLOOKUP($A84,Hitters!$A1:$R401,12,FALSE)-AVERAGE(Rankings!U2:U651))/STDEV(Rankings!U2:U651)</f>
        <v>-0.46449330045151693</v>
      </c>
      <c r="O84" s="121">
        <f>(VLOOKUP($A84,Hitters!$A1:$R401,13,FALSE)-AVERAGE(Rankings!V2:V651))/STDEV(Rankings!V2:V651)</f>
        <v>-0.2861816519082136</v>
      </c>
      <c r="P84" s="121">
        <f>(VLOOKUP($A84,Hitters!$A1:$R401,14,FALSE)-AVERAGE(Rankings!W2:W651))/STDEV(Rankings!W2:W651)</f>
        <v>-0.60959372958581914</v>
      </c>
      <c r="Q84" s="121">
        <f>(VLOOKUP($A84,Hitters!$A1:$R401,15,FALSE)-AVERAGE(Rankings!X2:X651))/STDEV(Rankings!X2:X651)</f>
        <v>-0.33401833732918229</v>
      </c>
      <c r="R84" s="121">
        <f>(VLOOKUP($A84,Hitters!$A1:$R401,16,FALSE)-AVERAGE(Rankings!Y2:Y651))/STDEV(Rankings!Y2:Y651)</f>
        <v>0.65809519782400494</v>
      </c>
      <c r="S84" s="121">
        <f>(VLOOKUP($A84,Hitters!$A1:$R401,17,FALSE)-AVERAGE(Rankings!Z2:Z651))/STDEV(Rankings!Z2:Z651)</f>
        <v>0.43728168262925105</v>
      </c>
      <c r="T84" s="121">
        <f>IFERROR((VLOOKUP($A84,Hitters!$A1:$R401,18,FALSE)-AVERAGE(Rankings!AA2:AA651))/STDEV(Rankings!AA2:AA651),0)</f>
        <v>0</v>
      </c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</row>
    <row r="85" spans="1:37" ht="18.600000000000001" customHeight="1">
      <c r="A85" s="25" t="s">
        <v>594</v>
      </c>
      <c r="B85" s="26" t="s">
        <v>105</v>
      </c>
      <c r="C85" s="122" t="s">
        <v>11</v>
      </c>
      <c r="D85" s="67">
        <f>(F85*Settings!$C$2)+(G85*Settings!$C$3)+(H85*Settings!$C$4)+(I85*Settings!$C$5)+(J85*Settings!$C$6)+(M85*Settings!$C$9)+(N85*Settings!$C$10)+(O85*Settings!$C$11)+(P85*Settings!$C$12)+(Q85*Settings!$C$13)+(T85*Settings!$C$16)+(K85*Settings!$C$7)+(L85*Settings!$C$8)+(R85*Settings!$C$14)+(S85*Settings!$C$15)</f>
        <v>-1.2293139231722658</v>
      </c>
      <c r="E85" s="67"/>
      <c r="F85" s="121">
        <f>(VLOOKUP($A85,Hitters!$A1:$R401,4,FALSE)-AVERAGE(Rankings!M2:M651))/STDEV(Rankings!M2:M651)</f>
        <v>-0.61294790797400023</v>
      </c>
      <c r="G85" s="121">
        <f>(VLOOKUP($A85,Hitters!$A1:$R401,5,FALSE)-AVERAGE(Rankings!N2:N651))/STDEV(Rankings!N2:N651)</f>
        <v>-0.68633570404273458</v>
      </c>
      <c r="H85" s="121">
        <f>(VLOOKUP($A85,Hitters!$A1:$R401,6,FALSE)-AVERAGE(Rankings!O2:O651))/STDEV(Rankings!O2:O651)</f>
        <v>-0.64705053761308873</v>
      </c>
      <c r="I85" s="121">
        <f>(VLOOKUP($A85,Hitters!$A1:$R401,7,FALSE)-AVERAGE(Rankings!P2:P651))/STDEV(Rankings!P2:P651)</f>
        <v>-0.52749011519541944</v>
      </c>
      <c r="J85" s="121">
        <f>(VLOOKUP($A85,Hitters!$A1:$R401,8,FALSE)-AVERAGE(Rankings!Q2:Q651))/STDEV(Rankings!Q2:Q651)</f>
        <v>-0.31973781158255726</v>
      </c>
      <c r="K85" s="121">
        <f>(VLOOKUP($A85,Hitters!$A1:$R401,9,FALSE)-AVERAGE(Rankings!R2:R651))/STDEV(Rankings!R2:R651)</f>
        <v>0.95130024526153423</v>
      </c>
      <c r="L85" s="121">
        <f>(VLOOKUP($A85,Hitters!$A1:$R401,10,FALSE)-AVERAGE(Rankings!S2:S651))/STDEV(Rankings!S2:S651)</f>
        <v>-0.27166592134190026</v>
      </c>
      <c r="M85" s="121">
        <f>(VLOOKUP($A85,Hitters!$A1:$R401,11,FALSE)-AVERAGE(Rankings!T2:T651))/STDEV(Rankings!T2:T651)</f>
        <v>-0.40788579381434881</v>
      </c>
      <c r="N85" s="121">
        <f>(VLOOKUP($A85,Hitters!$A1:$R401,12,FALSE)-AVERAGE(Rankings!U2:U651))/STDEV(Rankings!U2:U651)</f>
        <v>-0.28591249442144484</v>
      </c>
      <c r="O85" s="121">
        <f>(VLOOKUP($A85,Hitters!$A1:$R401,13,FALSE)-AVERAGE(Rankings!V2:V651))/STDEV(Rankings!V2:V651)</f>
        <v>-0.23087156445957627</v>
      </c>
      <c r="P85" s="121">
        <f>(VLOOKUP($A85,Hitters!$A1:$R401,14,FALSE)-AVERAGE(Rankings!W2:W651))/STDEV(Rankings!W2:W651)</f>
        <v>-1.09998837882225</v>
      </c>
      <c r="Q85" s="121">
        <f>(VLOOKUP($A85,Hitters!$A1:$R401,15,FALSE)-AVERAGE(Rankings!X2:X651))/STDEV(Rankings!X2:X651)</f>
        <v>-0.89738355727937191</v>
      </c>
      <c r="R85" s="121">
        <f>(VLOOKUP($A85,Hitters!$A1:$R401,16,FALSE)-AVERAGE(Rankings!Y2:Y651))/STDEV(Rankings!Y2:Y651)</f>
        <v>0.18039907457208881</v>
      </c>
      <c r="S85" s="121">
        <f>(VLOOKUP($A85,Hitters!$A1:$R401,17,FALSE)-AVERAGE(Rankings!Z2:Z651))/STDEV(Rankings!Z2:Z651)</f>
        <v>2.4678722023031743E-2</v>
      </c>
      <c r="T85" s="121">
        <f>IFERROR((VLOOKUP($A85,Hitters!$A1:$R401,18,FALSE)-AVERAGE(Rankings!AA2:AA651))/STDEV(Rankings!AA2:AA651),0)</f>
        <v>0</v>
      </c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</row>
    <row r="86" spans="1:37" ht="18.600000000000001" customHeight="1">
      <c r="A86" s="25" t="s">
        <v>549</v>
      </c>
      <c r="B86" s="26" t="s">
        <v>136</v>
      </c>
      <c r="C86" s="122" t="s">
        <v>11</v>
      </c>
      <c r="D86" s="67">
        <f>(F86*Settings!$C$2)+(G86*Settings!$C$3)+(H86*Settings!$C$4)+(I86*Settings!$C$5)+(J86*Settings!$C$6)+(M86*Settings!$C$9)+(N86*Settings!$C$10)+(O86*Settings!$C$11)+(P86*Settings!$C$12)+(Q86*Settings!$C$13)+(T86*Settings!$C$16)+(K86*Settings!$C$7)+(L86*Settings!$C$8)+(R86*Settings!$C$14)+(S86*Settings!$C$15)</f>
        <v>-0.68961409165823773</v>
      </c>
      <c r="E86" s="67"/>
      <c r="F86" s="121">
        <f>(VLOOKUP($A86,Hitters!$A1:$R401,4,FALSE)-AVERAGE(Rankings!M2:M651))/STDEV(Rankings!M2:M651)</f>
        <v>-0.7513714223819663</v>
      </c>
      <c r="G86" s="121">
        <f>(VLOOKUP($A86,Hitters!$A1:$R401,5,FALSE)-AVERAGE(Rankings!N2:N651))/STDEV(Rankings!N2:N651)</f>
        <v>-0.62865694945274853</v>
      </c>
      <c r="H86" s="121">
        <f>(VLOOKUP($A86,Hitters!$A1:$R401,6,FALSE)-AVERAGE(Rankings!O2:O651))/STDEV(Rankings!O2:O651)</f>
        <v>-1.2193007651470358</v>
      </c>
      <c r="I86" s="121">
        <f>(VLOOKUP($A86,Hitters!$A1:$R401,7,FALSE)-AVERAGE(Rankings!P2:P651))/STDEV(Rankings!P2:P651)</f>
        <v>-1.1564307889660226</v>
      </c>
      <c r="J86" s="121">
        <f>(VLOOKUP($A86,Hitters!$A1:$R401,8,FALSE)-AVERAGE(Rankings!Q2:Q651))/STDEV(Rankings!Q2:Q651)</f>
        <v>2.7071976115027541</v>
      </c>
      <c r="K86" s="121">
        <f>(VLOOKUP($A86,Hitters!$A1:$R401,9,FALSE)-AVERAGE(Rankings!R2:R651))/STDEV(Rankings!R2:R651)</f>
        <v>-0.3924231995951849</v>
      </c>
      <c r="L86" s="121">
        <f>(VLOOKUP($A86,Hitters!$A1:$R401,10,FALSE)-AVERAGE(Rankings!S2:S651))/STDEV(Rankings!S2:S651)</f>
        <v>0.39734164058847621</v>
      </c>
      <c r="M86" s="121">
        <f>(VLOOKUP($A86,Hitters!$A1:$R401,11,FALSE)-AVERAGE(Rankings!T2:T651))/STDEV(Rankings!T2:T651)</f>
        <v>-0.75182216896536791</v>
      </c>
      <c r="N86" s="121">
        <f>(VLOOKUP($A86,Hitters!$A1:$R401,12,FALSE)-AVERAGE(Rankings!U2:U651))/STDEV(Rankings!U2:U651)</f>
        <v>-0.7961433687930789</v>
      </c>
      <c r="O86" s="121">
        <f>(VLOOKUP($A86,Hitters!$A1:$R401,13,FALSE)-AVERAGE(Rankings!V2:V651))/STDEV(Rankings!V2:V651)</f>
        <v>7.333391650790845E-2</v>
      </c>
      <c r="P86" s="121">
        <f>(VLOOKUP($A86,Hitters!$A1:$R401,14,FALSE)-AVERAGE(Rankings!W2:W651))/STDEV(Rankings!W2:W651)</f>
        <v>-0.11362641388079223</v>
      </c>
      <c r="Q86" s="121">
        <f>(VLOOKUP($A86,Hitters!$A1:$R401,15,FALSE)-AVERAGE(Rankings!X2:X651))/STDEV(Rankings!X2:X651)</f>
        <v>-0.58938457889829909</v>
      </c>
      <c r="R86" s="121">
        <f>(VLOOKUP($A86,Hitters!$A1:$R401,16,FALSE)-AVERAGE(Rankings!Y2:Y651))/STDEV(Rankings!Y2:Y651)</f>
        <v>-1.572172999246348</v>
      </c>
      <c r="S86" s="121">
        <f>(VLOOKUP($A86,Hitters!$A1:$R401,17,FALSE)-AVERAGE(Rankings!Z2:Z651))/STDEV(Rankings!Z2:Z651)</f>
        <v>-0.98843215499190018</v>
      </c>
      <c r="T86" s="121">
        <f>IFERROR((VLOOKUP($A86,Hitters!$A1:$R401,18,FALSE)-AVERAGE(Rankings!AA2:AA651))/STDEV(Rankings!AA2:AA651),0)</f>
        <v>0</v>
      </c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</row>
    <row r="87" spans="1:37" ht="18.600000000000001" customHeight="1">
      <c r="A87" s="25" t="s">
        <v>624</v>
      </c>
      <c r="B87" s="26" t="s">
        <v>125</v>
      </c>
      <c r="C87" s="122" t="s">
        <v>11</v>
      </c>
      <c r="D87" s="67">
        <f>(F87*Settings!$C$2)+(G87*Settings!$C$3)+(H87*Settings!$C$4)+(I87*Settings!$C$5)+(J87*Settings!$C$6)+(M87*Settings!$C$9)+(N87*Settings!$C$10)+(O87*Settings!$C$11)+(P87*Settings!$C$12)+(Q87*Settings!$C$13)+(T87*Settings!$C$16)+(K87*Settings!$C$7)+(L87*Settings!$C$8)+(R87*Settings!$C$14)+(S87*Settings!$C$15)</f>
        <v>-1.5715192801047912</v>
      </c>
      <c r="E87" s="67"/>
      <c r="F87" s="121">
        <f>(VLOOKUP($A87,Hitters!$A1:$R401,4,FALSE)-AVERAGE(Rankings!M2:M651))/STDEV(Rankings!M2:M651)</f>
        <v>-0.35699499454041361</v>
      </c>
      <c r="G87" s="121">
        <f>(VLOOKUP($A87,Hitters!$A1:$R401,5,FALSE)-AVERAGE(Rankings!N2:N651))/STDEV(Rankings!N2:N651)</f>
        <v>-0.20517346180519455</v>
      </c>
      <c r="H87" s="121">
        <f>(VLOOKUP($A87,Hitters!$A1:$R401,6,FALSE)-AVERAGE(Rankings!O2:O651))/STDEV(Rankings!O2:O651)</f>
        <v>0.27606844256940444</v>
      </c>
      <c r="I87" s="121">
        <f>(VLOOKUP($A87,Hitters!$A1:$R401,7,FALSE)-AVERAGE(Rankings!P2:P651))/STDEV(Rankings!P2:P651)</f>
        <v>-0.2207273846063274</v>
      </c>
      <c r="J87" s="121">
        <f>(VLOOKUP($A87,Hitters!$A1:$R401,8,FALSE)-AVERAGE(Rankings!Q2:Q651))/STDEV(Rankings!Q2:Q651)</f>
        <v>-0.66108376310793193</v>
      </c>
      <c r="K87" s="121">
        <f>(VLOOKUP($A87,Hitters!$A1:$R401,9,FALSE)-AVERAGE(Rankings!R2:R651))/STDEV(Rankings!R2:R651)</f>
        <v>-0.76060311315474194</v>
      </c>
      <c r="L87" s="121">
        <f>(VLOOKUP($A87,Hitters!$A1:$R401,10,FALSE)-AVERAGE(Rankings!S2:S651))/STDEV(Rankings!S2:S651)</f>
        <v>-0.7610176439275913</v>
      </c>
      <c r="M87" s="121">
        <f>(VLOOKUP($A87,Hitters!$A1:$R401,11,FALSE)-AVERAGE(Rankings!T2:T651))/STDEV(Rankings!T2:T651)</f>
        <v>-0.48886552235519809</v>
      </c>
      <c r="N87" s="121">
        <f>(VLOOKUP($A87,Hitters!$A1:$R401,12,FALSE)-AVERAGE(Rankings!U2:U651))/STDEV(Rankings!U2:U651)</f>
        <v>-0.46874522440460958</v>
      </c>
      <c r="O87" s="121">
        <f>(VLOOKUP($A87,Hitters!$A1:$R401,13,FALSE)-AVERAGE(Rankings!V2:V651))/STDEV(Rankings!V2:V651)</f>
        <v>-0.94990270129182863</v>
      </c>
      <c r="P87" s="121">
        <f>(VLOOKUP($A87,Hitters!$A1:$R401,14,FALSE)-AVERAGE(Rankings!W2:W651))/STDEV(Rankings!W2:W651)</f>
        <v>-0.39968995926870837</v>
      </c>
      <c r="Q87" s="121">
        <f>(VLOOKUP($A87,Hitters!$A1:$R401,15,FALSE)-AVERAGE(Rankings!X2:X651))/STDEV(Rankings!X2:X651)</f>
        <v>0.55099138536073944</v>
      </c>
      <c r="R87" s="121">
        <f>(VLOOKUP($A87,Hitters!$A1:$R401,16,FALSE)-AVERAGE(Rankings!Y2:Y651))/STDEV(Rankings!Y2:Y651)</f>
        <v>0.32407174991876236</v>
      </c>
      <c r="S87" s="121">
        <f>(VLOOKUP($A87,Hitters!$A1:$R401,17,FALSE)-AVERAGE(Rankings!Z2:Z651))/STDEV(Rankings!Z2:Z651)</f>
        <v>-6.2822845920253709E-2</v>
      </c>
      <c r="T87" s="121">
        <f>IFERROR((VLOOKUP($A87,Hitters!$A1:$R401,18,FALSE)-AVERAGE(Rankings!AA2:AA651))/STDEV(Rankings!AA2:AA651),0)</f>
        <v>0</v>
      </c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spans="1:37" ht="18.600000000000001" customHeight="1">
      <c r="A88" s="25" t="s">
        <v>643</v>
      </c>
      <c r="B88" s="26" t="s">
        <v>103</v>
      </c>
      <c r="C88" s="122" t="s">
        <v>11</v>
      </c>
      <c r="D88" s="67">
        <f>(F88*Settings!$C$2)+(G88*Settings!$C$3)+(H88*Settings!$C$4)+(I88*Settings!$C$5)+(J88*Settings!$C$6)+(M88*Settings!$C$9)+(N88*Settings!$C$10)+(O88*Settings!$C$11)+(P88*Settings!$C$12)+(Q88*Settings!$C$13)+(T88*Settings!$C$16)+(K88*Settings!$C$7)+(L88*Settings!$C$8)+(R88*Settings!$C$14)+(S88*Settings!$C$15)</f>
        <v>-1.915339344946251</v>
      </c>
      <c r="E88" s="67"/>
      <c r="F88" s="121">
        <f>(VLOOKUP($A88,Hitters!$A1:$R401,4,FALSE)-AVERAGE(Rankings!M2:M651))/STDEV(Rankings!M2:M651)</f>
        <v>-0.52023027096489571</v>
      </c>
      <c r="G88" s="121">
        <f>(VLOOKUP($A88,Hitters!$A1:$R401,5,FALSE)-AVERAGE(Rankings!N2:N651))/STDEV(Rankings!N2:N651)</f>
        <v>-0.54137988658631564</v>
      </c>
      <c r="H88" s="121">
        <f>(VLOOKUP($A88,Hitters!$A1:$R401,6,FALSE)-AVERAGE(Rankings!O2:O651))/STDEV(Rankings!O2:O651)</f>
        <v>-0.53009428673023873</v>
      </c>
      <c r="I88" s="121">
        <f>(VLOOKUP($A88,Hitters!$A1:$R401,7,FALSE)-AVERAGE(Rankings!P2:P651))/STDEV(Rankings!P2:P651)</f>
        <v>-0.49280588686248172</v>
      </c>
      <c r="J88" s="121">
        <f>(VLOOKUP($A88,Hitters!$A1:$R401,8,FALSE)-AVERAGE(Rankings!Q2:Q651))/STDEV(Rankings!Q2:Q651)</f>
        <v>-0.59582644884572822</v>
      </c>
      <c r="K88" s="121">
        <f>(VLOOKUP($A88,Hitters!$A1:$R401,9,FALSE)-AVERAGE(Rankings!R2:R651))/STDEV(Rankings!R2:R651)</f>
        <v>0.24476716407851329</v>
      </c>
      <c r="L88" s="121">
        <f>(VLOOKUP($A88,Hitters!$A1:$R401,10,FALSE)-AVERAGE(Rankings!S2:S651))/STDEV(Rankings!S2:S651)</f>
        <v>0.10343459233375267</v>
      </c>
      <c r="M88" s="121">
        <f>(VLOOKUP($A88,Hitters!$A1:$R401,11,FALSE)-AVERAGE(Rankings!T2:T651))/STDEV(Rankings!T2:T651)</f>
        <v>-0.44519106201856085</v>
      </c>
      <c r="N88" s="121">
        <f>(VLOOKUP($A88,Hitters!$A1:$R401,12,FALSE)-AVERAGE(Rankings!U2:U651))/STDEV(Rankings!U2:U651)</f>
        <v>-0.40071444115506272</v>
      </c>
      <c r="O88" s="121">
        <f>(VLOOKUP($A88,Hitters!$A1:$R401,13,FALSE)-AVERAGE(Rankings!V2:V651))/STDEV(Rankings!V2:V651)</f>
        <v>-0.49359447984059329</v>
      </c>
      <c r="P88" s="121">
        <f>(VLOOKUP($A88,Hitters!$A1:$R401,14,FALSE)-AVERAGE(Rankings!W2:W651))/STDEV(Rankings!W2:W651)</f>
        <v>-0.44984395748607059</v>
      </c>
      <c r="Q88" s="121">
        <f>(VLOOKUP($A88,Hitters!$A1:$R401,15,FALSE)-AVERAGE(Rankings!X2:X651))/STDEV(Rankings!X2:X651)</f>
        <v>-0.39054979538646684</v>
      </c>
      <c r="R88" s="121">
        <f>(VLOOKUP($A88,Hitters!$A1:$R401,16,FALSE)-AVERAGE(Rankings!Y2:Y651))/STDEV(Rankings!Y2:Y651)</f>
        <v>-0.18725520501325499</v>
      </c>
      <c r="S88" s="121">
        <f>(VLOOKUP($A88,Hitters!$A1:$R401,17,FALSE)-AVERAGE(Rankings!Z2:Z651))/STDEV(Rankings!Z2:Z651)</f>
        <v>-9.5704137110057194E-2</v>
      </c>
      <c r="T88" s="121">
        <f>IFERROR((VLOOKUP($A88,Hitters!$A1:$R401,18,FALSE)-AVERAGE(Rankings!AA2:AA651))/STDEV(Rankings!AA2:AA651),0)</f>
        <v>0</v>
      </c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</row>
    <row r="89" spans="1:37" ht="18.600000000000001" customHeight="1">
      <c r="A89" s="25" t="s">
        <v>647</v>
      </c>
      <c r="B89" s="26" t="s">
        <v>142</v>
      </c>
      <c r="C89" s="122" t="s">
        <v>11</v>
      </c>
      <c r="D89" s="67">
        <f>(F89*Settings!$C$2)+(G89*Settings!$C$3)+(H89*Settings!$C$4)+(I89*Settings!$C$5)+(J89*Settings!$C$6)+(M89*Settings!$C$9)+(N89*Settings!$C$10)+(O89*Settings!$C$11)+(P89*Settings!$C$12)+(Q89*Settings!$C$13)+(T89*Settings!$C$16)+(K89*Settings!$C$7)+(L89*Settings!$C$8)+(R89*Settings!$C$14)+(S89*Settings!$C$15)</f>
        <v>-1.9876812461590556</v>
      </c>
      <c r="E89" s="67"/>
      <c r="F89" s="121">
        <f>(VLOOKUP($A89,Hitters!$A1:$R401,4,FALSE)-AVERAGE(Rankings!M2:M651))/STDEV(Rankings!M2:M651)</f>
        <v>-0.21595971570965863</v>
      </c>
      <c r="G89" s="121">
        <f>(VLOOKUP($A89,Hitters!$A1:$R401,5,FALSE)-AVERAGE(Rankings!N2:N651))/STDEV(Rankings!N2:N651)</f>
        <v>-0.58312109056591477</v>
      </c>
      <c r="H89" s="121">
        <f>(VLOOKUP($A89,Hitters!$A1:$R401,6,FALSE)-AVERAGE(Rankings!O2:O651))/STDEV(Rankings!O2:O651)</f>
        <v>-0.31288982080494926</v>
      </c>
      <c r="I89" s="121">
        <f>(VLOOKUP($A89,Hitters!$A1:$R401,7,FALSE)-AVERAGE(Rankings!P2:P651))/STDEV(Rankings!P2:P651)</f>
        <v>-0.26388997986509283</v>
      </c>
      <c r="J89" s="121">
        <f>(VLOOKUP($A89,Hitters!$A1:$R401,8,FALSE)-AVERAGE(Rankings!Q2:Q651))/STDEV(Rankings!Q2:Q651)</f>
        <v>-0.69622231694142744</v>
      </c>
      <c r="K89" s="121">
        <f>(VLOOKUP($A89,Hitters!$A1:$R401,9,FALSE)-AVERAGE(Rankings!R2:R651))/STDEV(Rankings!R2:R651)</f>
        <v>-0.13155803798167129</v>
      </c>
      <c r="L89" s="121">
        <f>(VLOOKUP($A89,Hitters!$A1:$R401,10,FALSE)-AVERAGE(Rankings!S2:S651))/STDEV(Rankings!S2:S651)</f>
        <v>-0.96235603261341573</v>
      </c>
      <c r="M89" s="121">
        <f>(VLOOKUP($A89,Hitters!$A1:$R401,11,FALSE)-AVERAGE(Rankings!T2:T651))/STDEV(Rankings!T2:T651)</f>
        <v>-0.24956587509403841</v>
      </c>
      <c r="N89" s="121">
        <f>(VLOOKUP($A89,Hitters!$A1:$R401,12,FALSE)-AVERAGE(Rankings!U2:U651))/STDEV(Rankings!U2:U651)</f>
        <v>-4.78047530480116E-2</v>
      </c>
      <c r="O89" s="121">
        <f>(VLOOKUP($A89,Hitters!$A1:$R401,13,FALSE)-AVERAGE(Rankings!V2:V651))/STDEV(Rankings!V2:V651)</f>
        <v>-0.89459261384319366</v>
      </c>
      <c r="P89" s="121">
        <f>(VLOOKUP($A89,Hitters!$A1:$R401,14,FALSE)-AVERAGE(Rankings!W2:W651))/STDEV(Rankings!W2:W651)</f>
        <v>-0.81392483343432842</v>
      </c>
      <c r="Q89" s="121">
        <f>(VLOOKUP($A89,Hitters!$A1:$R401,15,FALSE)-AVERAGE(Rankings!X2:X651))/STDEV(Rankings!X2:X651)</f>
        <v>-0.74923214995683229</v>
      </c>
      <c r="R89" s="121">
        <f>(VLOOKUP($A89,Hitters!$A1:$R401,16,FALSE)-AVERAGE(Rankings!Y2:Y651))/STDEV(Rankings!Y2:Y651)</f>
        <v>-0.29291846337401073</v>
      </c>
      <c r="S89" s="121">
        <f>(VLOOKUP($A89,Hitters!$A1:$R401,17,FALSE)-AVERAGE(Rankings!Z2:Z651))/STDEV(Rankings!Z2:Z651)</f>
        <v>-0.590965376167923</v>
      </c>
      <c r="T89" s="121">
        <f>IFERROR((VLOOKUP($A89,Hitters!$A1:$R401,18,FALSE)-AVERAGE(Rankings!AA2:AA651))/STDEV(Rankings!AA2:AA651),0)</f>
        <v>0</v>
      </c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</row>
    <row r="90" spans="1:37" ht="18.600000000000001" customHeight="1">
      <c r="A90" s="25" t="s">
        <v>629</v>
      </c>
      <c r="B90" s="26" t="s">
        <v>72</v>
      </c>
      <c r="C90" s="122" t="s">
        <v>11</v>
      </c>
      <c r="D90" s="67">
        <f>(F90*Settings!$C$2)+(G90*Settings!$C$3)+(H90*Settings!$C$4)+(I90*Settings!$C$5)+(J90*Settings!$C$6)+(M90*Settings!$C$9)+(N90*Settings!$C$10)+(O90*Settings!$C$11)+(P90*Settings!$C$12)+(Q90*Settings!$C$13)+(T90*Settings!$C$16)+(K90*Settings!$C$7)+(L90*Settings!$C$8)+(R90*Settings!$C$14)+(S90*Settings!$C$15)</f>
        <v>-1.6700254989051868</v>
      </c>
      <c r="E90" s="67"/>
      <c r="F90" s="121">
        <f>(VLOOKUP($A90,Hitters!$A1:$R401,4,FALSE)-AVERAGE(Rankings!M2:M651))/STDEV(Rankings!M2:M651)</f>
        <v>-0.79577141756942904</v>
      </c>
      <c r="G90" s="121">
        <f>(VLOOKUP($A90,Hitters!$A1:$R401,5,FALSE)-AVERAGE(Rankings!N2:N651))/STDEV(Rankings!N2:N651)</f>
        <v>-0.52696019793881654</v>
      </c>
      <c r="H90" s="121">
        <f>(VLOOKUP($A90,Hitters!$A1:$R401,6,FALSE)-AVERAGE(Rankings!O2:O651))/STDEV(Rankings!O2:O651)</f>
        <v>-0.57604138529135906</v>
      </c>
      <c r="I90" s="121">
        <f>(VLOOKUP($A90,Hitters!$A1:$R401,7,FALSE)-AVERAGE(Rankings!P2:P651))/STDEV(Rankings!P2:P651)</f>
        <v>-0.81267154815513076</v>
      </c>
      <c r="J90" s="121">
        <f>(VLOOKUP($A90,Hitters!$A1:$R401,8,FALSE)-AVERAGE(Rankings!Q2:Q651))/STDEV(Rankings!Q2:Q651)</f>
        <v>2.0998026095237821</v>
      </c>
      <c r="K90" s="121">
        <f>(VLOOKUP($A90,Hitters!$A1:$R401,9,FALSE)-AVERAGE(Rankings!R2:R651))/STDEV(Rankings!R2:R651)</f>
        <v>-1.8541549770436625</v>
      </c>
      <c r="L90" s="121">
        <f>(VLOOKUP($A90,Hitters!$A1:$R401,10,FALSE)-AVERAGE(Rankings!S2:S651))/STDEV(Rankings!S2:S651)</f>
        <v>-0.68247049390982284</v>
      </c>
      <c r="M90" s="121">
        <f>(VLOOKUP($A90,Hitters!$A1:$R401,11,FALSE)-AVERAGE(Rankings!T2:T651))/STDEV(Rankings!T2:T651)</f>
        <v>-1.0175084693465806</v>
      </c>
      <c r="N90" s="121">
        <f>(VLOOKUP($A90,Hitters!$A1:$R401,12,FALSE)-AVERAGE(Rankings!U2:U651))/STDEV(Rankings!U2:U651)</f>
        <v>-0.75787605321520624</v>
      </c>
      <c r="O90" s="121">
        <f>(VLOOKUP($A90,Hitters!$A1:$R401,13,FALSE)-AVERAGE(Rankings!V2:V651))/STDEV(Rankings!V2:V651)</f>
        <v>-0.12025138956230989</v>
      </c>
      <c r="P90" s="121">
        <f>(VLOOKUP($A90,Hitters!$A1:$R401,14,FALSE)-AVERAGE(Rankings!W2:W651))/STDEV(Rankings!W2:W651)</f>
        <v>-0.13405952426563958</v>
      </c>
      <c r="Q90" s="121">
        <f>(VLOOKUP($A90,Hitters!$A1:$R401,15,FALSE)-AVERAGE(Rankings!X2:X651))/STDEV(Rankings!X2:X651)</f>
        <v>-2.5044678636774981E-2</v>
      </c>
      <c r="R90" s="121">
        <f>(VLOOKUP($A90,Hitters!$A1:$R401,16,FALSE)-AVERAGE(Rankings!Y2:Y651))/STDEV(Rankings!Y2:Y651)</f>
        <v>-0.9680404682863375</v>
      </c>
      <c r="S90" s="121">
        <f>(VLOOKUP($A90,Hitters!$A1:$R401,17,FALSE)-AVERAGE(Rankings!Z2:Z651))/STDEV(Rankings!Z2:Z651)</f>
        <v>-0.97253075056608207</v>
      </c>
      <c r="T90" s="121">
        <f>IFERROR((VLOOKUP($A90,Hitters!$A1:$R401,18,FALSE)-AVERAGE(Rankings!AA2:AA651))/STDEV(Rankings!AA2:AA651),0)</f>
        <v>0</v>
      </c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</row>
    <row r="91" spans="1:37" ht="18.600000000000001" customHeight="1">
      <c r="A91" s="25" t="s">
        <v>674</v>
      </c>
      <c r="B91" s="26" t="s">
        <v>85</v>
      </c>
      <c r="C91" s="122" t="s">
        <v>11</v>
      </c>
      <c r="D91" s="67">
        <f>(F91*Settings!$C$2)+(G91*Settings!$C$3)+(H91*Settings!$C$4)+(I91*Settings!$C$5)+(J91*Settings!$C$6)+(M91*Settings!$C$9)+(N91*Settings!$C$10)+(O91*Settings!$C$11)+(P91*Settings!$C$12)+(Q91*Settings!$C$13)+(T91*Settings!$C$16)+(K91*Settings!$C$7)+(L91*Settings!$C$8)+(R91*Settings!$C$14)+(S91*Settings!$C$15)</f>
        <v>-2.5290537046449195</v>
      </c>
      <c r="E91" s="67"/>
      <c r="F91" s="121">
        <f>(VLOOKUP($A91,Hitters!$A1:$R401,4,FALSE)-AVERAGE(Rankings!M2:M651))/STDEV(Rankings!M2:M651)</f>
        <v>-0.54243026855862275</v>
      </c>
      <c r="G91" s="121">
        <f>(VLOOKUP($A91,Hitters!$A1:$R401,5,FALSE)-AVERAGE(Rankings!N2:N651))/STDEV(Rankings!N2:N651)</f>
        <v>-0.69999646170878493</v>
      </c>
      <c r="H91" s="121">
        <f>(VLOOKUP($A91,Hitters!$A1:$R401,6,FALSE)-AVERAGE(Rankings!O2:O651))/STDEV(Rankings!O2:O651)</f>
        <v>-1.4949833565137547</v>
      </c>
      <c r="I91" s="121">
        <f>(VLOOKUP($A91,Hitters!$A1:$R401,7,FALSE)-AVERAGE(Rankings!P2:P651))/STDEV(Rankings!P2:P651)</f>
        <v>-1.0978529811148376</v>
      </c>
      <c r="J91" s="121">
        <f>(VLOOKUP($A91,Hitters!$A1:$R401,8,FALSE)-AVERAGE(Rankings!Q2:Q651))/STDEV(Rankings!Q2:Q651)</f>
        <v>-0.1892231830581485</v>
      </c>
      <c r="K91" s="121">
        <f>(VLOOKUP($A91,Hitters!$A1:$R401,9,FALSE)-AVERAGE(Rankings!R2:R651))/STDEV(Rankings!R2:R651)</f>
        <v>0.95300227775060598</v>
      </c>
      <c r="L91" s="121">
        <f>(VLOOKUP($A91,Hitters!$A1:$R401,10,FALSE)-AVERAGE(Rankings!S2:S651))/STDEV(Rankings!S2:S651)</f>
        <v>-0.27352830216044144</v>
      </c>
      <c r="M91" s="121">
        <f>(VLOOKUP($A91,Hitters!$A1:$R401,11,FALSE)-AVERAGE(Rankings!T2:T651))/STDEV(Rankings!T2:T651)</f>
        <v>-0.34146421871904681</v>
      </c>
      <c r="N91" s="121">
        <f>(VLOOKUP($A91,Hitters!$A1:$R401,12,FALSE)-AVERAGE(Rankings!U2:U651))/STDEV(Rankings!U2:U651)</f>
        <v>-0.48575292021700589</v>
      </c>
      <c r="O91" s="121">
        <f>(VLOOKUP($A91,Hitters!$A1:$R401,13,FALSE)-AVERAGE(Rankings!V2:V651))/STDEV(Rankings!V2:V651)</f>
        <v>-0.47976695797843194</v>
      </c>
      <c r="P91" s="121">
        <f>(VLOOKUP($A91,Hitters!$A1:$R401,14,FALSE)-AVERAGE(Rankings!W2:W651))/STDEV(Rankings!W2:W651)</f>
        <v>-1.0739826019688012</v>
      </c>
      <c r="Q91" s="121">
        <f>(VLOOKUP($A91,Hitters!$A1:$R401,15,FALSE)-AVERAGE(Rankings!X2:X651))/STDEV(Rankings!X2:X651)</f>
        <v>-1.8096843286866029</v>
      </c>
      <c r="R91" s="121">
        <f>(VLOOKUP($A91,Hitters!$A1:$R401,16,FALSE)-AVERAGE(Rankings!Y2:Y651))/STDEV(Rankings!Y2:Y651)</f>
        <v>-1.5500764909335258</v>
      </c>
      <c r="S91" s="121">
        <f>(VLOOKUP($A91,Hitters!$A1:$R401,17,FALSE)-AVERAGE(Rankings!Z2:Z651))/STDEV(Rankings!Z2:Z651)</f>
        <v>-1.2356802518818089</v>
      </c>
      <c r="T91" s="121">
        <f>IFERROR((VLOOKUP($A91,Hitters!$A1:$R401,18,FALSE)-AVERAGE(Rankings!AA2:AA651))/STDEV(Rankings!AA2:AA651),0)</f>
        <v>0</v>
      </c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</row>
    <row r="92" spans="1:37" ht="18.600000000000001" customHeight="1">
      <c r="A92" s="25" t="s">
        <v>702</v>
      </c>
      <c r="B92" s="26" t="s">
        <v>74</v>
      </c>
      <c r="C92" s="122" t="s">
        <v>11</v>
      </c>
      <c r="D92" s="67">
        <f>(F92*Settings!$C$2)+(G92*Settings!$C$3)+(H92*Settings!$C$4)+(I92*Settings!$C$5)+(J92*Settings!$C$6)+(M92*Settings!$C$9)+(N92*Settings!$C$10)+(O92*Settings!$C$11)+(P92*Settings!$C$12)+(Q92*Settings!$C$13)+(T92*Settings!$C$16)+(K92*Settings!$C$7)+(L92*Settings!$C$8)+(R92*Settings!$C$14)+(S92*Settings!$C$15)</f>
        <v>-3.2371019488007335</v>
      </c>
      <c r="E92" s="67"/>
      <c r="F92" s="121">
        <f>(VLOOKUP($A92,Hitters!$A1:$R401,4,FALSE)-AVERAGE(Rankings!M2:M651))/STDEV(Rankings!M2:M651)</f>
        <v>-1.0543360954258127</v>
      </c>
      <c r="G92" s="121">
        <f>(VLOOKUP($A92,Hitters!$A1:$R401,5,FALSE)-AVERAGE(Rankings!N2:N651))/STDEV(Rankings!N2:N651)</f>
        <v>-0.92008644632848435</v>
      </c>
      <c r="H92" s="121">
        <f>(VLOOKUP($A92,Hitters!$A1:$R401,6,FALSE)-AVERAGE(Rankings!O2:O651))/STDEV(Rankings!O2:O651)</f>
        <v>-0.71388268097471841</v>
      </c>
      <c r="I92" s="121">
        <f>(VLOOKUP($A92,Hitters!$A1:$R401,7,FALSE)-AVERAGE(Rankings!P2:P651))/STDEV(Rankings!P2:P651)</f>
        <v>-0.82192067571058069</v>
      </c>
      <c r="J92" s="121">
        <f>(VLOOKUP($A92,Hitters!$A1:$R401,8,FALSE)-AVERAGE(Rankings!Q2:Q651))/STDEV(Rankings!Q2:Q651)</f>
        <v>-0.70124211034621176</v>
      </c>
      <c r="K92" s="121">
        <f>(VLOOKUP($A92,Hitters!$A1:$R401,9,FALSE)-AVERAGE(Rankings!R2:R651))/STDEV(Rankings!R2:R651)</f>
        <v>-7.997003544073833E-2</v>
      </c>
      <c r="L92" s="121">
        <f>(VLOOKUP($A92,Hitters!$A1:$R401,10,FALSE)-AVERAGE(Rankings!S2:S651))/STDEV(Rankings!S2:S651)</f>
        <v>-0.19298774490597087</v>
      </c>
      <c r="M92" s="121">
        <f>(VLOOKUP($A92,Hitters!$A1:$R401,11,FALSE)-AVERAGE(Rankings!T2:T651))/STDEV(Rankings!T2:T651)</f>
        <v>-0.96382527851612942</v>
      </c>
      <c r="N92" s="121">
        <f>(VLOOKUP($A92,Hitters!$A1:$R401,12,FALSE)-AVERAGE(Rankings!U2:U651))/STDEV(Rankings!U2:U651)</f>
        <v>-1.0299991862134068</v>
      </c>
      <c r="O92" s="121">
        <f>(VLOOKUP($A92,Hitters!$A1:$R401,13,FALSE)-AVERAGE(Rankings!V2:V651))/STDEV(Rankings!V2:V651)</f>
        <v>-0.94990270129182863</v>
      </c>
      <c r="P92" s="121">
        <f>(VLOOKUP($A92,Hitters!$A1:$R401,14,FALSE)-AVERAGE(Rankings!W2:W651))/STDEV(Rankings!W2:W651)</f>
        <v>-0.81763994441339405</v>
      </c>
      <c r="Q92" s="121">
        <f>(VLOOKUP($A92,Hitters!$A1:$R401,15,FALSE)-AVERAGE(Rankings!X2:X651))/STDEV(Rankings!X2:X651)</f>
        <v>-1.1761421263204723</v>
      </c>
      <c r="R92" s="121">
        <f>(VLOOKUP($A92,Hitters!$A1:$R401,16,FALSE)-AVERAGE(Rankings!Y2:Y651))/STDEV(Rankings!Y2:Y651)</f>
        <v>-0.34042121212618842</v>
      </c>
      <c r="S92" s="121">
        <f>(VLOOKUP($A92,Hitters!$A1:$R401,17,FALSE)-AVERAGE(Rankings!Z2:Z651))/STDEV(Rankings!Z2:Z651)</f>
        <v>-0.32354776655901318</v>
      </c>
      <c r="T92" s="121">
        <f>IFERROR((VLOOKUP($A92,Hitters!$A1:$R401,18,FALSE)-AVERAGE(Rankings!AA2:AA651))/STDEV(Rankings!AA2:AA651),0)</f>
        <v>0</v>
      </c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</row>
    <row r="93" spans="1:37" ht="18.600000000000001" customHeight="1">
      <c r="A93" s="25" t="s">
        <v>720</v>
      </c>
      <c r="B93" s="26" t="s">
        <v>116</v>
      </c>
      <c r="C93" s="122" t="s">
        <v>11</v>
      </c>
      <c r="D93" s="67">
        <f>(F93*Settings!$C$2)+(G93*Settings!$C$3)+(H93*Settings!$C$4)+(I93*Settings!$C$5)+(J93*Settings!$C$6)+(M93*Settings!$C$9)+(N93*Settings!$C$10)+(O93*Settings!$C$11)+(P93*Settings!$C$12)+(Q93*Settings!$C$13)+(T93*Settings!$C$16)+(K93*Settings!$C$7)+(L93*Settings!$C$8)+(R93*Settings!$C$14)+(S93*Settings!$C$15)</f>
        <v>-4.0789681038829873</v>
      </c>
      <c r="E93" s="67"/>
      <c r="F93" s="121">
        <f>(VLOOKUP($A93,Hitters!$A1:$R401,4,FALSE)-AVERAGE(Rankings!M2:M651))/STDEV(Rankings!M2:M651)</f>
        <v>-1.1117949127272289</v>
      </c>
      <c r="G93" s="121">
        <f>(VLOOKUP($A93,Hitters!$A1:$R401,5,FALSE)-AVERAGE(Rankings!N2:N651))/STDEV(Rankings!N2:N651)</f>
        <v>-1.0111581641021519</v>
      </c>
      <c r="H93" s="121">
        <f>(VLOOKUP($A93,Hitters!$A1:$R401,6,FALSE)-AVERAGE(Rankings!O2:O651))/STDEV(Rankings!O2:O651)</f>
        <v>-0.97703424546113182</v>
      </c>
      <c r="I93" s="121">
        <f>(VLOOKUP($A93,Hitters!$A1:$R401,7,FALSE)-AVERAGE(Rankings!P2:P651))/STDEV(Rankings!P2:P651)</f>
        <v>-1.1240588425219475</v>
      </c>
      <c r="J93" s="121">
        <f>(VLOOKUP($A93,Hitters!$A1:$R401,8,FALSE)-AVERAGE(Rankings!Q2:Q651))/STDEV(Rankings!Q2:Q651)</f>
        <v>-0.3799753324399765</v>
      </c>
      <c r="K93" s="121">
        <f>(VLOOKUP($A93,Hitters!$A1:$R401,9,FALSE)-AVERAGE(Rankings!R2:R651))/STDEV(Rankings!R2:R651)</f>
        <v>-0.58674151935777907</v>
      </c>
      <c r="L93" s="121">
        <f>(VLOOKUP($A93,Hitters!$A1:$R401,10,FALSE)-AVERAGE(Rankings!S2:S651))/STDEV(Rankings!S2:S651)</f>
        <v>-1.5477670379484669</v>
      </c>
      <c r="M93" s="121">
        <f>(VLOOKUP($A93,Hitters!$A1:$R401,11,FALSE)-AVERAGE(Rankings!T2:T651))/STDEV(Rankings!T2:T651)</f>
        <v>-1.0812003906708425</v>
      </c>
      <c r="N93" s="121">
        <f>(VLOOKUP($A93,Hitters!$A1:$R401,12,FALSE)-AVERAGE(Rankings!U2:U651))/STDEV(Rankings!U2:U651)</f>
        <v>-0.87267799994882389</v>
      </c>
      <c r="O93" s="121">
        <f>(VLOOKUP($A93,Hitters!$A1:$R401,13,FALSE)-AVERAGE(Rankings!V2:V651))/STDEV(Rankings!V2:V651)</f>
        <v>-0.34149173935685095</v>
      </c>
      <c r="P93" s="121">
        <f>(VLOOKUP($A93,Hitters!$A1:$R401,14,FALSE)-AVERAGE(Rankings!W2:W651))/STDEV(Rankings!W2:W651)</f>
        <v>-1.3154648156079511</v>
      </c>
      <c r="Q93" s="121">
        <f>(VLOOKUP($A93,Hitters!$A1:$R401,15,FALSE)-AVERAGE(Rankings!X2:X651))/STDEV(Rankings!X2:X651)</f>
        <v>-0.38567639382980329</v>
      </c>
      <c r="R93" s="121">
        <f>(VLOOKUP($A93,Hitters!$A1:$R401,16,FALSE)-AVERAGE(Rankings!Y2:Y651))/STDEV(Rankings!Y2:Y651)</f>
        <v>-0.81006678446362179</v>
      </c>
      <c r="S93" s="121">
        <f>(VLOOKUP($A93,Hitters!$A1:$R401,17,FALSE)-AVERAGE(Rankings!Z2:Z651))/STDEV(Rankings!Z2:Z651)</f>
        <v>-1.1971897344464744</v>
      </c>
      <c r="T93" s="121">
        <f>IFERROR((VLOOKUP($A93,Hitters!$A1:$R401,18,FALSE)-AVERAGE(Rankings!AA2:AA651))/STDEV(Rankings!AA2:AA651),0)</f>
        <v>0</v>
      </c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</row>
    <row r="94" spans="1:37" ht="18.600000000000001" customHeight="1">
      <c r="A94" s="25" t="s">
        <v>722</v>
      </c>
      <c r="B94" s="26" t="s">
        <v>92</v>
      </c>
      <c r="C94" s="122" t="s">
        <v>11</v>
      </c>
      <c r="D94" s="67">
        <f>(F94*Settings!$C$2)+(G94*Settings!$C$3)+(H94*Settings!$C$4)+(I94*Settings!$C$5)+(J94*Settings!$C$6)+(M94*Settings!$C$9)+(N94*Settings!$C$10)+(O94*Settings!$C$11)+(P94*Settings!$C$12)+(Q94*Settings!$C$13)+(T94*Settings!$C$16)+(K94*Settings!$C$7)+(L94*Settings!$C$8)+(R94*Settings!$C$14)+(S94*Settings!$C$15)</f>
        <v>-4.0859832553825317</v>
      </c>
      <c r="E94" s="67"/>
      <c r="F94" s="121">
        <f>(VLOOKUP($A94,Hitters!$A1:$R401,4,FALSE)-AVERAGE(Rankings!M2:M651))/STDEV(Rankings!M2:M651)</f>
        <v>-1.4382654655762013</v>
      </c>
      <c r="G94" s="121">
        <f>(VLOOKUP($A94,Hitters!$A1:$R401,5,FALSE)-AVERAGE(Rankings!N2:N651))/STDEV(Rankings!N2:N651)</f>
        <v>-1.2175873910557966</v>
      </c>
      <c r="H94" s="121">
        <f>(VLOOKUP($A94,Hitters!$A1:$R401,6,FALSE)-AVERAGE(Rankings!O2:O651))/STDEV(Rankings!O2:O651)</f>
        <v>-1.2360088009874426</v>
      </c>
      <c r="I94" s="121">
        <f>(VLOOKUP($A94,Hitters!$A1:$R401,7,FALSE)-AVERAGE(Rankings!P2:P651))/STDEV(Rankings!P2:P651)</f>
        <v>-1.3460379038527488</v>
      </c>
      <c r="J94" s="121">
        <f>(VLOOKUP($A94,Hitters!$A1:$R401,8,FALSE)-AVERAGE(Rankings!Q2:Q651))/STDEV(Rankings!Q2:Q651)</f>
        <v>-0.24444091051078326</v>
      </c>
      <c r="K94" s="121">
        <f>(VLOOKUP($A94,Hitters!$A1:$R401,9,FALSE)-AVERAGE(Rankings!R2:R651))/STDEV(Rankings!R2:R651)</f>
        <v>-4.1908248975760037E-2</v>
      </c>
      <c r="L94" s="121">
        <f>(VLOOKUP($A94,Hitters!$A1:$R401,10,FALSE)-AVERAGE(Rankings!S2:S651))/STDEV(Rankings!S2:S651)</f>
        <v>-1.2931544854963903</v>
      </c>
      <c r="M94" s="121">
        <f>(VLOOKUP($A94,Hitters!$A1:$R401,11,FALSE)-AVERAGE(Rankings!T2:T651))/STDEV(Rankings!T2:T651)</f>
        <v>-1.2913837310409098</v>
      </c>
      <c r="N94" s="121">
        <f>(VLOOKUP($A94,Hitters!$A1:$R401,12,FALSE)-AVERAGE(Rankings!U2:U651))/STDEV(Rankings!U2:U651)</f>
        <v>-1.3701531024611668</v>
      </c>
      <c r="O94" s="121">
        <f>(VLOOKUP($A94,Hitters!$A1:$R401,13,FALSE)-AVERAGE(Rankings!V2:V651))/STDEV(Rankings!V2:V651)</f>
        <v>0.57112470354561962</v>
      </c>
      <c r="P94" s="121">
        <f>(VLOOKUP($A94,Hitters!$A1:$R401,14,FALSE)-AVERAGE(Rankings!W2:W651))/STDEV(Rankings!W2:W651)</f>
        <v>-1.5142232529878701</v>
      </c>
      <c r="Q94" s="121">
        <f>(VLOOKUP($A94,Hitters!$A1:$R401,15,FALSE)-AVERAGE(Rankings!X2:X651))/STDEV(Rankings!X2:X651)</f>
        <v>-1.2989518455483688</v>
      </c>
      <c r="R94" s="121">
        <f>(VLOOKUP($A94,Hitters!$A1:$R401,16,FALSE)-AVERAGE(Rankings!Y2:Y651))/STDEV(Rankings!Y2:Y651)</f>
        <v>-0.78438847623525687</v>
      </c>
      <c r="S94" s="121">
        <f>(VLOOKUP($A94,Hitters!$A1:$R401,17,FALSE)-AVERAGE(Rankings!Z2:Z651))/STDEV(Rankings!Z2:Z651)</f>
        <v>-1.0785568202702431</v>
      </c>
      <c r="T94" s="121">
        <f>IFERROR((VLOOKUP($A94,Hitters!$A1:$R401,18,FALSE)-AVERAGE(Rankings!AA2:AA651))/STDEV(Rankings!AA2:AA651),0)</f>
        <v>0</v>
      </c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</row>
    <row r="95" spans="1:37" ht="18.600000000000001" customHeight="1">
      <c r="A95" s="25" t="s">
        <v>723</v>
      </c>
      <c r="B95" s="26" t="s">
        <v>260</v>
      </c>
      <c r="C95" s="122" t="s">
        <v>11</v>
      </c>
      <c r="D95" s="67">
        <f>(F95*Settings!$C$2)+(G95*Settings!$C$3)+(H95*Settings!$C$4)+(I95*Settings!$C$5)+(J95*Settings!$C$6)+(M95*Settings!$C$9)+(N95*Settings!$C$10)+(O95*Settings!$C$11)+(P95*Settings!$C$12)+(Q95*Settings!$C$13)+(T95*Settings!$C$16)+(K95*Settings!$C$7)+(L95*Settings!$C$8)+(R95*Settings!$C$14)+(S95*Settings!$C$15)</f>
        <v>-4.2981131899134386</v>
      </c>
      <c r="E95" s="67"/>
      <c r="F95" s="121">
        <f>(VLOOKUP($A95,Hitters!$A1:$R401,4,FALSE)-AVERAGE(Rankings!M2:M651))/STDEV(Rankings!M2:M651)</f>
        <v>-1.0543360954258127</v>
      </c>
      <c r="G95" s="121">
        <f>(VLOOKUP($A95,Hitters!$A1:$R401,5,FALSE)-AVERAGE(Rankings!N2:N651))/STDEV(Rankings!N2:N651)</f>
        <v>-0.98839023465873499</v>
      </c>
      <c r="H95" s="121">
        <f>(VLOOKUP($A95,Hitters!$A1:$R401,6,FALSE)-AVERAGE(Rankings!O2:O651))/STDEV(Rankings!O2:O651)</f>
        <v>-1.327902998109683</v>
      </c>
      <c r="I95" s="121">
        <f>(VLOOKUP($A95,Hitters!$A1:$R401,7,FALSE)-AVERAGE(Rankings!P2:P651))/STDEV(Rankings!P2:P651)</f>
        <v>-1.3784098502968238</v>
      </c>
      <c r="J95" s="121">
        <f>(VLOOKUP($A95,Hitters!$A1:$R401,8,FALSE)-AVERAGE(Rankings!Q2:Q651))/STDEV(Rankings!Q2:Q651)</f>
        <v>-0.49041078734524451</v>
      </c>
      <c r="K95" s="121">
        <f>(VLOOKUP($A95,Hitters!$A1:$R401,9,FALSE)-AVERAGE(Rankings!R2:R651))/STDEV(Rankings!R2:R651)</f>
        <v>-0.1129993195029524</v>
      </c>
      <c r="L95" s="121">
        <f>(VLOOKUP($A95,Hitters!$A1:$R401,10,FALSE)-AVERAGE(Rankings!S2:S651))/STDEV(Rankings!S2:S651)</f>
        <v>-0.26903350873563109</v>
      </c>
      <c r="M95" s="121">
        <f>(VLOOKUP($A95,Hitters!$A1:$R401,11,FALSE)-AVERAGE(Rankings!T2:T651))/STDEV(Rankings!T2:T651)</f>
        <v>-0.96837470146786342</v>
      </c>
      <c r="N95" s="121">
        <f>(VLOOKUP($A95,Hitters!$A1:$R401,12,FALSE)-AVERAGE(Rankings!U2:U651))/STDEV(Rankings!U2:U651)</f>
        <v>-1.0512588059788956</v>
      </c>
      <c r="O95" s="121">
        <f>(VLOOKUP($A95,Hitters!$A1:$R401,13,FALSE)-AVERAGE(Rankings!V2:V651))/STDEV(Rankings!V2:V651)</f>
        <v>-0.20321652073526184</v>
      </c>
      <c r="P95" s="121">
        <f>(VLOOKUP($A95,Hitters!$A1:$R401,14,FALSE)-AVERAGE(Rankings!W2:W651))/STDEV(Rankings!W2:W651)</f>
        <v>-0.84364572126684301</v>
      </c>
      <c r="Q95" s="121">
        <f>(VLOOKUP($A95,Hitters!$A1:$R401,15,FALSE)-AVERAGE(Rankings!X2:X651))/STDEV(Rankings!X2:X651)</f>
        <v>-1.1274081107538456</v>
      </c>
      <c r="R95" s="121">
        <f>(VLOOKUP($A95,Hitters!$A1:$R401,16,FALSE)-AVERAGE(Rankings!Y2:Y651))/STDEV(Rankings!Y2:Y651)</f>
        <v>-1.5554775414416853</v>
      </c>
      <c r="S95" s="121">
        <f>(VLOOKUP($A95,Hitters!$A1:$R401,17,FALSE)-AVERAGE(Rankings!Z2:Z651))/STDEV(Rankings!Z2:Z651)</f>
        <v>-1.237847409856389</v>
      </c>
      <c r="T95" s="121">
        <f>IFERROR((VLOOKUP($A95,Hitters!$A1:$R401,18,FALSE)-AVERAGE(Rankings!AA2:AA651))/STDEV(Rankings!AA2:AA651),0)</f>
        <v>0</v>
      </c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</row>
    <row r="96" spans="1:37" ht="18.600000000000001" customHeight="1">
      <c r="A96" s="25" t="s">
        <v>727</v>
      </c>
      <c r="B96" s="26" t="s">
        <v>116</v>
      </c>
      <c r="C96" s="122" t="s">
        <v>11</v>
      </c>
      <c r="D96" s="67">
        <f>(F96*Settings!$C$2)+(G96*Settings!$C$3)+(H96*Settings!$C$4)+(I96*Settings!$C$5)+(J96*Settings!$C$6)+(M96*Settings!$C$9)+(N96*Settings!$C$10)+(O96*Settings!$C$11)+(P96*Settings!$C$12)+(Q96*Settings!$C$13)+(T96*Settings!$C$16)+(K96*Settings!$C$7)+(L96*Settings!$C$8)+(R96*Settings!$C$14)+(S96*Settings!$C$15)</f>
        <v>-4.4683398419097857</v>
      </c>
      <c r="E96" s="67"/>
      <c r="F96" s="121">
        <f>(VLOOKUP($A96,Hitters!$A1:$R401,4,FALSE)-AVERAGE(Rankings!M2:M651))/STDEV(Rankings!M2:M651)</f>
        <v>-1.6994419078553746</v>
      </c>
      <c r="G96" s="121">
        <f>(VLOOKUP($A96,Hitters!$A1:$R401,5,FALSE)-AVERAGE(Rankings!N2:N651))/STDEV(Rankings!N2:N651)</f>
        <v>-1.5499991609296828</v>
      </c>
      <c r="H96" s="121">
        <f>(VLOOKUP($A96,Hitters!$A1:$R401,6,FALSE)-AVERAGE(Rankings!O2:O651))/STDEV(Rankings!O2:O651)</f>
        <v>-1.4281512131521261</v>
      </c>
      <c r="I96" s="121">
        <f>(VLOOKUP($A96,Hitters!$A1:$R401,7,FALSE)-AVERAGE(Rankings!P2:P651))/STDEV(Rankings!P2:P651)</f>
        <v>-1.5341034974802348</v>
      </c>
      <c r="J96" s="121">
        <f>(VLOOKUP($A96,Hitters!$A1:$R401,8,FALSE)-AVERAGE(Rankings!Q2:Q651))/STDEV(Rankings!Q2:Q651)</f>
        <v>-0.69622231694142744</v>
      </c>
      <c r="K96" s="121">
        <f>(VLOOKUP($A96,Hitters!$A1:$R401,9,FALSE)-AVERAGE(Rankings!R2:R651))/STDEV(Rankings!R2:R651)</f>
        <v>0.74013634659368532</v>
      </c>
      <c r="L96" s="121">
        <f>(VLOOKUP($A96,Hitters!$A1:$R401,10,FALSE)-AVERAGE(Rankings!S2:S651))/STDEV(Rankings!S2:S651)</f>
        <v>-1.1651814335790682</v>
      </c>
      <c r="M96" s="121">
        <f>(VLOOKUP($A96,Hitters!$A1:$R401,11,FALSE)-AVERAGE(Rankings!T2:T651))/STDEV(Rankings!T2:T651)</f>
        <v>-1.4460641113998347</v>
      </c>
      <c r="N96" s="121">
        <f>(VLOOKUP($A96,Hitters!$A1:$R401,12,FALSE)-AVERAGE(Rankings!U2:U651))/STDEV(Rankings!U2:U651)</f>
        <v>-1.1830684485248968</v>
      </c>
      <c r="O96" s="121">
        <f>(VLOOKUP($A96,Hitters!$A1:$R401,13,FALSE)-AVERAGE(Rankings!V2:V651))/STDEV(Rankings!V2:V651)</f>
        <v>-0.50742200170275464</v>
      </c>
      <c r="P96" s="121">
        <f>(VLOOKUP($A96,Hitters!$A1:$R401,14,FALSE)-AVERAGE(Rankings!W2:W651))/STDEV(Rankings!W2:W651)</f>
        <v>-1.7668507995642133</v>
      </c>
      <c r="Q96" s="121">
        <f>(VLOOKUP($A96,Hitters!$A1:$R401,15,FALSE)-AVERAGE(Rankings!X2:X651))/STDEV(Rankings!X2:X651)</f>
        <v>-2.0231393168684226</v>
      </c>
      <c r="R96" s="121">
        <f>(VLOOKUP($A96,Hitters!$A1:$R401,16,FALSE)-AVERAGE(Rankings!Y2:Y651))/STDEV(Rankings!Y2:Y651)</f>
        <v>-0.60550484425087825</v>
      </c>
      <c r="S96" s="121">
        <f>(VLOOKUP($A96,Hitters!$A1:$R401,17,FALSE)-AVERAGE(Rankings!Z2:Z651))/STDEV(Rankings!Z2:Z651)</f>
        <v>-0.89811344419385364</v>
      </c>
      <c r="T96" s="121">
        <f>IFERROR((VLOOKUP($A96,Hitters!$A1:$R401,18,FALSE)-AVERAGE(Rankings!AA2:AA651))/STDEV(Rankings!AA2:AA651),0)</f>
        <v>0</v>
      </c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</row>
    <row r="97" spans="1:37" ht="18.600000000000001" customHeight="1">
      <c r="A97" s="25" t="s">
        <v>732</v>
      </c>
      <c r="B97" s="26" t="s">
        <v>116</v>
      </c>
      <c r="C97" s="122" t="s">
        <v>11</v>
      </c>
      <c r="D97" s="67">
        <f>(F97*Settings!$C$2)+(G97*Settings!$C$3)+(H97*Settings!$C$4)+(I97*Settings!$C$5)+(J97*Settings!$C$6)+(M97*Settings!$C$9)+(N97*Settings!$C$10)+(O97*Settings!$C$11)+(P97*Settings!$C$12)+(Q97*Settings!$C$13)+(T97*Settings!$C$16)+(K97*Settings!$C$7)+(L97*Settings!$C$8)+(R97*Settings!$C$14)+(S97*Settings!$C$15)</f>
        <v>-4.9907116222726753</v>
      </c>
      <c r="E97" s="67"/>
      <c r="F97" s="121">
        <f>(VLOOKUP($A97,Hitters!$A1:$R401,4,FALSE)-AVERAGE(Rankings!M2:M651))/STDEV(Rankings!M2:M651)</f>
        <v>-1.5166183982599541</v>
      </c>
      <c r="G97" s="121">
        <f>(VLOOKUP($A97,Hitters!$A1:$R401,5,FALSE)-AVERAGE(Rankings!N2:N651))/STDEV(Rankings!N2:N651)</f>
        <v>-1.3481235198647215</v>
      </c>
      <c r="H97" s="121">
        <f>(VLOOKUP($A97,Hitters!$A1:$R401,6,FALSE)-AVERAGE(Rankings!O2:O651))/STDEV(Rankings!O2:O651)</f>
        <v>-1.4406822400324317</v>
      </c>
      <c r="I97" s="121">
        <f>(VLOOKUP($A97,Hitters!$A1:$R401,7,FALSE)-AVERAGE(Rankings!P2:P651))/STDEV(Rankings!P2:P651)</f>
        <v>-1.4570274345181493</v>
      </c>
      <c r="J97" s="121">
        <f>(VLOOKUP($A97,Hitters!$A1:$R401,8,FALSE)-AVERAGE(Rankings!Q2:Q651))/STDEV(Rankings!Q2:Q651)</f>
        <v>-0.69120252353664136</v>
      </c>
      <c r="K97" s="121">
        <f>(VLOOKUP($A97,Hitters!$A1:$R401,9,FALSE)-AVERAGE(Rankings!R2:R651))/STDEV(Rankings!R2:R651)</f>
        <v>-5.3675904320730952E-2</v>
      </c>
      <c r="L97" s="121">
        <f>(VLOOKUP($A97,Hitters!$A1:$R401,10,FALSE)-AVERAGE(Rankings!S2:S651))/STDEV(Rankings!S2:S651)</f>
        <v>-1.0438612268505882</v>
      </c>
      <c r="M97" s="121">
        <f>(VLOOKUP($A97,Hitters!$A1:$R401,11,FALSE)-AVERAGE(Rankings!T2:T651))/STDEV(Rankings!T2:T651)</f>
        <v>-1.3605349599072514</v>
      </c>
      <c r="N97" s="121">
        <f>(VLOOKUP($A97,Hitters!$A1:$R401,12,FALSE)-AVERAGE(Rankings!U2:U651))/STDEV(Rankings!U2:U651)</f>
        <v>-1.4636954294292992</v>
      </c>
      <c r="O97" s="121">
        <f>(VLOOKUP($A97,Hitters!$A1:$R401,13,FALSE)-AVERAGE(Rankings!V2:V651))/STDEV(Rankings!V2:V651)</f>
        <v>-0.673352264048656</v>
      </c>
      <c r="P97" s="121">
        <f>(VLOOKUP($A97,Hitters!$A1:$R401,14,FALSE)-AVERAGE(Rankings!W2:W651))/STDEV(Rankings!W2:W651)</f>
        <v>-1.4454936998751904</v>
      </c>
      <c r="Q97" s="121">
        <f>(VLOOKUP($A97,Hitters!$A1:$R401,15,FALSE)-AVERAGE(Rankings!X2:X651))/STDEV(Rankings!X2:X651)</f>
        <v>-1.5289763990228395</v>
      </c>
      <c r="R97" s="121">
        <f>(VLOOKUP($A97,Hitters!$A1:$R401,16,FALSE)-AVERAGE(Rankings!Y2:Y651))/STDEV(Rankings!Y2:Y651)</f>
        <v>-1.6727059652288101</v>
      </c>
      <c r="S97" s="121">
        <f>(VLOOKUP($A97,Hitters!$A1:$R401,17,FALSE)-AVERAGE(Rankings!Z2:Z651))/STDEV(Rankings!Z2:Z651)</f>
        <v>-1.6273172027180443</v>
      </c>
      <c r="T97" s="121">
        <f>IFERROR((VLOOKUP($A97,Hitters!$A1:$R401,18,FALSE)-AVERAGE(Rankings!AA2:AA651))/STDEV(Rankings!AA2:AA651),0)</f>
        <v>0</v>
      </c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</row>
    <row r="98" spans="1:37" ht="18.600000000000001" customHeight="1">
      <c r="A98" s="25" t="s">
        <v>738</v>
      </c>
      <c r="B98" s="26" t="s">
        <v>116</v>
      </c>
      <c r="C98" s="122" t="s">
        <v>11</v>
      </c>
      <c r="D98" s="67">
        <f>(F98*Settings!$C$2)+(G98*Settings!$C$3)+(H98*Settings!$C$4)+(I98*Settings!$C$5)+(J98*Settings!$C$6)+(M98*Settings!$C$9)+(N98*Settings!$C$10)+(O98*Settings!$C$11)+(P98*Settings!$C$12)+(Q98*Settings!$C$13)+(T98*Settings!$C$16)+(K98*Settings!$C$7)+(L98*Settings!$C$8)+(R98*Settings!$C$14)+(S98*Settings!$C$15)</f>
        <v>-5.6608274542446715</v>
      </c>
      <c r="E98" s="67"/>
      <c r="F98" s="121">
        <f>(VLOOKUP($A98,Hitters!$A1:$R401,4,FALSE)-AVERAGE(Rankings!M2:M651))/STDEV(Rankings!M2:M651)</f>
        <v>-1.8352536578405434</v>
      </c>
      <c r="G98" s="121">
        <f>(VLOOKUP($A98,Hitters!$A1:$R401,5,FALSE)-AVERAGE(Rankings!N2:N651))/STDEV(Rankings!N2:N651)</f>
        <v>-1.6031243296309905</v>
      </c>
      <c r="H98" s="121">
        <f>(VLOOKUP($A98,Hitters!$A1:$R401,6,FALSE)-AVERAGE(Rankings!O2:O651))/STDEV(Rankings!O2:O651)</f>
        <v>-1.1900617024263238</v>
      </c>
      <c r="I98" s="121">
        <f>(VLOOKUP($A98,Hitters!$A1:$R401,7,FALSE)-AVERAGE(Rankings!P2:P651))/STDEV(Rankings!P2:P651)</f>
        <v>-1.5865152202944501</v>
      </c>
      <c r="J98" s="121">
        <f>(VLOOKUP($A98,Hitters!$A1:$R401,8,FALSE)-AVERAGE(Rankings!Q2:Q651))/STDEV(Rankings!Q2:Q651)</f>
        <v>-0.78657859822755616</v>
      </c>
      <c r="K98" s="121">
        <f>(VLOOKUP($A98,Hitters!$A1:$R401,9,FALSE)-AVERAGE(Rankings!R2:R651))/STDEV(Rankings!R2:R651)</f>
        <v>-0.49454760366535</v>
      </c>
      <c r="L98" s="121">
        <f>(VLOOKUP($A98,Hitters!$A1:$R401,10,FALSE)-AVERAGE(Rankings!S2:S651))/STDEV(Rankings!S2:S651)</f>
        <v>-1.6006182358185723</v>
      </c>
      <c r="M98" s="121">
        <f>(VLOOKUP($A98,Hitters!$A1:$R401,11,FALSE)-AVERAGE(Rankings!T2:T651))/STDEV(Rankings!T2:T651)</f>
        <v>-1.6726253743961412</v>
      </c>
      <c r="N98" s="121">
        <f>(VLOOKUP($A98,Hitters!$A1:$R401,12,FALSE)-AVERAGE(Rankings!U2:U651))/STDEV(Rankings!U2:U651)</f>
        <v>-1.5572377563974331</v>
      </c>
      <c r="O98" s="121">
        <f>(VLOOKUP($A98,Hitters!$A1:$R401,13,FALSE)-AVERAGE(Rankings!V2:V651))/STDEV(Rankings!V2:V651)</f>
        <v>-0.94990270129182863</v>
      </c>
      <c r="P98" s="121">
        <f>(VLOOKUP($A98,Hitters!$A1:$R401,14,FALSE)-AVERAGE(Rankings!W2:W651))/STDEV(Rankings!W2:W651)</f>
        <v>-1.6331068043179138</v>
      </c>
      <c r="Q98" s="121">
        <f>(VLOOKUP($A98,Hitters!$A1:$R401,15,FALSE)-AVERAGE(Rankings!X2:X651))/STDEV(Rankings!X2:X651)</f>
        <v>-1.8048109271299422</v>
      </c>
      <c r="R98" s="121">
        <f>(VLOOKUP($A98,Hitters!$A1:$R401,16,FALSE)-AVERAGE(Rankings!Y2:Y651))/STDEV(Rankings!Y2:Y651)</f>
        <v>-0.58398199396145423</v>
      </c>
      <c r="S98" s="121">
        <f>(VLOOKUP($A98,Hitters!$A1:$R401,17,FALSE)-AVERAGE(Rankings!Z2:Z651))/STDEV(Rankings!Z2:Z651)</f>
        <v>-1.0533660306004611</v>
      </c>
      <c r="T98" s="121">
        <f>IFERROR((VLOOKUP($A98,Hitters!$A1:$R401,18,FALSE)-AVERAGE(Rankings!AA2:AA651))/STDEV(Rankings!AA2:AA651),0)</f>
        <v>0</v>
      </c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</row>
    <row r="99" spans="1:37" ht="18.600000000000001" customHeight="1">
      <c r="A99" s="25" t="s">
        <v>740</v>
      </c>
      <c r="B99" s="26" t="s">
        <v>99</v>
      </c>
      <c r="C99" s="122" t="s">
        <v>11</v>
      </c>
      <c r="D99" s="67">
        <f>(F99*Settings!$C$2)+(G99*Settings!$C$3)+(H99*Settings!$C$4)+(I99*Settings!$C$5)+(J99*Settings!$C$6)+(M99*Settings!$C$9)+(N99*Settings!$C$10)+(O99*Settings!$C$11)+(P99*Settings!$C$12)+(Q99*Settings!$C$13)+(T99*Settings!$C$16)+(K99*Settings!$C$7)+(L99*Settings!$C$8)+(R99*Settings!$C$14)+(S99*Settings!$C$15)</f>
        <v>-5.8341943866220554</v>
      </c>
      <c r="E99" s="67"/>
      <c r="F99" s="121">
        <f>(VLOOKUP($A99,Hitters!$A1:$R401,4,FALSE)-AVERAGE(Rankings!M2:M651))/STDEV(Rankings!M2:M651)</f>
        <v>-1.5557948646018305</v>
      </c>
      <c r="G99" s="121">
        <f>(VLOOKUP($A99,Hitters!$A1:$R401,5,FALSE)-AVERAGE(Rankings!N2:N651))/STDEV(Rankings!N2:N651)</f>
        <v>-1.3481235198647215</v>
      </c>
      <c r="H99" s="121">
        <f>(VLOOKUP($A99,Hitters!$A1:$R401,6,FALSE)-AVERAGE(Rankings!O2:O651))/STDEV(Rankings!O2:O651)</f>
        <v>-1.0229813440222508</v>
      </c>
      <c r="I99" s="121">
        <f>(VLOOKUP($A99,Hitters!$A1:$R401,7,FALSE)-AVERAGE(Rankings!P2:P651))/STDEV(Rankings!P2:P651)</f>
        <v>-1.3028753085939833</v>
      </c>
      <c r="J99" s="121">
        <f>(VLOOKUP($A99,Hitters!$A1:$R401,8,FALSE)-AVERAGE(Rankings!Q2:Q651))/STDEV(Rankings!Q2:Q651)</f>
        <v>-0.60084624225051264</v>
      </c>
      <c r="K99" s="121">
        <f>(VLOOKUP($A99,Hitters!$A1:$R401,9,FALSE)-AVERAGE(Rankings!R2:R651))/STDEV(Rankings!R2:R651)</f>
        <v>-1.5593679718905862</v>
      </c>
      <c r="L99" s="121">
        <f>(VLOOKUP($A99,Hitters!$A1:$R401,10,FALSE)-AVERAGE(Rankings!S2:S651))/STDEV(Rankings!S2:S651)</f>
        <v>-1.6360853283029451</v>
      </c>
      <c r="M99" s="121">
        <f>(VLOOKUP($A99,Hitters!$A1:$R401,11,FALSE)-AVERAGE(Rankings!T2:T651))/STDEV(Rankings!T2:T651)</f>
        <v>-1.5479711855186542</v>
      </c>
      <c r="N99" s="121">
        <f>(VLOOKUP($A99,Hitters!$A1:$R401,12,FALSE)-AVERAGE(Rankings!U2:U651))/STDEV(Rankings!U2:U651)</f>
        <v>-1.4764512012885902</v>
      </c>
      <c r="O99" s="121">
        <f>(VLOOKUP($A99,Hitters!$A1:$R401,13,FALSE)-AVERAGE(Rankings!V2:V651))/STDEV(Rankings!V2:V651)</f>
        <v>-0.72866235149728997</v>
      </c>
      <c r="P99" s="121">
        <f>(VLOOKUP($A99,Hitters!$A1:$R401,14,FALSE)-AVERAGE(Rankings!W2:W651))/STDEV(Rankings!W2:W651)</f>
        <v>-1.2411625960266754</v>
      </c>
      <c r="Q99" s="121">
        <f>(VLOOKUP($A99,Hitters!$A1:$R401,15,FALSE)-AVERAGE(Rankings!X2:X651))/STDEV(Rankings!X2:X651)</f>
        <v>-1.6907733307040385</v>
      </c>
      <c r="R99" s="121">
        <f>(VLOOKUP($A99,Hitters!$A1:$R401,16,FALSE)-AVERAGE(Rankings!Y2:Y651))/STDEV(Rankings!Y2:Y651)</f>
        <v>-1.1010770578496112</v>
      </c>
      <c r="S99" s="121">
        <f>(VLOOKUP($A99,Hitters!$A1:$R401,17,FALSE)-AVERAGE(Rankings!Z2:Z651))/STDEV(Rankings!Z2:Z651)</f>
        <v>-1.4436856178913615</v>
      </c>
      <c r="T99" s="121">
        <f>IFERROR((VLOOKUP($A99,Hitters!$A1:$R401,18,FALSE)-AVERAGE(Rankings!AA2:AA651))/STDEV(Rankings!AA2:AA651),0)</f>
        <v>0</v>
      </c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</row>
    <row r="100" spans="1:37" ht="18.600000000000001" customHeight="1">
      <c r="A100" s="25" t="s">
        <v>76</v>
      </c>
      <c r="B100" s="26" t="s">
        <v>77</v>
      </c>
      <c r="C100" s="123" t="s">
        <v>15</v>
      </c>
      <c r="D100" s="67">
        <f>(F100*Settings!$C$2)+(G100*Settings!$C$3)+(H100*Settings!$C$4)+(I100*Settings!$C$5)+(J100*Settings!$C$6)+(M100*Settings!$C$9)+(N100*Settings!$C$10)+(O100*Settings!$C$11)+(P100*Settings!$C$12)+(Q100*Settings!$C$13)+(T100*Settings!$C$16)+(K100*Settings!$C$7)+(L100*Settings!$C$8)+(R100*Settings!$C$14)+(S100*Settings!$C$15)</f>
        <v>10.34741803384531</v>
      </c>
      <c r="E100" s="67"/>
      <c r="F100" s="121">
        <f>(VLOOKUP($A100,Hitters!$A1:$R401,4,FALSE)-AVERAGE(Rankings!M2:M651))/STDEV(Rankings!M2:M651)</f>
        <v>1.455569514877072</v>
      </c>
      <c r="G100" s="121">
        <f>(VLOOKUP($A100,Hitters!$A1:$R401,5,FALSE)-AVERAGE(Rankings!N2:N651))/STDEV(Rankings!N2:N651)</f>
        <v>1.9456369396162552</v>
      </c>
      <c r="H100" s="121">
        <f>(VLOOKUP($A100,Hitters!$A1:$R401,6,FALSE)-AVERAGE(Rankings!O2:O651))/STDEV(Rankings!O2:O651)</f>
        <v>2.0847133222934922</v>
      </c>
      <c r="I100" s="121">
        <f>(VLOOKUP($A100,Hitters!$A1:$R401,7,FALSE)-AVERAGE(Rankings!P2:P651))/STDEV(Rankings!P2:P651)</f>
        <v>2.4769348190666207</v>
      </c>
      <c r="J100" s="121">
        <f>(VLOOKUP($A100,Hitters!$A1:$R401,8,FALSE)-AVERAGE(Rankings!Q2:Q651))/STDEV(Rankings!Q2:Q651)</f>
        <v>2.6469600906453352</v>
      </c>
      <c r="K100" s="121">
        <f>(VLOOKUP($A100,Hitters!$A1:$R401,9,FALSE)-AVERAGE(Rankings!R2:R651))/STDEV(Rankings!R2:R651)</f>
        <v>1.1931728622236069</v>
      </c>
      <c r="L100" s="121">
        <f>(VLOOKUP($A100,Hitters!$A1:$R401,10,FALSE)-AVERAGE(Rankings!S2:S651))/STDEV(Rankings!S2:S651)</f>
        <v>1.6411807854986435</v>
      </c>
      <c r="M100" s="121">
        <f>(VLOOKUP($A100,Hitters!$A1:$R401,11,FALSE)-AVERAGE(Rankings!T2:T651))/STDEV(Rankings!T2:T651)</f>
        <v>1.6084184583937333</v>
      </c>
      <c r="N100" s="121">
        <f>(VLOOKUP($A100,Hitters!$A1:$R401,12,FALSE)-AVERAGE(Rankings!U2:U651))/STDEV(Rankings!U2:U651)</f>
        <v>2.3715399762641436</v>
      </c>
      <c r="O100" s="121">
        <f>(VLOOKUP($A100,Hitters!$A1:$R401,13,FALSE)-AVERAGE(Rankings!V2:V651))/STDEV(Rankings!V2:V651)</f>
        <v>2.0368420209344382</v>
      </c>
      <c r="P100" s="121">
        <f>(VLOOKUP($A100,Hitters!$A1:$R401,14,FALSE)-AVERAGE(Rankings!W2:W651))/STDEV(Rankings!W2:W651)</f>
        <v>1.8460946275754022</v>
      </c>
      <c r="Q100" s="121">
        <f>(VLOOKUP($A100,Hitters!$A1:$R401,15,FALSE)-AVERAGE(Rankings!X2:X651))/STDEV(Rankings!X2:X651)</f>
        <v>-0.20048713467662707</v>
      </c>
      <c r="R100" s="121">
        <f>(VLOOKUP($A100,Hitters!$A1:$R401,16,FALSE)-AVERAGE(Rankings!Y2:Y651))/STDEV(Rankings!Y2:Y651)</f>
        <v>2.3255499211448902</v>
      </c>
      <c r="S100" s="121">
        <f>(VLOOKUP($A100,Hitters!$A1:$R401,17,FALSE)-AVERAGE(Rankings!Z2:Z651))/STDEV(Rankings!Z2:Z651)</f>
        <v>2.3369899617455232</v>
      </c>
      <c r="T100" s="121">
        <f>IFERROR((VLOOKUP($A100,Hitters!$A1:$R401,18,FALSE)-AVERAGE(Rankings!AA2:AA651))/STDEV(Rankings!AA2:AA651),0)</f>
        <v>0</v>
      </c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</row>
    <row r="101" spans="1:37" ht="18.600000000000001" customHeight="1">
      <c r="A101" s="25" t="s">
        <v>89</v>
      </c>
      <c r="B101" s="26" t="s">
        <v>64</v>
      </c>
      <c r="C101" s="123" t="s">
        <v>15</v>
      </c>
      <c r="D101" s="67">
        <f>(F101*Settings!$C$2)+(G101*Settings!$C$3)+(H101*Settings!$C$4)+(I101*Settings!$C$5)+(J101*Settings!$C$6)+(M101*Settings!$C$9)+(N101*Settings!$C$10)+(O101*Settings!$C$11)+(P101*Settings!$C$12)+(Q101*Settings!$C$13)+(T101*Settings!$C$16)+(K101*Settings!$C$7)+(L101*Settings!$C$8)+(R101*Settings!$C$14)+(S101*Settings!$C$15)</f>
        <v>8.0309675513958432</v>
      </c>
      <c r="E101" s="67"/>
      <c r="F101" s="121">
        <f>(VLOOKUP($A101,Hitters!$A1:$R401,4,FALSE)-AVERAGE(Rankings!M2:M651))/STDEV(Rankings!M2:M651)</f>
        <v>1.4581812792998612</v>
      </c>
      <c r="G101" s="121">
        <f>(VLOOKUP($A101,Hitters!$A1:$R401,5,FALSE)-AVERAGE(Rankings!N2:N651))/STDEV(Rankings!N2:N651)</f>
        <v>1.8363508782878541</v>
      </c>
      <c r="H101" s="121">
        <f>(VLOOKUP($A101,Hitters!$A1:$R401,6,FALSE)-AVERAGE(Rankings!O2:O651))/STDEV(Rankings!O2:O651)</f>
        <v>1.9928191251712442</v>
      </c>
      <c r="I101" s="121">
        <f>(VLOOKUP($A101,Hitters!$A1:$R401,7,FALSE)-AVERAGE(Rankings!P2:P651))/STDEV(Rankings!P2:P651)</f>
        <v>2.230291417587936</v>
      </c>
      <c r="J101" s="121">
        <f>(VLOOKUP($A101,Hitters!$A1:$R401,8,FALSE)-AVERAGE(Rankings!Q2:Q651))/STDEV(Rankings!Q2:Q651)</f>
        <v>0.49346871999260206</v>
      </c>
      <c r="K101" s="121">
        <f>(VLOOKUP($A101,Hitters!$A1:$R401,9,FALSE)-AVERAGE(Rankings!R2:R651))/STDEV(Rankings!R2:R651)</f>
        <v>1.4780374103562057</v>
      </c>
      <c r="L101" s="121">
        <f>(VLOOKUP($A101,Hitters!$A1:$R401,10,FALSE)-AVERAGE(Rankings!S2:S651))/STDEV(Rankings!S2:S651)</f>
        <v>1.5448601066123102</v>
      </c>
      <c r="M101" s="121">
        <f>(VLOOKUP($A101,Hitters!$A1:$R401,11,FALSE)-AVERAGE(Rankings!T2:T651))/STDEV(Rankings!T2:T651)</f>
        <v>1.7012266866090879</v>
      </c>
      <c r="N101" s="121">
        <f>(VLOOKUP($A101,Hitters!$A1:$R401,12,FALSE)-AVERAGE(Rankings!U2:U651))/STDEV(Rankings!U2:U651)</f>
        <v>1.6232013605190887</v>
      </c>
      <c r="O101" s="121">
        <f>(VLOOKUP($A101,Hitters!$A1:$R401,13,FALSE)-AVERAGE(Rankings!V2:V651))/STDEV(Rankings!V2:V651)</f>
        <v>-0.20321652073526184</v>
      </c>
      <c r="P101" s="121">
        <f>(VLOOKUP($A101,Hitters!$A1:$R401,14,FALSE)-AVERAGE(Rankings!W2:W651))/STDEV(Rankings!W2:W651)</f>
        <v>1.4392899753679085</v>
      </c>
      <c r="Q101" s="121">
        <f>(VLOOKUP($A101,Hitters!$A1:$R401,15,FALSE)-AVERAGE(Rankings!X2:X651))/STDEV(Rankings!X2:X651)</f>
        <v>0.7205857595325964</v>
      </c>
      <c r="R101" s="121">
        <f>(VLOOKUP($A101,Hitters!$A1:$R401,16,FALSE)-AVERAGE(Rankings!Y2:Y651))/STDEV(Rankings!Y2:Y651)</f>
        <v>1.9170943841905626</v>
      </c>
      <c r="S101" s="121">
        <f>(VLOOKUP($A101,Hitters!$A1:$R401,17,FALSE)-AVERAGE(Rankings!Z2:Z651))/STDEV(Rankings!Z2:Z651)</f>
        <v>2.0018635408270113</v>
      </c>
      <c r="T101" s="121">
        <f>IFERROR((VLOOKUP($A101,Hitters!$A1:$R401,18,FALSE)-AVERAGE(Rankings!AA2:AA651))/STDEV(Rankings!AA2:AA651),0)</f>
        <v>0</v>
      </c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</row>
    <row r="102" spans="1:37" ht="18.600000000000001" customHeight="1">
      <c r="A102" s="25" t="s">
        <v>104</v>
      </c>
      <c r="B102" s="26" t="s">
        <v>105</v>
      </c>
      <c r="C102" s="123" t="s">
        <v>15</v>
      </c>
      <c r="D102" s="67">
        <f>(F102*Settings!$C$2)+(G102*Settings!$C$3)+(H102*Settings!$C$4)+(I102*Settings!$C$5)+(J102*Settings!$C$6)+(M102*Settings!$C$9)+(N102*Settings!$C$10)+(O102*Settings!$C$11)+(P102*Settings!$C$12)+(Q102*Settings!$C$13)+(T102*Settings!$C$16)+(K102*Settings!$C$7)+(L102*Settings!$C$8)+(R102*Settings!$C$14)+(S102*Settings!$C$15)</f>
        <v>7.2568634112378341</v>
      </c>
      <c r="E102" s="67"/>
      <c r="F102" s="121">
        <f>(VLOOKUP($A102,Hitters!$A1:$R401,4,FALSE)-AVERAGE(Rankings!M2:M651))/STDEV(Rankings!M2:M651)</f>
        <v>1.5365342119836141</v>
      </c>
      <c r="G102" s="121">
        <f>(VLOOKUP($A102,Hitters!$A1:$R401,5,FALSE)-AVERAGE(Rankings!N2:N651))/STDEV(Rankings!N2:N651)</f>
        <v>1.8135829488444373</v>
      </c>
      <c r="H102" s="121">
        <f>(VLOOKUP($A102,Hitters!$A1:$R401,6,FALSE)-AVERAGE(Rankings!O2:O651))/STDEV(Rankings!O2:O651)</f>
        <v>2.0930673402136875</v>
      </c>
      <c r="I102" s="121">
        <f>(VLOOKUP($A102,Hitters!$A1:$R401,7,FALSE)-AVERAGE(Rankings!P2:P651))/STDEV(Rankings!P2:P651)</f>
        <v>2.1408831845519196</v>
      </c>
      <c r="J102" s="121">
        <f>(VLOOKUP($A102,Hitters!$A1:$R401,8,FALSE)-AVERAGE(Rankings!Q2:Q651))/STDEV(Rankings!Q2:Q651)</f>
        <v>-0.39001491924954534</v>
      </c>
      <c r="K102" s="121">
        <f>(VLOOKUP($A102,Hitters!$A1:$R401,9,FALSE)-AVERAGE(Rankings!R2:R651))/STDEV(Rankings!R2:R651)</f>
        <v>1.5993448568773343</v>
      </c>
      <c r="L102" s="121">
        <f>(VLOOKUP($A102,Hitters!$A1:$R401,10,FALSE)-AVERAGE(Rankings!S2:S651))/STDEV(Rankings!S2:S651)</f>
        <v>1.1836191682167889</v>
      </c>
      <c r="M102" s="121">
        <f>(VLOOKUP($A102,Hitters!$A1:$R401,11,FALSE)-AVERAGE(Rankings!T2:T651))/STDEV(Rankings!T2:T651)</f>
        <v>1.8167820295831258</v>
      </c>
      <c r="N102" s="121">
        <f>(VLOOKUP($A102,Hitters!$A1:$R401,12,FALSE)-AVERAGE(Rankings!U2:U651))/STDEV(Rankings!U2:U651)</f>
        <v>2.3077611169676895</v>
      </c>
      <c r="O102" s="121">
        <f>(VLOOKUP($A102,Hitters!$A1:$R401,13,FALSE)-AVERAGE(Rankings!V2:V651))/STDEV(Rankings!V2:V651)</f>
        <v>-0.12025138956230989</v>
      </c>
      <c r="P102" s="121">
        <f>(VLOOKUP($A102,Hitters!$A1:$R401,14,FALSE)-AVERAGE(Rankings!W2:W651))/STDEV(Rankings!W2:W651)</f>
        <v>0.90988666085130665</v>
      </c>
      <c r="Q102" s="121">
        <f>(VLOOKUP($A102,Hitters!$A1:$R401,15,FALSE)-AVERAGE(Rankings!X2:X651))/STDEV(Rankings!X2:X651)</f>
        <v>1.0539264260083152</v>
      </c>
      <c r="R102" s="121">
        <f>(VLOOKUP($A102,Hitters!$A1:$R401,16,FALSE)-AVERAGE(Rankings!Y2:Y651))/STDEV(Rankings!Y2:Y651)</f>
        <v>2.1991886189988983</v>
      </c>
      <c r="S102" s="121">
        <f>(VLOOKUP($A102,Hitters!$A1:$R401,17,FALSE)-AVERAGE(Rankings!Z2:Z651))/STDEV(Rankings!Z2:Z651)</f>
        <v>2.0654067239333216</v>
      </c>
      <c r="T102" s="121">
        <f>IFERROR((VLOOKUP($A102,Hitters!$A1:$R401,18,FALSE)-AVERAGE(Rankings!AA2:AA651))/STDEV(Rankings!AA2:AA651),0)</f>
        <v>0</v>
      </c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</row>
    <row r="103" spans="1:37" ht="18.600000000000001" customHeight="1">
      <c r="A103" s="25" t="s">
        <v>108</v>
      </c>
      <c r="B103" s="26" t="s">
        <v>74</v>
      </c>
      <c r="C103" s="123" t="s">
        <v>15</v>
      </c>
      <c r="D103" s="67">
        <f>(F103*Settings!$C$2)+(G103*Settings!$C$3)+(H103*Settings!$C$4)+(I103*Settings!$C$5)+(J103*Settings!$C$6)+(M103*Settings!$C$9)+(N103*Settings!$C$10)+(O103*Settings!$C$11)+(P103*Settings!$C$12)+(Q103*Settings!$C$13)+(T103*Settings!$C$16)+(K103*Settings!$C$7)+(L103*Settings!$C$8)+(R103*Settings!$C$14)+(S103*Settings!$C$15)</f>
        <v>6.9812678518946489</v>
      </c>
      <c r="E103" s="67"/>
      <c r="F103" s="121">
        <f>(VLOOKUP($A103,Hitters!$A1:$R401,4,FALSE)-AVERAGE(Rankings!M2:M651))/STDEV(Rankings!M2:M651)</f>
        <v>1.5574283273659504</v>
      </c>
      <c r="G103" s="121">
        <f>(VLOOKUP($A103,Hitters!$A1:$R401,5,FALSE)-AVERAGE(Rankings!N2:N651))/STDEV(Rankings!N2:N651)</f>
        <v>1.7134040592934034</v>
      </c>
      <c r="H103" s="121">
        <f>(VLOOKUP($A103,Hitters!$A1:$R401,6,FALSE)-AVERAGE(Rankings!O2:O651))/STDEV(Rankings!O2:O651)</f>
        <v>2.3771039495006141</v>
      </c>
      <c r="I103" s="121">
        <f>(VLOOKUP($A103,Hitters!$A1:$R401,7,FALSE)-AVERAGE(Rankings!P2:P651))/STDEV(Rankings!P2:P651)</f>
        <v>2.2580388002542855</v>
      </c>
      <c r="J103" s="121">
        <f>(VLOOKUP($A103,Hitters!$A1:$R401,8,FALSE)-AVERAGE(Rankings!Q2:Q651))/STDEV(Rankings!Q2:Q651)</f>
        <v>-0.72634107737013687</v>
      </c>
      <c r="K103" s="121">
        <f>(VLOOKUP($A103,Hitters!$A1:$R401,9,FALSE)-AVERAGE(Rankings!R2:R651))/STDEV(Rankings!R2:R651)</f>
        <v>1.359062120216483</v>
      </c>
      <c r="L103" s="121">
        <f>(VLOOKUP($A103,Hitters!$A1:$R401,10,FALSE)-AVERAGE(Rankings!S2:S651))/STDEV(Rankings!S2:S651)</f>
        <v>0.96515522896179995</v>
      </c>
      <c r="M103" s="121">
        <f>(VLOOKUP($A103,Hitters!$A1:$R401,11,FALSE)-AVERAGE(Rankings!T2:T651))/STDEV(Rankings!T2:T651)</f>
        <v>1.7594593003912886</v>
      </c>
      <c r="N103" s="121">
        <f>(VLOOKUP($A103,Hitters!$A1:$R401,12,FALSE)-AVERAGE(Rankings!U2:U651))/STDEV(Rankings!U2:U651)</f>
        <v>1.6061936647066928</v>
      </c>
      <c r="O103" s="121">
        <f>(VLOOKUP($A103,Hitters!$A1:$R401,13,FALSE)-AVERAGE(Rankings!V2:V651))/STDEV(Rankings!V2:V651)</f>
        <v>0.21160913512949756</v>
      </c>
      <c r="P103" s="121">
        <f>(VLOOKUP($A103,Hitters!$A1:$R401,14,FALSE)-AVERAGE(Rankings!W2:W651))/STDEV(Rankings!W2:W651)</f>
        <v>0.8838808839978578</v>
      </c>
      <c r="Q103" s="121">
        <f>(VLOOKUP($A103,Hitters!$A1:$R401,15,FALSE)-AVERAGE(Rankings!X2:X651))/STDEV(Rankings!X2:X651)</f>
        <v>1.8609617237916345</v>
      </c>
      <c r="R103" s="121">
        <f>(VLOOKUP($A103,Hitters!$A1:$R401,16,FALSE)-AVERAGE(Rankings!Y2:Y651))/STDEV(Rankings!Y2:Y651)</f>
        <v>2.1458293463895641</v>
      </c>
      <c r="S103" s="121">
        <f>(VLOOKUP($A103,Hitters!$A1:$R401,17,FALSE)-AVERAGE(Rankings!Z2:Z651))/STDEV(Rankings!Z2:Z651)</f>
        <v>1.9408137857674734</v>
      </c>
      <c r="T103" s="121">
        <f>IFERROR((VLOOKUP($A103,Hitters!$A1:$R401,18,FALSE)-AVERAGE(Rankings!AA2:AA651))/STDEV(Rankings!AA2:AA651),0)</f>
        <v>0</v>
      </c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</row>
    <row r="104" spans="1:37" ht="18.600000000000001" customHeight="1">
      <c r="A104" s="25" t="s">
        <v>124</v>
      </c>
      <c r="B104" s="26" t="s">
        <v>125</v>
      </c>
      <c r="C104" s="123" t="s">
        <v>15</v>
      </c>
      <c r="D104" s="67">
        <f>(F104*Settings!$C$2)+(G104*Settings!$C$3)+(H104*Settings!$C$4)+(I104*Settings!$C$5)+(J104*Settings!$C$6)+(M104*Settings!$C$9)+(N104*Settings!$C$10)+(O104*Settings!$C$11)+(P104*Settings!$C$12)+(Q104*Settings!$C$13)+(T104*Settings!$C$16)+(K104*Settings!$C$7)+(L104*Settings!$C$8)+(R104*Settings!$C$14)+(S104*Settings!$C$15)</f>
        <v>6.1032903999868573</v>
      </c>
      <c r="E104" s="67"/>
      <c r="F104" s="121">
        <f>(VLOOKUP($A104,Hitters!$A1:$R401,4,FALSE)-AVERAGE(Rankings!M2:M651))/STDEV(Rankings!M2:M651)</f>
        <v>1.450345986031486</v>
      </c>
      <c r="G104" s="121">
        <f>(VLOOKUP($A104,Hitters!$A1:$R401,5,FALSE)-AVERAGE(Rankings!N2:N651))/STDEV(Rankings!N2:N651)</f>
        <v>1.2625990563137492</v>
      </c>
      <c r="H104" s="121">
        <f>(VLOOKUP($A104,Hitters!$A1:$R401,6,FALSE)-AVERAGE(Rankings!O2:O651))/STDEV(Rankings!O2:O651)</f>
        <v>1.8967479190889114</v>
      </c>
      <c r="I104" s="121">
        <f>(VLOOKUP($A104,Hitters!$A1:$R401,7,FALSE)-AVERAGE(Rankings!P2:P651))/STDEV(Rankings!P2:P651)</f>
        <v>2.2564972789950453</v>
      </c>
      <c r="J104" s="121">
        <f>(VLOOKUP($A104,Hitters!$A1:$R401,8,FALSE)-AVERAGE(Rankings!Q2:Q651))/STDEV(Rankings!Q2:Q651)</f>
        <v>-0.41511388627347051</v>
      </c>
      <c r="K104" s="121">
        <f>(VLOOKUP($A104,Hitters!$A1:$R401,9,FALSE)-AVERAGE(Rankings!R2:R651))/STDEV(Rankings!R2:R651)</f>
        <v>1.1025600318626212</v>
      </c>
      <c r="L104" s="121">
        <f>(VLOOKUP($A104,Hitters!$A1:$R401,10,FALSE)-AVERAGE(Rankings!S2:S651))/STDEV(Rankings!S2:S651)</f>
        <v>0.73051519600323378</v>
      </c>
      <c r="M104" s="121">
        <f>(VLOOKUP($A104,Hitters!$A1:$R401,11,FALSE)-AVERAGE(Rankings!T2:T651))/STDEV(Rankings!T2:T651)</f>
        <v>1.5747527285509175</v>
      </c>
      <c r="N104" s="121">
        <f>(VLOOKUP($A104,Hitters!$A1:$R401,12,FALSE)-AVERAGE(Rankings!U2:U651))/STDEV(Rankings!U2:U651)</f>
        <v>1.8145379384084515</v>
      </c>
      <c r="O104" s="121">
        <f>(VLOOKUP($A104,Hitters!$A1:$R401,13,FALSE)-AVERAGE(Rankings!V2:V651))/STDEV(Rankings!V2:V651)</f>
        <v>-0.14790643328662451</v>
      </c>
      <c r="P104" s="121">
        <f>(VLOOKUP($A104,Hitters!$A1:$R401,14,FALSE)-AVERAGE(Rankings!W2:W651))/STDEV(Rankings!W2:W651)</f>
        <v>0.77242755462594159</v>
      </c>
      <c r="Q104" s="121">
        <f>(VLOOKUP($A104,Hitters!$A1:$R401,15,FALSE)-AVERAGE(Rankings!X2:X651))/STDEV(Rankings!X2:X651)</f>
        <v>-0.32524621452718977</v>
      </c>
      <c r="R104" s="121">
        <f>(VLOOKUP($A104,Hitters!$A1:$R401,16,FALSE)-AVERAGE(Rankings!Y2:Y651))/STDEV(Rankings!Y2:Y651)</f>
        <v>1.7252967552251517</v>
      </c>
      <c r="S104" s="121">
        <f>(VLOOKUP($A104,Hitters!$A1:$R401,17,FALSE)-AVERAGE(Rankings!Z2:Z651))/STDEV(Rankings!Z2:Z651)</f>
        <v>1.5426027530234572</v>
      </c>
      <c r="T104" s="121">
        <f>IFERROR((VLOOKUP($A104,Hitters!$A1:$R401,18,FALSE)-AVERAGE(Rankings!AA2:AA651))/STDEV(Rankings!AA2:AA651),0)</f>
        <v>0</v>
      </c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</row>
    <row r="105" spans="1:37" ht="18.600000000000001" customHeight="1">
      <c r="A105" s="25" t="s">
        <v>187</v>
      </c>
      <c r="B105" s="26" t="s">
        <v>79</v>
      </c>
      <c r="C105" s="123" t="s">
        <v>15</v>
      </c>
      <c r="D105" s="67">
        <f>(F105*Settings!$C$2)+(G105*Settings!$C$3)+(H105*Settings!$C$4)+(I105*Settings!$C$5)+(J105*Settings!$C$6)+(M105*Settings!$C$9)+(N105*Settings!$C$10)+(O105*Settings!$C$11)+(P105*Settings!$C$12)+(Q105*Settings!$C$13)+(T105*Settings!$C$16)+(K105*Settings!$C$7)+(L105*Settings!$C$8)+(R105*Settings!$C$14)+(S105*Settings!$C$15)</f>
        <v>3.9467868740431689</v>
      </c>
      <c r="E105" s="67"/>
      <c r="F105" s="121">
        <f>(VLOOKUP($A105,Hitters!$A1:$R401,4,FALSE)-AVERAGE(Rankings!M2:M651))/STDEV(Rankings!M2:M651)</f>
        <v>1.0794754379950586</v>
      </c>
      <c r="G105" s="121">
        <f>(VLOOKUP($A105,Hitters!$A1:$R401,5,FALSE)-AVERAGE(Rankings!N2:N651))/STDEV(Rankings!N2:N651)</f>
        <v>1.4113495286774027</v>
      </c>
      <c r="H105" s="121">
        <f>(VLOOKUP($A105,Hitters!$A1:$R401,6,FALSE)-AVERAGE(Rankings!O2:O651))/STDEV(Rankings!O2:O651)</f>
        <v>0.95274389410589588</v>
      </c>
      <c r="I105" s="121">
        <f>(VLOOKUP($A105,Hitters!$A1:$R401,7,FALSE)-AVERAGE(Rankings!P2:P651))/STDEV(Rankings!P2:P651)</f>
        <v>1.5967261800396073</v>
      </c>
      <c r="J105" s="121">
        <f>(VLOOKUP($A105,Hitters!$A1:$R401,8,FALSE)-AVERAGE(Rankings!Q2:Q651))/STDEV(Rankings!Q2:Q651)</f>
        <v>-0.70124211034621176</v>
      </c>
      <c r="K105" s="121">
        <f>(VLOOKUP($A105,Hitters!$A1:$R401,9,FALSE)-AVERAGE(Rankings!R2:R651))/STDEV(Rankings!R2:R651)</f>
        <v>0.68720938156647449</v>
      </c>
      <c r="L105" s="121">
        <f>(VLOOKUP($A105,Hitters!$A1:$R401,10,FALSE)-AVERAGE(Rankings!S2:S651))/STDEV(Rankings!S2:S651)</f>
        <v>1.894769290646362</v>
      </c>
      <c r="M105" s="121">
        <f>(VLOOKUP($A105,Hitters!$A1:$R401,11,FALSE)-AVERAGE(Rankings!T2:T651))/STDEV(Rankings!T2:T651)</f>
        <v>1.1025226261610264</v>
      </c>
      <c r="N105" s="121">
        <f>(VLOOKUP($A105,Hitters!$A1:$R401,12,FALSE)-AVERAGE(Rankings!U2:U651))/STDEV(Rankings!U2:U651)</f>
        <v>1.7550110030650903</v>
      </c>
      <c r="O105" s="121">
        <f>(VLOOKUP($A105,Hitters!$A1:$R401,13,FALSE)-AVERAGE(Rankings!V2:V651))/STDEV(Rankings!V2:V651)</f>
        <v>-0.61804217660002114</v>
      </c>
      <c r="P105" s="121">
        <f>(VLOOKUP($A105,Hitters!$A1:$R401,14,FALSE)-AVERAGE(Rankings!W2:W651))/STDEV(Rankings!W2:W651)</f>
        <v>2.2900503895735369</v>
      </c>
      <c r="Q105" s="121">
        <f>(VLOOKUP($A105,Hitters!$A1:$R401,15,FALSE)-AVERAGE(Rankings!X2:X651))/STDEV(Rankings!X2:X651)</f>
        <v>-0.43538508970776146</v>
      </c>
      <c r="R105" s="121">
        <f>(VLOOKUP($A105,Hitters!$A1:$R401,16,FALSE)-AVERAGE(Rankings!Y2:Y651))/STDEV(Rankings!Y2:Y651)</f>
        <v>0.93085290248801533</v>
      </c>
      <c r="S105" s="121">
        <f>(VLOOKUP($A105,Hitters!$A1:$R401,17,FALSE)-AVERAGE(Rankings!Z2:Z651))/STDEV(Rankings!Z2:Z651)</f>
        <v>1.421317580244019</v>
      </c>
      <c r="T105" s="121">
        <f>IFERROR((VLOOKUP($A105,Hitters!$A1:$R401,18,FALSE)-AVERAGE(Rankings!AA2:AA651))/STDEV(Rankings!AA2:AA651),0)</f>
        <v>0</v>
      </c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</row>
    <row r="106" spans="1:37" ht="18.600000000000001" customHeight="1">
      <c r="A106" s="25" t="s">
        <v>205</v>
      </c>
      <c r="B106" s="26" t="s">
        <v>178</v>
      </c>
      <c r="C106" s="123" t="s">
        <v>15</v>
      </c>
      <c r="D106" s="67">
        <f>(F106*Settings!$C$2)+(G106*Settings!$C$3)+(H106*Settings!$C$4)+(I106*Settings!$C$5)+(J106*Settings!$C$6)+(M106*Settings!$C$9)+(N106*Settings!$C$10)+(O106*Settings!$C$11)+(P106*Settings!$C$12)+(Q106*Settings!$C$13)+(T106*Settings!$C$16)+(K106*Settings!$C$7)+(L106*Settings!$C$8)+(R106*Settings!$C$14)+(S106*Settings!$C$15)</f>
        <v>3.221401592026063</v>
      </c>
      <c r="E106" s="67"/>
      <c r="F106" s="121">
        <f>(VLOOKUP($A106,Hitters!$A1:$R401,4,FALSE)-AVERAGE(Rankings!M2:M651))/STDEV(Rankings!M2:M651)</f>
        <v>1.1160401399141386</v>
      </c>
      <c r="G106" s="121">
        <f>(VLOOKUP($A106,Hitters!$A1:$R401,5,FALSE)-AVERAGE(Rankings!N2:N651))/STDEV(Rankings!N2:N651)</f>
        <v>0.98331245514116605</v>
      </c>
      <c r="H106" s="121">
        <f>(VLOOKUP($A106,Hitters!$A1:$R401,6,FALSE)-AVERAGE(Rankings!O2:O651))/STDEV(Rankings!O2:O651)</f>
        <v>0.96945192994631146</v>
      </c>
      <c r="I106" s="121">
        <f>(VLOOKUP($A106,Hitters!$A1:$R401,7,FALSE)-AVERAGE(Rankings!P2:P651))/STDEV(Rankings!P2:P651)</f>
        <v>1.1943891313775299</v>
      </c>
      <c r="J106" s="121">
        <f>(VLOOKUP($A106,Hitters!$A1:$R401,8,FALSE)-AVERAGE(Rankings!Q2:Q651))/STDEV(Rankings!Q2:Q651)</f>
        <v>3.6667520157173561E-2</v>
      </c>
      <c r="K106" s="121">
        <f>(VLOOKUP($A106,Hitters!$A1:$R401,9,FALSE)-AVERAGE(Rankings!R2:R651))/STDEV(Rankings!R2:R651)</f>
        <v>3.7580555403882124E-2</v>
      </c>
      <c r="L106" s="121">
        <f>(VLOOKUP($A106,Hitters!$A1:$R401,10,FALSE)-AVERAGE(Rankings!S2:S651))/STDEV(Rankings!S2:S651)</f>
        <v>0.47624177447274268</v>
      </c>
      <c r="M106" s="121">
        <f>(VLOOKUP($A106,Hitters!$A1:$R401,11,FALSE)-AVERAGE(Rankings!T2:T651))/STDEV(Rankings!T2:T651)</f>
        <v>0.94602247662141814</v>
      </c>
      <c r="N106" s="121">
        <f>(VLOOKUP($A106,Hitters!$A1:$R401,12,FALSE)-AVERAGE(Rankings!U2:U651))/STDEV(Rankings!U2:U651)</f>
        <v>0.70903771060324072</v>
      </c>
      <c r="O106" s="121">
        <f>(VLOOKUP($A106,Hitters!$A1:$R401,13,FALSE)-AVERAGE(Rankings!V2:V651))/STDEV(Rankings!V2:V651)</f>
        <v>0.40519444119971604</v>
      </c>
      <c r="P106" s="121">
        <f>(VLOOKUP($A106,Hitters!$A1:$R401,14,FALSE)-AVERAGE(Rankings!W2:W651))/STDEV(Rankings!W2:W651)</f>
        <v>1.2126682056450104</v>
      </c>
      <c r="Q106" s="121">
        <f>(VLOOKUP($A106,Hitters!$A1:$R401,15,FALSE)-AVERAGE(Rankings!X2:X651))/STDEV(Rankings!X2:X651)</f>
        <v>1.7820126185737015</v>
      </c>
      <c r="R106" s="121">
        <f>(VLOOKUP($A106,Hitters!$A1:$R401,16,FALSE)-AVERAGE(Rankings!Y2:Y651))/STDEV(Rankings!Y2:Y651)</f>
        <v>0.3604453616952083</v>
      </c>
      <c r="S106" s="121">
        <f>(VLOOKUP($A106,Hitters!$A1:$R401,17,FALSE)-AVERAGE(Rankings!Z2:Z651))/STDEV(Rankings!Z2:Z651)</f>
        <v>0.44930742814811314</v>
      </c>
      <c r="T106" s="121">
        <f>IFERROR((VLOOKUP($A106,Hitters!$A1:$R401,18,FALSE)-AVERAGE(Rankings!AA2:AA651))/STDEV(Rankings!AA2:AA651),0)</f>
        <v>0</v>
      </c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</row>
    <row r="107" spans="1:37" ht="18.600000000000001" customHeight="1">
      <c r="A107" s="25" t="s">
        <v>215</v>
      </c>
      <c r="B107" s="26" t="s">
        <v>101</v>
      </c>
      <c r="C107" s="123" t="s">
        <v>15</v>
      </c>
      <c r="D107" s="67">
        <f>(F107*Settings!$C$2)+(G107*Settings!$C$3)+(H107*Settings!$C$4)+(I107*Settings!$C$5)+(J107*Settings!$C$6)+(M107*Settings!$C$9)+(N107*Settings!$C$10)+(O107*Settings!$C$11)+(P107*Settings!$C$12)+(Q107*Settings!$C$13)+(T107*Settings!$C$16)+(K107*Settings!$C$7)+(L107*Settings!$C$8)+(R107*Settings!$C$14)+(S107*Settings!$C$15)</f>
        <v>2.951055115117712</v>
      </c>
      <c r="E107" s="67"/>
      <c r="F107" s="121">
        <f>(VLOOKUP($A107,Hitters!$A1:$R401,4,FALSE)-AVERAGE(Rankings!M2:M651))/STDEV(Rankings!M2:M651)</f>
        <v>1.0507460293443469</v>
      </c>
      <c r="G107" s="121">
        <f>(VLOOKUP($A107,Hitters!$A1:$R401,5,FALSE)-AVERAGE(Rankings!N2:N651))/STDEV(Rankings!N2:N651)</f>
        <v>0.6220613079722862</v>
      </c>
      <c r="H107" s="121">
        <f>(VLOOKUP($A107,Hitters!$A1:$R401,6,FALSE)-AVERAGE(Rankings!O2:O651))/STDEV(Rankings!O2:O651)</f>
        <v>0.57681308769673389</v>
      </c>
      <c r="I107" s="121">
        <f>(VLOOKUP($A107,Hitters!$A1:$R401,7,FALSE)-AVERAGE(Rankings!P2:P651))/STDEV(Rankings!P2:P651)</f>
        <v>1.1620171849334546</v>
      </c>
      <c r="J107" s="121">
        <f>(VLOOKUP($A107,Hitters!$A1:$R401,8,FALSE)-AVERAGE(Rankings!Q2:Q651))/STDEV(Rankings!Q2:Q651)</f>
        <v>0.27259781018206597</v>
      </c>
      <c r="K107" s="121">
        <f>(VLOOKUP($A107,Hitters!$A1:$R401,9,FALSE)-AVERAGE(Rankings!R2:R651))/STDEV(Rankings!R2:R651)</f>
        <v>0.31756572433317104</v>
      </c>
      <c r="L107" s="121">
        <f>(VLOOKUP($A107,Hitters!$A1:$R401,10,FALSE)-AVERAGE(Rankings!S2:S651))/STDEV(Rankings!S2:S651)</f>
        <v>1.0787895692200171</v>
      </c>
      <c r="M107" s="121">
        <f>(VLOOKUP($A107,Hitters!$A1:$R401,11,FALSE)-AVERAGE(Rankings!T2:T651))/STDEV(Rankings!T2:T651)</f>
        <v>0.9696794759704116</v>
      </c>
      <c r="N107" s="121">
        <f>(VLOOKUP($A107,Hitters!$A1:$R401,12,FALSE)-AVERAGE(Rankings!U2:U651))/STDEV(Rankings!U2:U651)</f>
        <v>1.2915512921775272</v>
      </c>
      <c r="O107" s="121">
        <f>(VLOOKUP($A107,Hitters!$A1:$R401,13,FALSE)-AVERAGE(Rankings!V2:V651))/STDEV(Rankings!V2:V651)</f>
        <v>2.2304273270046573</v>
      </c>
      <c r="P107" s="121">
        <f>(VLOOKUP($A107,Hitters!$A1:$R401,14,FALSE)-AVERAGE(Rankings!W2:W651))/STDEV(Rankings!W2:W651)</f>
        <v>1.6101850804048488</v>
      </c>
      <c r="Q107" s="121">
        <f>(VLOOKUP($A107,Hitters!$A1:$R401,15,FALSE)-AVERAGE(Rankings!X2:X651))/STDEV(Rankings!X2:X651)</f>
        <v>1.6358105718738247</v>
      </c>
      <c r="R107" s="121">
        <f>(VLOOKUP($A107,Hitters!$A1:$R401,16,FALSE)-AVERAGE(Rankings!Y2:Y651))/STDEV(Rankings!Y2:Y651)</f>
        <v>0.53740902162078585</v>
      </c>
      <c r="S107" s="121">
        <f>(VLOOKUP($A107,Hitters!$A1:$R401,17,FALSE)-AVERAGE(Rankings!Z2:Z651))/STDEV(Rankings!Z2:Z651)</f>
        <v>0.81463506133141739</v>
      </c>
      <c r="T107" s="121">
        <f>IFERROR((VLOOKUP($A107,Hitters!$A1:$R401,18,FALSE)-AVERAGE(Rankings!AA2:AA651))/STDEV(Rankings!AA2:AA651),0)</f>
        <v>0</v>
      </c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</row>
    <row r="108" spans="1:37" ht="18.600000000000001" customHeight="1">
      <c r="A108" s="25" t="s">
        <v>244</v>
      </c>
      <c r="B108" s="26" t="s">
        <v>95</v>
      </c>
      <c r="C108" s="123" t="s">
        <v>15</v>
      </c>
      <c r="D108" s="67">
        <f>(F108*Settings!$C$2)+(G108*Settings!$C$3)+(H108*Settings!$C$4)+(I108*Settings!$C$5)+(J108*Settings!$C$6)+(M108*Settings!$C$9)+(N108*Settings!$C$10)+(O108*Settings!$C$11)+(P108*Settings!$C$12)+(Q108*Settings!$C$13)+(T108*Settings!$C$16)+(K108*Settings!$C$7)+(L108*Settings!$C$8)+(R108*Settings!$C$14)+(S108*Settings!$C$15)</f>
        <v>2.3317766275384422</v>
      </c>
      <c r="E108" s="67"/>
      <c r="F108" s="121">
        <f>(VLOOKUP($A108,Hitters!$A1:$R401,4,FALSE)-AVERAGE(Rankings!M2:M651))/STDEV(Rankings!M2:M651)</f>
        <v>1.1865577793295161</v>
      </c>
      <c r="G108" s="121">
        <f>(VLOOKUP($A108,Hitters!$A1:$R401,5,FALSE)-AVERAGE(Rankings!N2:N651))/STDEV(Rankings!N2:N651)</f>
        <v>1.1472415471337674</v>
      </c>
      <c r="H108" s="121">
        <f>(VLOOKUP($A108,Hitters!$A1:$R401,6,FALSE)-AVERAGE(Rankings!O2:O651))/STDEV(Rankings!O2:O651)</f>
        <v>1.6085343008418871</v>
      </c>
      <c r="I108" s="121">
        <f>(VLOOKUP($A108,Hitters!$A1:$R401,7,FALSE)-AVERAGE(Rankings!P2:P651))/STDEV(Rankings!P2:P651)</f>
        <v>1.3839962462642563</v>
      </c>
      <c r="J108" s="121">
        <f>(VLOOKUP($A108,Hitters!$A1:$R401,8,FALSE)-AVERAGE(Rankings!Q2:Q651))/STDEV(Rankings!Q2:Q651)</f>
        <v>-0.55064830820266375</v>
      </c>
      <c r="K108" s="121">
        <f>(VLOOKUP($A108,Hitters!$A1:$R401,9,FALSE)-AVERAGE(Rankings!R2:R651))/STDEV(Rankings!R2:R651)</f>
        <v>-1.2573471584988052</v>
      </c>
      <c r="L108" s="121">
        <f>(VLOOKUP($A108,Hitters!$A1:$R401,10,FALSE)-AVERAGE(Rankings!S2:S651))/STDEV(Rankings!S2:S651)</f>
        <v>-0.17369082422865581</v>
      </c>
      <c r="M108" s="121">
        <f>(VLOOKUP($A108,Hitters!$A1:$R401,11,FALSE)-AVERAGE(Rankings!T2:T651))/STDEV(Rankings!T2:T651)</f>
        <v>0.62210356245801512</v>
      </c>
      <c r="N108" s="121">
        <f>(VLOOKUP($A108,Hitters!$A1:$R401,12,FALSE)-AVERAGE(Rankings!U2:U651))/STDEV(Rankings!U2:U651)</f>
        <v>0.76856464594660223</v>
      </c>
      <c r="O108" s="121">
        <f>(VLOOKUP($A108,Hitters!$A1:$R401,13,FALSE)-AVERAGE(Rankings!V2:V651))/STDEV(Rankings!V2:V651)</f>
        <v>0.48815957237266766</v>
      </c>
      <c r="P108" s="121">
        <f>(VLOOKUP($A108,Hitters!$A1:$R401,14,FALSE)-AVERAGE(Rankings!W2:W651))/STDEV(Rankings!W2:W651)</f>
        <v>1.6603390786222105</v>
      </c>
      <c r="Q108" s="121">
        <f>(VLOOKUP($A108,Hitters!$A1:$R401,15,FALSE)-AVERAGE(Rankings!X2:X651))/STDEV(Rankings!X2:X651)</f>
        <v>2.5266683764317506</v>
      </c>
      <c r="R108" s="121">
        <f>(VLOOKUP($A108,Hitters!$A1:$R401,16,FALSE)-AVERAGE(Rankings!Y2:Y651))/STDEV(Rankings!Y2:Y651)</f>
        <v>0.36963306174695049</v>
      </c>
      <c r="S108" s="121">
        <f>(VLOOKUP($A108,Hitters!$A1:$R401,17,FALSE)-AVERAGE(Rankings!Z2:Z651))/STDEV(Rankings!Z2:Z651)</f>
        <v>0.20088130265010085</v>
      </c>
      <c r="T108" s="121">
        <f>IFERROR((VLOOKUP($A108,Hitters!$A1:$R401,18,FALSE)-AVERAGE(Rankings!AA2:AA651))/STDEV(Rankings!AA2:AA651),0)</f>
        <v>0</v>
      </c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</row>
    <row r="109" spans="1:37" ht="18.600000000000001" customHeight="1">
      <c r="A109" s="25" t="s">
        <v>250</v>
      </c>
      <c r="B109" s="26" t="s">
        <v>105</v>
      </c>
      <c r="C109" s="123" t="s">
        <v>15</v>
      </c>
      <c r="D109" s="67">
        <f>(F109*Settings!$C$2)+(G109*Settings!$C$3)+(H109*Settings!$C$4)+(I109*Settings!$C$5)+(J109*Settings!$C$6)+(M109*Settings!$C$9)+(N109*Settings!$C$10)+(O109*Settings!$C$11)+(P109*Settings!$C$12)+(Q109*Settings!$C$13)+(T109*Settings!$C$16)+(K109*Settings!$C$7)+(L109*Settings!$C$8)+(R109*Settings!$C$14)+(S109*Settings!$C$15)</f>
        <v>2.165111725784798</v>
      </c>
      <c r="E109" s="67"/>
      <c r="F109" s="121">
        <f>(VLOOKUP($A109,Hitters!$A1:$R401,4,FALSE)-AVERAGE(Rankings!M2:M651))/STDEV(Rankings!M2:M651)</f>
        <v>0.67465195246233378</v>
      </c>
      <c r="G109" s="121">
        <f>(VLOOKUP($A109,Hitters!$A1:$R401,5,FALSE)-AVERAGE(Rankings!N2:N651))/STDEV(Rankings!N2:N651)</f>
        <v>0.55831110553071939</v>
      </c>
      <c r="H109" s="121">
        <f>(VLOOKUP($A109,Hitters!$A1:$R401,6,FALSE)-AVERAGE(Rankings!O2:O651))/STDEV(Rankings!O2:O651)</f>
        <v>6.7217994564322758E-2</v>
      </c>
      <c r="I109" s="121">
        <f>(VLOOKUP($A109,Hitters!$A1:$R401,7,FALSE)-AVERAGE(Rankings!P2:P651))/STDEV(Rankings!P2:P651)</f>
        <v>0.89687552834388851</v>
      </c>
      <c r="J109" s="121">
        <f>(VLOOKUP($A109,Hitters!$A1:$R401,8,FALSE)-AVERAGE(Rankings!Q2:Q651))/STDEV(Rankings!Q2:Q651)</f>
        <v>-0.54562851479787933</v>
      </c>
      <c r="K109" s="121">
        <f>(VLOOKUP($A109,Hitters!$A1:$R401,9,FALSE)-AVERAGE(Rankings!R2:R651))/STDEV(Rankings!R2:R651)</f>
        <v>1.1883356121437467</v>
      </c>
      <c r="L109" s="121">
        <f>(VLOOKUP($A109,Hitters!$A1:$R401,10,FALSE)-AVERAGE(Rankings!S2:S651))/STDEV(Rankings!S2:S651)</f>
        <v>1.1542942083073726</v>
      </c>
      <c r="M109" s="121">
        <f>(VLOOKUP($A109,Hitters!$A1:$R401,11,FALSE)-AVERAGE(Rankings!T2:T651))/STDEV(Rankings!T2:T651)</f>
        <v>0.86140320971918294</v>
      </c>
      <c r="N109" s="121">
        <f>(VLOOKUP($A109,Hitters!$A1:$R401,12,FALSE)-AVERAGE(Rankings!U2:U651))/STDEV(Rankings!U2:U651)</f>
        <v>1.0619473987102919</v>
      </c>
      <c r="O109" s="121">
        <f>(VLOOKUP($A109,Hitters!$A1:$R401,13,FALSE)-AVERAGE(Rankings!V2:V651))/STDEV(Rankings!V2:V651)</f>
        <v>-0.89459261384319366</v>
      </c>
      <c r="P109" s="121">
        <f>(VLOOKUP($A109,Hitters!$A1:$R401,14,FALSE)-AVERAGE(Rankings!W2:W651))/STDEV(Rankings!W2:W651)</f>
        <v>0.64797133682730346</v>
      </c>
      <c r="Q109" s="121">
        <f>(VLOOKUP($A109,Hitters!$A1:$R401,15,FALSE)-AVERAGE(Rankings!X2:X651))/STDEV(Rankings!X2:X651)</f>
        <v>-0.11179122634536941</v>
      </c>
      <c r="R109" s="121">
        <f>(VLOOKUP($A109,Hitters!$A1:$R401,16,FALSE)-AVERAGE(Rankings!Y2:Y651))/STDEV(Rankings!Y2:Y651)</f>
        <v>0.32377165694013482</v>
      </c>
      <c r="S109" s="121">
        <f>(VLOOKUP($A109,Hitters!$A1:$R401,17,FALSE)-AVERAGE(Rankings!Z2:Z651))/STDEV(Rankings!Z2:Z651)</f>
        <v>0.68876395701582949</v>
      </c>
      <c r="T109" s="121">
        <f>IFERROR((VLOOKUP($A109,Hitters!$A1:$R401,18,FALSE)-AVERAGE(Rankings!AA2:AA651))/STDEV(Rankings!AA2:AA651),0)</f>
        <v>0</v>
      </c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</row>
    <row r="110" spans="1:37" ht="18.600000000000001" customHeight="1">
      <c r="A110" s="25" t="s">
        <v>230</v>
      </c>
      <c r="B110" s="26" t="s">
        <v>139</v>
      </c>
      <c r="C110" s="123" t="s">
        <v>15</v>
      </c>
      <c r="D110" s="67">
        <f>(F110*Settings!$C$2)+(G110*Settings!$C$3)+(H110*Settings!$C$4)+(I110*Settings!$C$5)+(J110*Settings!$C$6)+(M110*Settings!$C$9)+(N110*Settings!$C$10)+(O110*Settings!$C$11)+(P110*Settings!$C$12)+(Q110*Settings!$C$13)+(T110*Settings!$C$16)+(K110*Settings!$C$7)+(L110*Settings!$C$8)+(R110*Settings!$C$14)+(S110*Settings!$C$15)</f>
        <v>2.6214896625847972</v>
      </c>
      <c r="E110" s="67"/>
      <c r="F110" s="121">
        <f>(VLOOKUP($A110,Hitters!$A1:$R401,4,FALSE)-AVERAGE(Rankings!M2:M651))/STDEV(Rankings!M2:M651)</f>
        <v>1.0820872024178481</v>
      </c>
      <c r="G110" s="121">
        <f>(VLOOKUP($A110,Hitters!$A1:$R401,5,FALSE)-AVERAGE(Rankings!N2:N651))/STDEV(Rankings!N2:N651)</f>
        <v>0.66911502882201301</v>
      </c>
      <c r="H110" s="121">
        <f>(VLOOKUP($A110,Hitters!$A1:$R401,6,FALSE)-AVERAGE(Rankings!O2:O651))/STDEV(Rankings!O2:O651)</f>
        <v>-0.40478401792718477</v>
      </c>
      <c r="I110" s="121">
        <f>(VLOOKUP($A110,Hitters!$A1:$R401,7,FALSE)-AVERAGE(Rankings!P2:P651))/STDEV(Rankings!P2:P651)</f>
        <v>0.27101789709176988</v>
      </c>
      <c r="J110" s="121">
        <f>(VLOOKUP($A110,Hitters!$A1:$R401,8,FALSE)-AVERAGE(Rankings!Q2:Q651))/STDEV(Rankings!Q2:Q651)</f>
        <v>1.6078628558548533</v>
      </c>
      <c r="K110" s="121">
        <f>(VLOOKUP($A110,Hitters!$A1:$R401,9,FALSE)-AVERAGE(Rankings!R2:R651))/STDEV(Rankings!R2:R651)</f>
        <v>0.4782778987433457</v>
      </c>
      <c r="L110" s="121">
        <f>(VLOOKUP($A110,Hitters!$A1:$R401,10,FALSE)-AVERAGE(Rankings!S2:S651))/STDEV(Rankings!S2:S651)</f>
        <v>0.37230477965223557</v>
      </c>
      <c r="M110" s="121">
        <f>(VLOOKUP($A110,Hitters!$A1:$R401,11,FALSE)-AVERAGE(Rankings!T2:T651))/STDEV(Rankings!T2:T651)</f>
        <v>1.0442900123788521</v>
      </c>
      <c r="N110" s="121">
        <f>(VLOOKUP($A110,Hitters!$A1:$R401,12,FALSE)-AVERAGE(Rankings!U2:U651))/STDEV(Rankings!U2:U651)</f>
        <v>1.1087185621943496</v>
      </c>
      <c r="O110" s="121">
        <f>(VLOOKUP($A110,Hitters!$A1:$R401,13,FALSE)-AVERAGE(Rankings!V2:V651))/STDEV(Rankings!V2:V651)</f>
        <v>1.4837411464480903</v>
      </c>
      <c r="P110" s="121">
        <f>(VLOOKUP($A110,Hitters!$A1:$R401,14,FALSE)-AVERAGE(Rankings!W2:W651))/STDEV(Rankings!W2:W651)</f>
        <v>0.6832648911284086</v>
      </c>
      <c r="Q110" s="121">
        <f>(VLOOKUP($A110,Hitters!$A1:$R401,15,FALSE)-AVERAGE(Rankings!X2:X651))/STDEV(Rankings!X2:X651)</f>
        <v>0.88725609277045592</v>
      </c>
      <c r="R110" s="121">
        <f>(VLOOKUP($A110,Hitters!$A1:$R401,16,FALSE)-AVERAGE(Rankings!Y2:Y651))/STDEV(Rankings!Y2:Y651)</f>
        <v>-0.58508799073913653</v>
      </c>
      <c r="S110" s="121">
        <f>(VLOOKUP($A110,Hitters!$A1:$R401,17,FALSE)-AVERAGE(Rankings!Z2:Z651))/STDEV(Rankings!Z2:Z651)</f>
        <v>-0.27975210652442073</v>
      </c>
      <c r="T110" s="121">
        <f>IFERROR((VLOOKUP($A110,Hitters!$A1:$R401,18,FALSE)-AVERAGE(Rankings!AA2:AA651))/STDEV(Rankings!AA2:AA651),0)</f>
        <v>0</v>
      </c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</row>
    <row r="111" spans="1:37" ht="18.600000000000001" customHeight="1">
      <c r="A111" s="25" t="s">
        <v>251</v>
      </c>
      <c r="B111" s="26" t="s">
        <v>92</v>
      </c>
      <c r="C111" s="123" t="s">
        <v>15</v>
      </c>
      <c r="D111" s="67">
        <f>(F111*Settings!$C$2)+(G111*Settings!$C$3)+(H111*Settings!$C$4)+(I111*Settings!$C$5)+(J111*Settings!$C$6)+(M111*Settings!$C$9)+(N111*Settings!$C$10)+(O111*Settings!$C$11)+(P111*Settings!$C$12)+(Q111*Settings!$C$13)+(T111*Settings!$C$16)+(K111*Settings!$C$7)+(L111*Settings!$C$8)+(R111*Settings!$C$14)+(S111*Settings!$C$15)</f>
        <v>2.1359947388100418</v>
      </c>
      <c r="E111" s="67"/>
      <c r="F111" s="121">
        <f>(VLOOKUP($A111,Hitters!$A1:$R401,4,FALSE)-AVERAGE(Rankings!M2:M651))/STDEV(Rankings!M2:M651)</f>
        <v>1.0481342649215575</v>
      </c>
      <c r="G111" s="121">
        <f>(VLOOKUP($A111,Hitters!$A1:$R401,5,FALSE)-AVERAGE(Rankings!N2:N651))/STDEV(Rankings!N2:N651)</f>
        <v>0.61902558404649621</v>
      </c>
      <c r="H111" s="121">
        <f>(VLOOKUP($A111,Hitters!$A1:$R401,6,FALSE)-AVERAGE(Rankings!O2:O651))/STDEV(Rankings!O2:O651)</f>
        <v>-6.6446292158939033E-2</v>
      </c>
      <c r="I111" s="121">
        <f>(VLOOKUP($A111,Hitters!$A1:$R401,7,FALSE)-AVERAGE(Rankings!P2:P651))/STDEV(Rankings!P2:P651)</f>
        <v>0.69031167960550266</v>
      </c>
      <c r="J111" s="121">
        <f>(VLOOKUP($A111,Hitters!$A1:$R401,8,FALSE)-AVERAGE(Rankings!Q2:Q651))/STDEV(Rankings!Q2:Q651)</f>
        <v>-0.40005450605911569</v>
      </c>
      <c r="K111" s="121">
        <f>(VLOOKUP($A111,Hitters!$A1:$R401,9,FALSE)-AVERAGE(Rankings!R2:R651))/STDEV(Rankings!R2:R651)</f>
        <v>1.2931582733760976</v>
      </c>
      <c r="L111" s="121">
        <f>(VLOOKUP($A111,Hitters!$A1:$R401,10,FALSE)-AVERAGE(Rankings!S2:S651))/STDEV(Rankings!S2:S651)</f>
        <v>0.37310671631857067</v>
      </c>
      <c r="M111" s="121">
        <f>(VLOOKUP($A111,Hitters!$A1:$R401,11,FALSE)-AVERAGE(Rankings!T2:T651))/STDEV(Rankings!T2:T651)</f>
        <v>1.2481041606164753</v>
      </c>
      <c r="N111" s="121">
        <f>(VLOOKUP($A111,Hitters!$A1:$R401,12,FALSE)-AVERAGE(Rankings!U2:U651))/STDEV(Rankings!U2:U651)</f>
        <v>0.58573191596342533</v>
      </c>
      <c r="O111" s="121">
        <f>(VLOOKUP($A111,Hitters!$A1:$R401,13,FALSE)-AVERAGE(Rankings!V2:V651))/STDEV(Rankings!V2:V651)</f>
        <v>0.32222931002676414</v>
      </c>
      <c r="P111" s="121">
        <f>(VLOOKUP($A111,Hitters!$A1:$R401,14,FALSE)-AVERAGE(Rankings!W2:W651))/STDEV(Rankings!W2:W651)</f>
        <v>-4.3039305278576724E-2</v>
      </c>
      <c r="Q111" s="121">
        <f>(VLOOKUP($A111,Hitters!$A1:$R401,15,FALSE)-AVERAGE(Rankings!X2:X651))/STDEV(Rankings!X2:X651)</f>
        <v>0.52564969726608435</v>
      </c>
      <c r="R111" s="121">
        <f>(VLOOKUP($A111,Hitters!$A1:$R401,16,FALSE)-AVERAGE(Rankings!Y2:Y651))/STDEV(Rankings!Y2:Y651)</f>
        <v>-0.13000132157808961</v>
      </c>
      <c r="S111" s="121">
        <f>(VLOOKUP($A111,Hitters!$A1:$R401,17,FALSE)-AVERAGE(Rankings!Z2:Z651))/STDEV(Rankings!Z2:Z651)</f>
        <v>5.1824146300334488E-2</v>
      </c>
      <c r="T111" s="121">
        <f>IFERROR((VLOOKUP($A111,Hitters!$A1:$R401,18,FALSE)-AVERAGE(Rankings!AA2:AA651))/STDEV(Rankings!AA2:AA651),0)</f>
        <v>0</v>
      </c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</row>
    <row r="112" spans="1:37" ht="18.600000000000001" customHeight="1">
      <c r="A112" s="25" t="s">
        <v>247</v>
      </c>
      <c r="B112" s="26" t="s">
        <v>125</v>
      </c>
      <c r="C112" s="123" t="s">
        <v>15</v>
      </c>
      <c r="D112" s="67">
        <f>(F112*Settings!$C$2)+(G112*Settings!$C$3)+(H112*Settings!$C$4)+(I112*Settings!$C$5)+(J112*Settings!$C$6)+(M112*Settings!$C$9)+(N112*Settings!$C$10)+(O112*Settings!$C$11)+(P112*Settings!$C$12)+(Q112*Settings!$C$13)+(T112*Settings!$C$16)+(K112*Settings!$C$7)+(L112*Settings!$C$8)+(R112*Settings!$C$14)+(S112*Settings!$C$15)</f>
        <v>2.2571331774417969</v>
      </c>
      <c r="E112" s="67"/>
      <c r="F112" s="121">
        <f>(VLOOKUP($A112,Hitters!$A1:$R401,4,FALSE)-AVERAGE(Rankings!M2:M651))/STDEV(Rankings!M2:M651)</f>
        <v>0.88130781241573164</v>
      </c>
      <c r="G112" s="121">
        <f>(VLOOKUP($A112,Hitters!$A1:$R401,5,FALSE)-AVERAGE(Rankings!N2:N651))/STDEV(Rankings!N2:N651)</f>
        <v>0.54578874433683977</v>
      </c>
      <c r="H112" s="121">
        <f>(VLOOKUP($A112,Hitters!$A1:$R401,6,FALSE)-AVERAGE(Rankings!O2:O651))/STDEV(Rankings!O2:O651)</f>
        <v>0.23743110968846678</v>
      </c>
      <c r="I112" s="121">
        <f>(VLOOKUP($A112,Hitters!$A1:$R401,7,FALSE)-AVERAGE(Rankings!P2:P651))/STDEV(Rankings!P2:P651)</f>
        <v>0.65061750718003075</v>
      </c>
      <c r="J112" s="121">
        <f>(VLOOKUP($A112,Hitters!$A1:$R401,8,FALSE)-AVERAGE(Rankings!Q2:Q651))/STDEV(Rankings!Q2:Q651)</f>
        <v>0.56939309523997472</v>
      </c>
      <c r="K112" s="121">
        <f>(VLOOKUP($A112,Hitters!$A1:$R401,9,FALSE)-AVERAGE(Rankings!R2:R651))/STDEV(Rankings!R2:R651)</f>
        <v>0.25390272099648475</v>
      </c>
      <c r="L112" s="121">
        <f>(VLOOKUP($A112,Hitters!$A1:$R401,10,FALSE)-AVERAGE(Rankings!S2:S651))/STDEV(Rankings!S2:S651)</f>
        <v>-0.17987912476104467</v>
      </c>
      <c r="M112" s="121">
        <f>(VLOOKUP($A112,Hitters!$A1:$R401,11,FALSE)-AVERAGE(Rankings!T2:T651))/STDEV(Rankings!T2:T651)</f>
        <v>0.80089588446112425</v>
      </c>
      <c r="N112" s="121">
        <f>(VLOOKUP($A112,Hitters!$A1:$R401,12,FALSE)-AVERAGE(Rankings!U2:U651))/STDEV(Rankings!U2:U651)</f>
        <v>0.87645721625643302</v>
      </c>
      <c r="O112" s="121">
        <f>(VLOOKUP($A112,Hitters!$A1:$R401,13,FALSE)-AVERAGE(Rankings!V2:V651))/STDEV(Rankings!V2:V651)</f>
        <v>0.8649595431164937</v>
      </c>
      <c r="P112" s="121">
        <f>(VLOOKUP($A112,Hitters!$A1:$R401,14,FALSE)-AVERAGE(Rankings!W2:W651))/STDEV(Rankings!W2:W651)</f>
        <v>0.15409377104800009</v>
      </c>
      <c r="Q112" s="121">
        <f>(VLOOKUP($A112,Hitters!$A1:$R401,15,FALSE)-AVERAGE(Rankings!X2:X651))/STDEV(Rankings!X2:X651)</f>
        <v>1.0765877432467963</v>
      </c>
      <c r="R112" s="121">
        <f>(VLOOKUP($A112,Hitters!$A1:$R401,16,FALSE)-AVERAGE(Rankings!Y2:Y651))/STDEV(Rankings!Y2:Y651)</f>
        <v>1.6945742160833829E-2</v>
      </c>
      <c r="S112" s="121">
        <f>(VLOOKUP($A112,Hitters!$A1:$R401,17,FALSE)-AVERAGE(Rankings!Z2:Z651))/STDEV(Rankings!Z2:Z651)</f>
        <v>-5.8271864282700418E-2</v>
      </c>
      <c r="T112" s="121">
        <f>IFERROR((VLOOKUP($A112,Hitters!$A1:$R401,18,FALSE)-AVERAGE(Rankings!AA2:AA651))/STDEV(Rankings!AA2:AA651),0)</f>
        <v>0</v>
      </c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</row>
    <row r="113" spans="1:37" ht="18.600000000000001" customHeight="1">
      <c r="A113" s="25" t="s">
        <v>253</v>
      </c>
      <c r="B113" s="26" t="s">
        <v>103</v>
      </c>
      <c r="C113" s="123" t="s">
        <v>15</v>
      </c>
      <c r="D113" s="67">
        <f>(F113*Settings!$C$2)+(G113*Settings!$C$3)+(H113*Settings!$C$4)+(I113*Settings!$C$5)+(J113*Settings!$C$6)+(M113*Settings!$C$9)+(N113*Settings!$C$10)+(O113*Settings!$C$11)+(P113*Settings!$C$12)+(Q113*Settings!$C$13)+(T113*Settings!$C$16)+(K113*Settings!$C$7)+(L113*Settings!$C$8)+(R113*Settings!$C$14)+(S113*Settings!$C$15)</f>
        <v>2.0072954568372658</v>
      </c>
      <c r="E113" s="67"/>
      <c r="F113" s="121">
        <f>(VLOOKUP($A113,Hitters!$A1:$R401,4,FALSE)-AVERAGE(Rankings!M2:M651))/STDEV(Rankings!M2:M651)</f>
        <v>0.72688724091817181</v>
      </c>
      <c r="G113" s="121">
        <f>(VLOOKUP($A113,Hitters!$A1:$R401,5,FALSE)-AVERAGE(Rankings!N2:N651))/STDEV(Rankings!N2:N651)</f>
        <v>0.88768715147881483</v>
      </c>
      <c r="H113" s="121">
        <f>(VLOOKUP($A113,Hitters!$A1:$R401,6,FALSE)-AVERAGE(Rankings!O2:O651))/STDEV(Rankings!O2:O651)</f>
        <v>-0.33377486560544994</v>
      </c>
      <c r="I113" s="121">
        <f>(VLOOKUP($A113,Hitters!$A1:$R401,7,FALSE)-AVERAGE(Rankings!P2:P651))/STDEV(Rankings!P2:P651)</f>
        <v>0.31109744983205045</v>
      </c>
      <c r="J113" s="121">
        <f>(VLOOKUP($A113,Hitters!$A1:$R401,8,FALSE)-AVERAGE(Rankings!Q2:Q651))/STDEV(Rankings!Q2:Q651)</f>
        <v>-0.44523264670218016</v>
      </c>
      <c r="K113" s="121">
        <f>(VLOOKUP($A113,Hitters!$A1:$R401,9,FALSE)-AVERAGE(Rankings!R2:R651))/STDEV(Rankings!R2:R651)</f>
        <v>1.5875183678340308</v>
      </c>
      <c r="L113" s="121">
        <f>(VLOOKUP($A113,Hitters!$A1:$R401,10,FALSE)-AVERAGE(Rankings!S2:S651))/STDEV(Rankings!S2:S651)</f>
        <v>2.5926057124072899</v>
      </c>
      <c r="M113" s="121">
        <f>(VLOOKUP($A113,Hitters!$A1:$R401,11,FALSE)-AVERAGE(Rankings!T2:T651))/STDEV(Rankings!T2:T651)</f>
        <v>1.0169934746684537</v>
      </c>
      <c r="N113" s="121">
        <f>(VLOOKUP($A113,Hitters!$A1:$R401,12,FALSE)-AVERAGE(Rankings!U2:U651))/STDEV(Rankings!U2:U651)</f>
        <v>0.95990122383596499</v>
      </c>
      <c r="O113" s="121">
        <f>(VLOOKUP($A113,Hitters!$A1:$R401,13,FALSE)-AVERAGE(Rankings!V2:V651))/STDEV(Rankings!V2:V651)</f>
        <v>-0.83928252639455969</v>
      </c>
      <c r="P113" s="121">
        <f>(VLOOKUP($A113,Hitters!$A1:$R401,14,FALSE)-AVERAGE(Rankings!W2:W651))/STDEV(Rankings!W2:W651)</f>
        <v>1.9501177349891927</v>
      </c>
      <c r="Q113" s="121">
        <f>(VLOOKUP($A113,Hitters!$A1:$R401,15,FALSE)-AVERAGE(Rankings!X2:X651))/STDEV(Rankings!X2:X651)</f>
        <v>-0.58353649703030441</v>
      </c>
      <c r="R113" s="121">
        <f>(VLOOKUP($A113,Hitters!$A1:$R401,16,FALSE)-AVERAGE(Rankings!Y2:Y651))/STDEV(Rankings!Y2:Y651)</f>
        <v>-3.1143858306608645E-2</v>
      </c>
      <c r="S113" s="121">
        <f>(VLOOKUP($A113,Hitters!$A1:$R401,17,FALSE)-AVERAGE(Rankings!Z2:Z651))/STDEV(Rankings!Z2:Z651)</f>
        <v>0.99498923639025538</v>
      </c>
      <c r="T113" s="121">
        <f>IFERROR((VLOOKUP($A113,Hitters!$A1:$R401,18,FALSE)-AVERAGE(Rankings!AA2:AA651))/STDEV(Rankings!AA2:AA651),0)</f>
        <v>0</v>
      </c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</row>
    <row r="114" spans="1:37" ht="18.600000000000001" customHeight="1">
      <c r="A114" s="25" t="s">
        <v>273</v>
      </c>
      <c r="B114" s="26" t="s">
        <v>72</v>
      </c>
      <c r="C114" s="123" t="s">
        <v>15</v>
      </c>
      <c r="D114" s="67">
        <f>(F114*Settings!$C$2)+(G114*Settings!$C$3)+(H114*Settings!$C$4)+(I114*Settings!$C$5)+(J114*Settings!$C$6)+(M114*Settings!$C$9)+(N114*Settings!$C$10)+(O114*Settings!$C$11)+(P114*Settings!$C$12)+(Q114*Settings!$C$13)+(T114*Settings!$C$16)+(K114*Settings!$C$7)+(L114*Settings!$C$8)+(R114*Settings!$C$14)+(S114*Settings!$C$15)</f>
        <v>1.6877125312415926</v>
      </c>
      <c r="E114" s="67"/>
      <c r="F114" s="121">
        <f>(VLOOKUP($A114,Hitters!$A1:$R401,4,FALSE)-AVERAGE(Rankings!M2:M651))/STDEV(Rankings!M2:M651)</f>
        <v>1.0350754428075963</v>
      </c>
      <c r="G114" s="121">
        <f>(VLOOKUP($A114,Hitters!$A1:$R401,5,FALSE)-AVERAGE(Rankings!N2:N651))/STDEV(Rankings!N2:N651)</f>
        <v>0.82849053492593105</v>
      </c>
      <c r="H114" s="121">
        <f>(VLOOKUP($A114,Hitters!$A1:$R401,6,FALSE)-AVERAGE(Rankings!O2:O651))/STDEV(Rankings!O2:O651)</f>
        <v>1.7463755965252461</v>
      </c>
      <c r="I114" s="121">
        <f>(VLOOKUP($A114,Hitters!$A1:$R401,7,FALSE)-AVERAGE(Rankings!P2:P651))/STDEV(Rankings!P2:P651)</f>
        <v>1.3485412573017006</v>
      </c>
      <c r="J114" s="121">
        <f>(VLOOKUP($A114,Hitters!$A1:$R401,8,FALSE)-AVERAGE(Rankings!Q2:Q651))/STDEV(Rankings!Q2:Q651)</f>
        <v>-0.8066577718466954</v>
      </c>
      <c r="K114" s="121">
        <f>(VLOOKUP($A114,Hitters!$A1:$R401,9,FALSE)-AVERAGE(Rankings!R2:R651))/STDEV(Rankings!R2:R651)</f>
        <v>-1.42903708566459</v>
      </c>
      <c r="L114" s="121">
        <f>(VLOOKUP($A114,Hitters!$A1:$R401,10,FALSE)-AVERAGE(Rankings!S2:S651))/STDEV(Rankings!S2:S651)</f>
        <v>-0.27293276887700746</v>
      </c>
      <c r="M114" s="121">
        <f>(VLOOKUP($A114,Hitters!$A1:$R401,11,FALSE)-AVERAGE(Rankings!T2:T651))/STDEV(Rankings!T2:T651)</f>
        <v>0.4546847978342477</v>
      </c>
      <c r="N114" s="121">
        <f>(VLOOKUP($A114,Hitters!$A1:$R401,12,FALSE)-AVERAGE(Rankings!U2:U651))/STDEV(Rankings!U2:U651)</f>
        <v>0.27959339134044475</v>
      </c>
      <c r="O114" s="121">
        <f>(VLOOKUP($A114,Hitters!$A1:$R401,13,FALSE)-AVERAGE(Rankings!V2:V651))/STDEV(Rankings!V2:V651)</f>
        <v>-0.20321652073526184</v>
      </c>
      <c r="P114" s="121">
        <f>(VLOOKUP($A114,Hitters!$A1:$R401,14,FALSE)-AVERAGE(Rankings!W2:W651))/STDEV(Rankings!W2:W651)</f>
        <v>1.5600310821874861</v>
      </c>
      <c r="Q114" s="121">
        <f>(VLOOKUP($A114,Hitters!$A1:$R401,15,FALSE)-AVERAGE(Rankings!X2:X651))/STDEV(Rankings!X2:X651)</f>
        <v>2.5432379417243829</v>
      </c>
      <c r="R114" s="121">
        <f>(VLOOKUP($A114,Hitters!$A1:$R401,16,FALSE)-AVERAGE(Rankings!Y2:Y651))/STDEV(Rankings!Y2:Y651)</f>
        <v>0.37040055198161603</v>
      </c>
      <c r="S114" s="121">
        <f>(VLOOKUP($A114,Hitters!$A1:$R401,17,FALSE)-AVERAGE(Rankings!Z2:Z651))/STDEV(Rankings!Z2:Z651)</f>
        <v>0.1624851527186334</v>
      </c>
      <c r="T114" s="121">
        <f>IFERROR((VLOOKUP($A114,Hitters!$A1:$R401,18,FALSE)-AVERAGE(Rankings!AA2:AA651))/STDEV(Rankings!AA2:AA651),0)</f>
        <v>0</v>
      </c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</row>
    <row r="115" spans="1:37" ht="18.600000000000001" customHeight="1">
      <c r="A115" s="25" t="s">
        <v>288</v>
      </c>
      <c r="B115" s="26" t="s">
        <v>92</v>
      </c>
      <c r="C115" s="123" t="s">
        <v>15</v>
      </c>
      <c r="D115" s="67">
        <f>(F115*Settings!$C$2)+(G115*Settings!$C$3)+(H115*Settings!$C$4)+(I115*Settings!$C$5)+(J115*Settings!$C$6)+(M115*Settings!$C$9)+(N115*Settings!$C$10)+(O115*Settings!$C$11)+(P115*Settings!$C$12)+(Q115*Settings!$C$13)+(T115*Settings!$C$16)+(K115*Settings!$C$7)+(L115*Settings!$C$8)+(R115*Settings!$C$14)+(S115*Settings!$C$15)</f>
        <v>1.3947243887237828</v>
      </c>
      <c r="E115" s="67"/>
      <c r="F115" s="121">
        <f>(VLOOKUP($A115,Hitters!$A1:$R401,4,FALSE)-AVERAGE(Rankings!M2:M651))/STDEV(Rankings!M2:M651)</f>
        <v>0.73994606303212496</v>
      </c>
      <c r="G115" s="121">
        <f>(VLOOKUP($A115,Hitters!$A1:$R401,5,FALSE)-AVERAGE(Rankings!N2:N651))/STDEV(Rankings!N2:N651)</f>
        <v>0.47406976659007688</v>
      </c>
      <c r="H115" s="121">
        <f>(VLOOKUP($A115,Hitters!$A1:$R401,6,FALSE)-AVERAGE(Rankings!O2:O651))/STDEV(Rankings!O2:O651)</f>
        <v>-0.12492441760036826</v>
      </c>
      <c r="I115" s="121">
        <f>(VLOOKUP($A115,Hitters!$A1:$R401,7,FALSE)-AVERAGE(Rankings!P2:P651))/STDEV(Rankings!P2:P651)</f>
        <v>0.26331029079555995</v>
      </c>
      <c r="J115" s="121">
        <f>(VLOOKUP($A115,Hitters!$A1:$R401,8,FALSE)-AVERAGE(Rankings!Q2:Q651))/STDEV(Rankings!Q2:Q651)</f>
        <v>0.86744332864908524</v>
      </c>
      <c r="K115" s="121">
        <f>(VLOOKUP($A115,Hitters!$A1:$R401,9,FALSE)-AVERAGE(Rankings!R2:R651))/STDEV(Rankings!R2:R651)</f>
        <v>-8.517457971057095E-2</v>
      </c>
      <c r="L115" s="121">
        <f>(VLOOKUP($A115,Hitters!$A1:$R401,10,FALSE)-AVERAGE(Rankings!S2:S651))/STDEV(Rankings!S2:S651)</f>
        <v>-0.12777533571595326</v>
      </c>
      <c r="M115" s="121">
        <f>(VLOOKUP($A115,Hitters!$A1:$R401,11,FALSE)-AVERAGE(Rankings!T2:T651))/STDEV(Rankings!T2:T651)</f>
        <v>0.5852532365489771</v>
      </c>
      <c r="N115" s="121">
        <f>(VLOOKUP($A115,Hitters!$A1:$R401,12,FALSE)-AVERAGE(Rankings!U2:U651))/STDEV(Rankings!U2:U651)</f>
        <v>0.50281939887803451</v>
      </c>
      <c r="O115" s="121">
        <f>(VLOOKUP($A115,Hitters!$A1:$R401,13,FALSE)-AVERAGE(Rankings!V2:V651))/STDEV(Rankings!V2:V651)</f>
        <v>0.61260726913209573</v>
      </c>
      <c r="P115" s="121">
        <f>(VLOOKUP($A115,Hitters!$A1:$R401,14,FALSE)-AVERAGE(Rankings!W2:W651))/STDEV(Rankings!W2:W651)</f>
        <v>0.3916286792718966</v>
      </c>
      <c r="Q115" s="121">
        <f>(VLOOKUP($A115,Hitters!$A1:$R401,15,FALSE)-AVERAGE(Rankings!X2:X651))/STDEV(Rankings!X2:X651)</f>
        <v>0.32291619250893139</v>
      </c>
      <c r="R115" s="121">
        <f>(VLOOKUP($A115,Hitters!$A1:$R401,16,FALSE)-AVERAGE(Rankings!Y2:Y651))/STDEV(Rankings!Y2:Y651)</f>
        <v>-0.58264822727524457</v>
      </c>
      <c r="S115" s="121">
        <f>(VLOOKUP($A115,Hitters!$A1:$R401,17,FALSE)-AVERAGE(Rankings!Z2:Z651))/STDEV(Rankings!Z2:Z651)</f>
        <v>-0.47426946553758992</v>
      </c>
      <c r="T115" s="121">
        <f>IFERROR((VLOOKUP($A115,Hitters!$A1:$R401,18,FALSE)-AVERAGE(Rankings!AA2:AA651))/STDEV(Rankings!AA2:AA651),0)</f>
        <v>0</v>
      </c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</row>
    <row r="116" spans="1:37" ht="18.600000000000001" customHeight="1">
      <c r="A116" s="25" t="s">
        <v>305</v>
      </c>
      <c r="B116" s="26" t="s">
        <v>85</v>
      </c>
      <c r="C116" s="123" t="s">
        <v>15</v>
      </c>
      <c r="D116" s="67">
        <f>(F116*Settings!$C$2)+(G116*Settings!$C$3)+(H116*Settings!$C$4)+(I116*Settings!$C$5)+(J116*Settings!$C$6)+(M116*Settings!$C$9)+(N116*Settings!$C$10)+(O116*Settings!$C$11)+(P116*Settings!$C$12)+(Q116*Settings!$C$13)+(T116*Settings!$C$16)+(K116*Settings!$C$7)+(L116*Settings!$C$8)+(R116*Settings!$C$14)+(S116*Settings!$C$15)</f>
        <v>1.0943946681817773</v>
      </c>
      <c r="E116" s="67"/>
      <c r="F116" s="121">
        <f>(VLOOKUP($A116,Hitters!$A1:$R401,4,FALSE)-AVERAGE(Rankings!M2:M651))/STDEV(Rankings!M2:M651)</f>
        <v>0.41347551018316075</v>
      </c>
      <c r="G116" s="121">
        <f>(VLOOKUP($A116,Hitters!$A1:$R401,5,FALSE)-AVERAGE(Rankings!N2:N651))/STDEV(Rankings!N2:N651)</f>
        <v>0.35339974053996753</v>
      </c>
      <c r="H116" s="121">
        <f>(VLOOKUP($A116,Hitters!$A1:$R401,6,FALSE)-AVERAGE(Rankings!O2:O651))/STDEV(Rankings!O2:O651)</f>
        <v>0.63946822209826093</v>
      </c>
      <c r="I116" s="121">
        <f>(VLOOKUP($A116,Hitters!$A1:$R401,7,FALSE)-AVERAGE(Rankings!P2:P651))/STDEV(Rankings!P2:P651)</f>
        <v>0.62094322293962689</v>
      </c>
      <c r="J116" s="121">
        <f>(VLOOKUP($A116,Hitters!$A1:$R401,8,FALSE)-AVERAGE(Rankings!Q2:Q651))/STDEV(Rankings!Q2:Q651)</f>
        <v>-0.61590562246486735</v>
      </c>
      <c r="K116" s="121">
        <f>(VLOOKUP($A116,Hitters!$A1:$R401,9,FALSE)-AVERAGE(Rankings!R2:R651))/STDEV(Rankings!R2:R651)</f>
        <v>9.6489105068789341E-2</v>
      </c>
      <c r="L116" s="121">
        <f>(VLOOKUP($A116,Hitters!$A1:$R401,10,FALSE)-AVERAGE(Rankings!S2:S651))/STDEV(Rankings!S2:S651)</f>
        <v>-0.59064676212012213</v>
      </c>
      <c r="M116" s="121">
        <f>(VLOOKUP($A116,Hitters!$A1:$R401,11,FALSE)-AVERAGE(Rankings!T2:T651))/STDEV(Rankings!T2:T651)</f>
        <v>0.34731841617332915</v>
      </c>
      <c r="N116" s="121">
        <f>(VLOOKUP($A116,Hitters!$A1:$R401,12,FALSE)-AVERAGE(Rankings!U2:U651))/STDEV(Rankings!U2:U651)</f>
        <v>0.53896075247936703</v>
      </c>
      <c r="O116" s="121">
        <f>(VLOOKUP($A116,Hitters!$A1:$R401,13,FALSE)-AVERAGE(Rankings!V2:V651))/STDEV(Rankings!V2:V651)</f>
        <v>-0.12025138956230989</v>
      </c>
      <c r="P116" s="121">
        <f>(VLOOKUP($A116,Hitters!$A1:$R401,14,FALSE)-AVERAGE(Rankings!W2:W651))/STDEV(Rankings!W2:W651)</f>
        <v>-0.36811151594666369</v>
      </c>
      <c r="Q116" s="121">
        <f>(VLOOKUP($A116,Hitters!$A1:$R401,15,FALSE)-AVERAGE(Rankings!X2:X651))/STDEV(Rankings!X2:X651)</f>
        <v>0.346308519980912</v>
      </c>
      <c r="R116" s="121">
        <f>(VLOOKUP($A116,Hitters!$A1:$R401,16,FALSE)-AVERAGE(Rankings!Y2:Y651))/STDEV(Rankings!Y2:Y651)</f>
        <v>0.68695546194160739</v>
      </c>
      <c r="S116" s="121">
        <f>(VLOOKUP($A116,Hitters!$A1:$R401,17,FALSE)-AVERAGE(Rankings!Z2:Z651))/STDEV(Rankings!Z2:Z651)</f>
        <v>0.26819791200644422</v>
      </c>
      <c r="T116" s="121">
        <f>IFERROR((VLOOKUP($A116,Hitters!$A1:$R401,18,FALSE)-AVERAGE(Rankings!AA2:AA651))/STDEV(Rankings!AA2:AA651),0)</f>
        <v>0</v>
      </c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</row>
    <row r="117" spans="1:37" ht="18.600000000000001" customHeight="1">
      <c r="A117" s="25" t="s">
        <v>332</v>
      </c>
      <c r="B117" s="26" t="s">
        <v>85</v>
      </c>
      <c r="C117" s="123" t="s">
        <v>15</v>
      </c>
      <c r="D117" s="67">
        <f>(F117*Settings!$C$2)+(G117*Settings!$C$3)+(H117*Settings!$C$4)+(I117*Settings!$C$5)+(J117*Settings!$C$6)+(M117*Settings!$C$9)+(N117*Settings!$C$10)+(O117*Settings!$C$11)+(P117*Settings!$C$12)+(Q117*Settings!$C$13)+(T117*Settings!$C$16)+(K117*Settings!$C$7)+(L117*Settings!$C$8)+(R117*Settings!$C$14)+(S117*Settings!$C$15)</f>
        <v>0.72768299650060519</v>
      </c>
      <c r="E117" s="67"/>
      <c r="F117" s="121">
        <f>(VLOOKUP($A117,Hitters!$A1:$R401,4,FALSE)-AVERAGE(Rankings!M2:M651))/STDEV(Rankings!M2:M651)</f>
        <v>0.38735786595523752</v>
      </c>
      <c r="G117" s="121">
        <f>(VLOOKUP($A117,Hitters!$A1:$R401,5,FALSE)-AVERAGE(Rankings!N2:N651))/STDEV(Rankings!N2:N651)</f>
        <v>0.20768499210209945</v>
      </c>
      <c r="H117" s="121">
        <f>(VLOOKUP($A117,Hitters!$A1:$R401,6,FALSE)-AVERAGE(Rankings!O2:O651))/STDEV(Rankings!O2:O651)</f>
        <v>0.1089880841653366</v>
      </c>
      <c r="I117" s="121">
        <f>(VLOOKUP($A117,Hitters!$A1:$R401,7,FALSE)-AVERAGE(Rankings!P2:P651))/STDEV(Rankings!P2:P651)</f>
        <v>0.68414559456853696</v>
      </c>
      <c r="J117" s="121">
        <f>(VLOOKUP($A117,Hitters!$A1:$R401,8,FALSE)-AVERAGE(Rankings!Q2:Q651))/STDEV(Rankings!Q2:Q651)</f>
        <v>-0.58578686203615782</v>
      </c>
      <c r="K117" s="121">
        <f>(VLOOKUP($A117,Hitters!$A1:$R401,9,FALSE)-AVERAGE(Rankings!R2:R651))/STDEV(Rankings!R2:R651)</f>
        <v>0.31265118770079003</v>
      </c>
      <c r="L117" s="121">
        <f>(VLOOKUP($A117,Hitters!$A1:$R401,10,FALSE)-AVERAGE(Rankings!S2:S651))/STDEV(Rankings!S2:S651)</f>
        <v>1.314210192844018</v>
      </c>
      <c r="M117" s="121">
        <f>(VLOOKUP($A117,Hitters!$A1:$R401,11,FALSE)-AVERAGE(Rankings!T2:T651))/STDEV(Rankings!T2:T651)</f>
        <v>0.37643472306442993</v>
      </c>
      <c r="N117" s="121">
        <f>(VLOOKUP($A117,Hitters!$A1:$R401,12,FALSE)-AVERAGE(Rankings!U2:U651))/STDEV(Rankings!U2:U651)</f>
        <v>0.86210697291473115</v>
      </c>
      <c r="O117" s="121">
        <f>(VLOOKUP($A117,Hitters!$A1:$R401,13,FALSE)-AVERAGE(Rankings!V2:V651))/STDEV(Rankings!V2:V651)</f>
        <v>-0.50742200170275464</v>
      </c>
      <c r="P117" s="121">
        <f>(VLOOKUP($A117,Hitters!$A1:$R401,14,FALSE)-AVERAGE(Rankings!W2:W651))/STDEV(Rankings!W2:W651)</f>
        <v>1.2461042044565853</v>
      </c>
      <c r="Q117" s="121">
        <f>(VLOOKUP($A117,Hitters!$A1:$R401,15,FALSE)-AVERAGE(Rankings!X2:X651))/STDEV(Rankings!X2:X651)</f>
        <v>-0.24727178962058788</v>
      </c>
      <c r="R117" s="121">
        <f>(VLOOKUP($A117,Hitters!$A1:$R401,16,FALSE)-AVERAGE(Rankings!Y2:Y651))/STDEV(Rankings!Y2:Y651)</f>
        <v>0.23774681128941344</v>
      </c>
      <c r="S117" s="121">
        <f>(VLOOKUP($A117,Hitters!$A1:$R401,17,FALSE)-AVERAGE(Rankings!Z2:Z651))/STDEV(Rankings!Z2:Z651)</f>
        <v>0.68891654668934754</v>
      </c>
      <c r="T117" s="121">
        <f>IFERROR((VLOOKUP($A117,Hitters!$A1:$R401,18,FALSE)-AVERAGE(Rankings!AA2:AA651))/STDEV(Rankings!AA2:AA651),0)</f>
        <v>0</v>
      </c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</row>
    <row r="118" spans="1:37" ht="18.600000000000001" customHeight="1">
      <c r="A118" s="25" t="s">
        <v>352</v>
      </c>
      <c r="B118" s="26" t="s">
        <v>116</v>
      </c>
      <c r="C118" s="123" t="s">
        <v>15</v>
      </c>
      <c r="D118" s="67">
        <f>(F118*Settings!$C$2)+(G118*Settings!$C$3)+(H118*Settings!$C$4)+(I118*Settings!$C$5)+(J118*Settings!$C$6)+(M118*Settings!$C$9)+(N118*Settings!$C$10)+(O118*Settings!$C$11)+(P118*Settings!$C$12)+(Q118*Settings!$C$13)+(T118*Settings!$C$16)+(K118*Settings!$C$7)+(L118*Settings!$C$8)+(R118*Settings!$C$14)+(S118*Settings!$C$15)</f>
        <v>0.53570088848332653</v>
      </c>
      <c r="E118" s="67"/>
      <c r="F118" s="121">
        <f>(VLOOKUP($A118,Hitters!$A1:$R401,4,FALSE)-AVERAGE(Rankings!M2:M651))/STDEV(Rankings!M2:M651)</f>
        <v>0.9541107457010547</v>
      </c>
      <c r="G118" s="121">
        <f>(VLOOKUP($A118,Hitters!$A1:$R401,5,FALSE)-AVERAGE(Rankings!N2:N651))/STDEV(Rankings!N2:N651)</f>
        <v>0.5780433110483455</v>
      </c>
      <c r="H118" s="121">
        <f>(VLOOKUP($A118,Hitters!$A1:$R401,6,FALSE)-AVERAGE(Rankings!O2:O651))/STDEV(Rankings!O2:O651)</f>
        <v>0.25100638880879372</v>
      </c>
      <c r="I118" s="121">
        <f>(VLOOKUP($A118,Hitters!$A1:$R401,7,FALSE)-AVERAGE(Rankings!P2:P651))/STDEV(Rankings!P2:P651)</f>
        <v>0.66410581819839698</v>
      </c>
      <c r="J118" s="121">
        <f>(VLOOKUP($A118,Hitters!$A1:$R401,8,FALSE)-AVERAGE(Rankings!Q2:Q651))/STDEV(Rankings!Q2:Q651)</f>
        <v>-0.55566810160744817</v>
      </c>
      <c r="K118" s="121">
        <f>(VLOOKUP($A118,Hitters!$A1:$R401,9,FALSE)-AVERAGE(Rankings!R2:R651))/STDEV(Rankings!R2:R651)</f>
        <v>-0.4017865279647615</v>
      </c>
      <c r="L118" s="121">
        <f>(VLOOKUP($A118,Hitters!$A1:$R401,10,FALSE)-AVERAGE(Rankings!S2:S651))/STDEV(Rankings!S2:S651)</f>
        <v>0.20110796875124515</v>
      </c>
      <c r="M118" s="121">
        <f>(VLOOKUP($A118,Hitters!$A1:$R401,11,FALSE)-AVERAGE(Rankings!T2:T651))/STDEV(Rankings!T2:T651)</f>
        <v>0.68124606083055395</v>
      </c>
      <c r="N118" s="121">
        <f>(VLOOKUP($A118,Hitters!$A1:$R401,12,FALSE)-AVERAGE(Rankings!U2:U651))/STDEV(Rankings!U2:U651)</f>
        <v>0.98966469150763958</v>
      </c>
      <c r="O118" s="121">
        <f>(VLOOKUP($A118,Hitters!$A1:$R401,13,FALSE)-AVERAGE(Rankings!V2:V651))/STDEV(Rankings!V2:V651)</f>
        <v>0.1562990476808602</v>
      </c>
      <c r="P118" s="121">
        <f>(VLOOKUP($A118,Hitters!$A1:$R401,14,FALSE)-AVERAGE(Rankings!W2:W651))/STDEV(Rankings!W2:W651)</f>
        <v>1.1513688744904564</v>
      </c>
      <c r="Q118" s="121">
        <f>(VLOOKUP($A118,Hitters!$A1:$R401,15,FALSE)-AVERAGE(Rankings!X2:X651))/STDEV(Rankings!X2:X651)</f>
        <v>1.614367605024519</v>
      </c>
      <c r="R118" s="121">
        <f>(VLOOKUP($A118,Hitters!$A1:$R401,16,FALSE)-AVERAGE(Rankings!Y2:Y651))/STDEV(Rankings!Y2:Y651)</f>
        <v>-0.37666125818827795</v>
      </c>
      <c r="S118" s="121">
        <f>(VLOOKUP($A118,Hitters!$A1:$R401,17,FALSE)-AVERAGE(Rankings!Z2:Z651))/STDEV(Rankings!Z2:Z651)</f>
        <v>-0.19523530860137231</v>
      </c>
      <c r="T118" s="121">
        <f>IFERROR((VLOOKUP($A118,Hitters!$A1:$R401,18,FALSE)-AVERAGE(Rankings!AA2:AA651))/STDEV(Rankings!AA2:AA651),0)</f>
        <v>0</v>
      </c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</row>
    <row r="119" spans="1:37" ht="18.600000000000001" customHeight="1">
      <c r="A119" s="25" t="s">
        <v>344</v>
      </c>
      <c r="B119" s="26" t="s">
        <v>125</v>
      </c>
      <c r="C119" s="123" t="s">
        <v>15</v>
      </c>
      <c r="D119" s="67">
        <f>(F119*Settings!$C$2)+(G119*Settings!$C$3)+(H119*Settings!$C$4)+(I119*Settings!$C$5)+(J119*Settings!$C$6)+(M119*Settings!$C$9)+(N119*Settings!$C$10)+(O119*Settings!$C$11)+(P119*Settings!$C$12)+(Q119*Settings!$C$13)+(T119*Settings!$C$16)+(K119*Settings!$C$7)+(L119*Settings!$C$8)+(R119*Settings!$C$14)+(S119*Settings!$C$15)</f>
        <v>0.61495104856293281</v>
      </c>
      <c r="E119" s="67"/>
      <c r="F119" s="121">
        <f>(VLOOKUP($A119,Hitters!$A1:$R401,4,FALSE)-AVERAGE(Rankings!M2:M651))/STDEV(Rankings!M2:M651)</f>
        <v>0.39258139480082388</v>
      </c>
      <c r="G119" s="121">
        <f>(VLOOKUP($A119,Hitters!$A1:$R401,5,FALSE)-AVERAGE(Rankings!N2:N651))/STDEV(Rankings!N2:N651)</f>
        <v>0.58715048282571247</v>
      </c>
      <c r="H119" s="121">
        <f>(VLOOKUP($A119,Hitters!$A1:$R401,6,FALSE)-AVERAGE(Rankings!O2:O651))/STDEV(Rankings!O2:O651)</f>
        <v>-0.82666192289746709</v>
      </c>
      <c r="I119" s="121">
        <f>(VLOOKUP($A119,Hitters!$A1:$R401,7,FALSE)-AVERAGE(Rankings!P2:P651))/STDEV(Rankings!P2:P651)</f>
        <v>-1.2622014608701279E-2</v>
      </c>
      <c r="J119" s="121">
        <f>(VLOOKUP($A119,Hitters!$A1:$R401,8,FALSE)-AVERAGE(Rankings!Q2:Q651))/STDEV(Rankings!Q2:Q651)</f>
        <v>-0.30969822477298692</v>
      </c>
      <c r="K119" s="121">
        <f>(VLOOKUP($A119,Hitters!$A1:$R401,9,FALSE)-AVERAGE(Rankings!R2:R651))/STDEV(Rankings!R2:R651)</f>
        <v>1.1767827280163756</v>
      </c>
      <c r="L119" s="121">
        <f>(VLOOKUP($A119,Hitters!$A1:$R401,10,FALSE)-AVERAGE(Rankings!S2:S651))/STDEV(Rankings!S2:S651)</f>
        <v>1.8963854352784697</v>
      </c>
      <c r="M119" s="121">
        <f>(VLOOKUP($A119,Hitters!$A1:$R401,11,FALSE)-AVERAGE(Rankings!T2:T651))/STDEV(Rankings!T2:T651)</f>
        <v>0.58934771720553703</v>
      </c>
      <c r="N119" s="121">
        <f>(VLOOKUP($A119,Hitters!$A1:$R401,12,FALSE)-AVERAGE(Rankings!U2:U651))/STDEV(Rankings!U2:U651)</f>
        <v>0.56022037224484322</v>
      </c>
      <c r="O119" s="121">
        <f>(VLOOKUP($A119,Hitters!$A1:$R401,13,FALSE)-AVERAGE(Rankings!V2:V651))/STDEV(Rankings!V2:V651)</f>
        <v>-0.20321652073526184</v>
      </c>
      <c r="P119" s="121">
        <f>(VLOOKUP($A119,Hitters!$A1:$R401,14,FALSE)-AVERAGE(Rankings!W2:W651))/STDEV(Rankings!W2:W651)</f>
        <v>1.1848048733020313</v>
      </c>
      <c r="Q119" s="121">
        <f>(VLOOKUP($A119,Hitters!$A1:$R401,15,FALSE)-AVERAGE(Rankings!X2:X651))/STDEV(Rankings!X2:X651)</f>
        <v>-0.36325874666915764</v>
      </c>
      <c r="R119" s="121">
        <f>(VLOOKUP($A119,Hitters!$A1:$R401,16,FALSE)-AVERAGE(Rankings!Y2:Y651))/STDEV(Rankings!Y2:Y651)</f>
        <v>-0.62904505268358191</v>
      </c>
      <c r="S119" s="121">
        <f>(VLOOKUP($A119,Hitters!$A1:$R401,17,FALSE)-AVERAGE(Rankings!Z2:Z651))/STDEV(Rankings!Z2:Z651)</f>
        <v>0.28648890951163675</v>
      </c>
      <c r="T119" s="121">
        <f>IFERROR((VLOOKUP($A119,Hitters!$A1:$R401,18,FALSE)-AVERAGE(Rankings!AA2:AA651))/STDEV(Rankings!AA2:AA651),0)</f>
        <v>0</v>
      </c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</row>
    <row r="120" spans="1:37" ht="18.600000000000001" customHeight="1">
      <c r="A120" s="25" t="s">
        <v>363</v>
      </c>
      <c r="B120" s="26" t="s">
        <v>64</v>
      </c>
      <c r="C120" s="123" t="s">
        <v>15</v>
      </c>
      <c r="D120" s="67">
        <f>(F120*Settings!$C$2)+(G120*Settings!$C$3)+(H120*Settings!$C$4)+(I120*Settings!$C$5)+(J120*Settings!$C$6)+(M120*Settings!$C$9)+(N120*Settings!$C$10)+(O120*Settings!$C$11)+(P120*Settings!$C$12)+(Q120*Settings!$C$13)+(T120*Settings!$C$16)+(K120*Settings!$C$7)+(L120*Settings!$C$8)+(R120*Settings!$C$14)+(S120*Settings!$C$15)</f>
        <v>0.31502301910439984</v>
      </c>
      <c r="E120" s="67"/>
      <c r="F120" s="121">
        <f>(VLOOKUP($A120,Hitters!$A1:$R401,4,FALSE)-AVERAGE(Rankings!M2:M651))/STDEV(Rankings!M2:M651)</f>
        <v>0.47615785633016294</v>
      </c>
      <c r="G120" s="121">
        <f>(VLOOKUP($A120,Hitters!$A1:$R401,5,FALSE)-AVERAGE(Rankings!N2:N651))/STDEV(Rankings!N2:N651)</f>
        <v>0.2517029890260401</v>
      </c>
      <c r="H120" s="121">
        <f>(VLOOKUP($A120,Hitters!$A1:$R401,6,FALSE)-AVERAGE(Rankings!O2:O651))/STDEV(Rankings!O2:O651)</f>
        <v>-0.2293496416029091</v>
      </c>
      <c r="I120" s="121">
        <f>(VLOOKUP($A120,Hitters!$A1:$R401,7,FALSE)-AVERAGE(Rankings!P2:P651))/STDEV(Rankings!P2:P651)</f>
        <v>3.5165144427793511E-2</v>
      </c>
      <c r="J120" s="121">
        <f>(VLOOKUP($A120,Hitters!$A1:$R401,8,FALSE)-AVERAGE(Rankings!Q2:Q651))/STDEV(Rankings!Q2:Q651)</f>
        <v>0.57880520787394651</v>
      </c>
      <c r="K120" s="121">
        <f>(VLOOKUP($A120,Hitters!$A1:$R401,9,FALSE)-AVERAGE(Rankings!R2:R651))/STDEV(Rankings!R2:R651)</f>
        <v>-0.32130068062047118</v>
      </c>
      <c r="L120" s="121">
        <f>(VLOOKUP($A120,Hitters!$A1:$R401,10,FALSE)-AVERAGE(Rankings!S2:S651))/STDEV(Rankings!S2:S651)</f>
        <v>-0.25630079462080174</v>
      </c>
      <c r="M120" s="121">
        <f>(VLOOKUP($A120,Hitters!$A1:$R401,11,FALSE)-AVERAGE(Rankings!T2:T651))/STDEV(Rankings!T2:T651)</f>
        <v>0.29909453288497695</v>
      </c>
      <c r="N120" s="121">
        <f>(VLOOKUP($A120,Hitters!$A1:$R401,12,FALSE)-AVERAGE(Rankings!U2:U651))/STDEV(Rankings!U2:U651)</f>
        <v>0.48793766504220376</v>
      </c>
      <c r="O120" s="121">
        <f>(VLOOKUP($A120,Hitters!$A1:$R401,13,FALSE)-AVERAGE(Rankings!V2:V651))/STDEV(Rankings!V2:V651)</f>
        <v>0.54346965982130502</v>
      </c>
      <c r="P120" s="121">
        <f>(VLOOKUP($A120,Hitters!$A1:$R401,14,FALSE)-AVERAGE(Rankings!W2:W651))/STDEV(Rankings!W2:W651)</f>
        <v>0.27088757245231887</v>
      </c>
      <c r="Q120" s="121">
        <f>(VLOOKUP($A120,Hitters!$A1:$R401,15,FALSE)-AVERAGE(Rankings!X2:X651))/STDEV(Rankings!X2:X651)</f>
        <v>-2.5044678636774981E-2</v>
      </c>
      <c r="R120" s="121">
        <f>(VLOOKUP($A120,Hitters!$A1:$R401,16,FALSE)-AVERAGE(Rankings!Y2:Y651))/STDEV(Rankings!Y2:Y651)</f>
        <v>-0.5899371091824005</v>
      </c>
      <c r="S120" s="121">
        <f>(VLOOKUP($A120,Hitters!$A1:$R401,17,FALSE)-AVERAGE(Rankings!Z2:Z651))/STDEV(Rankings!Z2:Z651)</f>
        <v>-0.5300243901405598</v>
      </c>
      <c r="T120" s="121">
        <f>IFERROR((VLOOKUP($A120,Hitters!$A1:$R401,18,FALSE)-AVERAGE(Rankings!AA2:AA651))/STDEV(Rankings!AA2:AA651),0)</f>
        <v>0</v>
      </c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</row>
    <row r="121" spans="1:37" ht="18.600000000000001" customHeight="1">
      <c r="A121" s="25" t="s">
        <v>388</v>
      </c>
      <c r="B121" s="26" t="s">
        <v>309</v>
      </c>
      <c r="C121" s="123" t="s">
        <v>15</v>
      </c>
      <c r="D121" s="67">
        <f>(F121*Settings!$C$2)+(G121*Settings!$C$3)+(H121*Settings!$C$4)+(I121*Settings!$C$5)+(J121*Settings!$C$6)+(M121*Settings!$C$9)+(N121*Settings!$C$10)+(O121*Settings!$C$11)+(P121*Settings!$C$12)+(Q121*Settings!$C$13)+(T121*Settings!$C$16)+(K121*Settings!$C$7)+(L121*Settings!$C$8)+(R121*Settings!$C$14)+(S121*Settings!$C$15)</f>
        <v>-5.6954674041227032E-2</v>
      </c>
      <c r="E121" s="67"/>
      <c r="F121" s="121">
        <f>(VLOOKUP($A121,Hitters!$A1:$R401,4,FALSE)-AVERAGE(Rankings!M2:M651))/STDEV(Rankings!M2:M651)</f>
        <v>0.70338136111304594</v>
      </c>
      <c r="G121" s="121">
        <f>(VLOOKUP($A121,Hitters!$A1:$R401,5,FALSE)-AVERAGE(Rankings!N2:N651))/STDEV(Rankings!N2:N651)</f>
        <v>0.32607822520786722</v>
      </c>
      <c r="H121" s="121">
        <f>(VLOOKUP($A121,Hitters!$A1:$R401,6,FALSE)-AVERAGE(Rankings!O2:O651))/STDEV(Rankings!O2:O651)</f>
        <v>0.13405013792594733</v>
      </c>
      <c r="I121" s="121">
        <f>(VLOOKUP($A121,Hitters!$A1:$R401,7,FALSE)-AVERAGE(Rankings!P2:P651))/STDEV(Rankings!P2:P651)</f>
        <v>0.45600044820077085</v>
      </c>
      <c r="J121" s="121">
        <f>(VLOOKUP($A121,Hitters!$A1:$R401,8,FALSE)-AVERAGE(Rankings!Q2:Q651))/STDEV(Rankings!Q2:Q651)</f>
        <v>-0.83677653227540505</v>
      </c>
      <c r="K121" s="121">
        <f>(VLOOKUP($A121,Hitters!$A1:$R401,9,FALSE)-AVERAGE(Rankings!R2:R651))/STDEV(Rankings!R2:R651)</f>
        <v>-0.13630695310040733</v>
      </c>
      <c r="L121" s="121">
        <f>(VLOOKUP($A121,Hitters!$A1:$R401,10,FALSE)-AVERAGE(Rankings!S2:S651))/STDEV(Rankings!S2:S651)</f>
        <v>-0.1380453977564276</v>
      </c>
      <c r="M121" s="121">
        <f>(VLOOKUP($A121,Hitters!$A1:$R401,11,FALSE)-AVERAGE(Rankings!T2:T651))/STDEV(Rankings!T2:T651)</f>
        <v>0.5402139493268201</v>
      </c>
      <c r="N121" s="121">
        <f>(VLOOKUP($A121,Hitters!$A1:$R401,12,FALSE)-AVERAGE(Rankings!U2:U651))/STDEV(Rankings!U2:U651)</f>
        <v>1.0917108663819661</v>
      </c>
      <c r="O121" s="121">
        <f>(VLOOKUP($A121,Hitters!$A1:$R401,13,FALSE)-AVERAGE(Rankings!V2:V651))/STDEV(Rankings!V2:V651)</f>
        <v>0.4605045286483534</v>
      </c>
      <c r="P121" s="121">
        <f>(VLOOKUP($A121,Hitters!$A1:$R401,14,FALSE)-AVERAGE(Rankings!W2:W651))/STDEV(Rankings!W2:W651)</f>
        <v>0.3972013457404921</v>
      </c>
      <c r="Q121" s="121">
        <f>(VLOOKUP($A121,Hitters!$A1:$R401,15,FALSE)-AVERAGE(Rankings!X2:X651))/STDEV(Rankings!X2:X651)</f>
        <v>0.75469957042924396</v>
      </c>
      <c r="R121" s="121">
        <f>(VLOOKUP($A121,Hitters!$A1:$R401,16,FALSE)-AVERAGE(Rankings!Y2:Y651))/STDEV(Rankings!Y2:Y651)</f>
        <v>-7.2343844259648515E-2</v>
      </c>
      <c r="S121" s="121">
        <f>(VLOOKUP($A121,Hitters!$A1:$R401,17,FALSE)-AVERAGE(Rankings!Z2:Z651))/STDEV(Rankings!Z2:Z651)</f>
        <v>-0.10684578874447669</v>
      </c>
      <c r="T121" s="121">
        <f>IFERROR((VLOOKUP($A121,Hitters!$A1:$R401,18,FALSE)-AVERAGE(Rankings!AA2:AA651))/STDEV(Rankings!AA2:AA651),0)</f>
        <v>0</v>
      </c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</row>
    <row r="122" spans="1:37" ht="18.600000000000001" customHeight="1">
      <c r="A122" s="25" t="s">
        <v>377</v>
      </c>
      <c r="B122" s="26" t="s">
        <v>87</v>
      </c>
      <c r="C122" s="123" t="s">
        <v>15</v>
      </c>
      <c r="D122" s="67">
        <f>(F122*Settings!$C$2)+(G122*Settings!$C$3)+(H122*Settings!$C$4)+(I122*Settings!$C$5)+(J122*Settings!$C$6)+(M122*Settings!$C$9)+(N122*Settings!$C$10)+(O122*Settings!$C$11)+(P122*Settings!$C$12)+(Q122*Settings!$C$13)+(T122*Settings!$C$16)+(K122*Settings!$C$7)+(L122*Settings!$C$8)+(R122*Settings!$C$14)+(S122*Settings!$C$15)</f>
        <v>4.1709558978143768E-2</v>
      </c>
      <c r="E122" s="67"/>
      <c r="F122" s="121">
        <f>(VLOOKUP($A122,Hitters!$A1:$R401,4,FALSE)-AVERAGE(Rankings!M2:M651))/STDEV(Rankings!M2:M651)</f>
        <v>0.49914138325072777</v>
      </c>
      <c r="G122" s="121">
        <f>(VLOOKUP($A122,Hitters!$A1:$R401,5,FALSE)-AVERAGE(Rankings!N2:N651))/STDEV(Rankings!N2:N651)</f>
        <v>-0.14294112132652045</v>
      </c>
      <c r="H122" s="121">
        <f>(VLOOKUP($A122,Hitters!$A1:$R401,6,FALSE)-AVERAGE(Rankings!O2:O651))/STDEV(Rankings!O2:O651)</f>
        <v>0.71883139234020343</v>
      </c>
      <c r="I122" s="121">
        <f>(VLOOKUP($A122,Hitters!$A1:$R401,7,FALSE)-AVERAGE(Rankings!P2:P651))/STDEV(Rankings!P2:P651)</f>
        <v>0.54695020249602644</v>
      </c>
      <c r="J122" s="121">
        <f>(VLOOKUP($A122,Hitters!$A1:$R401,8,FALSE)-AVERAGE(Rankings!Q2:Q651))/STDEV(Rankings!Q2:Q651)</f>
        <v>6.5487597284640559E-3</v>
      </c>
      <c r="K122" s="121">
        <f>(VLOOKUP($A122,Hitters!$A1:$R401,9,FALSE)-AVERAGE(Rankings!R2:R651))/STDEV(Rankings!R2:R651)</f>
        <v>-1.0876796742600296</v>
      </c>
      <c r="L122" s="121">
        <f>(VLOOKUP($A122,Hitters!$A1:$R401,10,FALSE)-AVERAGE(Rankings!S2:S651))/STDEV(Rankings!S2:S651)</f>
        <v>-1.8206216161959419</v>
      </c>
      <c r="M122" s="121">
        <f>(VLOOKUP($A122,Hitters!$A1:$R401,11,FALSE)-AVERAGE(Rankings!T2:T651))/STDEV(Rankings!T2:T651)</f>
        <v>0.12803622989980465</v>
      </c>
      <c r="N122" s="121">
        <f>(VLOOKUP($A122,Hitters!$A1:$R401,12,FALSE)-AVERAGE(Rankings!U2:U651))/STDEV(Rankings!U2:U651)</f>
        <v>4.9989497873209478E-2</v>
      </c>
      <c r="O122" s="121">
        <f>(VLOOKUP($A122,Hitters!$A1:$R401,13,FALSE)-AVERAGE(Rankings!V2:V651))/STDEV(Rankings!V2:V651)</f>
        <v>1.0136054031347017</v>
      </c>
      <c r="P122" s="121">
        <f>(VLOOKUP($A122,Hitters!$A1:$R401,14,FALSE)-AVERAGE(Rankings!W2:W651))/STDEV(Rankings!W2:W651)</f>
        <v>-0.57615773077424415</v>
      </c>
      <c r="Q122" s="121">
        <f>(VLOOKUP($A122,Hitters!$A1:$R401,15,FALSE)-AVERAGE(Rankings!X2:X651))/STDEV(Rankings!X2:X651)</f>
        <v>1.5987727200431798</v>
      </c>
      <c r="R122" s="121">
        <f>(VLOOKUP($A122,Hitters!$A1:$R401,16,FALSE)-AVERAGE(Rankings!Y2:Y651))/STDEV(Rankings!Y2:Y651)</f>
        <v>7.0932615647563368E-2</v>
      </c>
      <c r="S122" s="121">
        <f>(VLOOKUP($A122,Hitters!$A1:$R401,17,FALSE)-AVERAGE(Rankings!Z2:Z651))/STDEV(Rankings!Z2:Z651)</f>
        <v>-0.66300462711589203</v>
      </c>
      <c r="T122" s="121">
        <f>IFERROR((VLOOKUP($A122,Hitters!$A1:$R401,18,FALSE)-AVERAGE(Rankings!AA2:AA651))/STDEV(Rankings!AA2:AA651),0)</f>
        <v>0</v>
      </c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</row>
    <row r="123" spans="1:37" ht="18.600000000000001" customHeight="1">
      <c r="A123" s="25" t="s">
        <v>405</v>
      </c>
      <c r="B123" s="26" t="s">
        <v>97</v>
      </c>
      <c r="C123" s="123" t="s">
        <v>15</v>
      </c>
      <c r="D123" s="67">
        <f>(F123*Settings!$C$2)+(G123*Settings!$C$3)+(H123*Settings!$C$4)+(I123*Settings!$C$5)+(J123*Settings!$C$6)+(M123*Settings!$C$9)+(N123*Settings!$C$10)+(O123*Settings!$C$11)+(P123*Settings!$C$12)+(Q123*Settings!$C$13)+(T123*Settings!$C$16)+(K123*Settings!$C$7)+(L123*Settings!$C$8)+(R123*Settings!$C$14)+(S123*Settings!$C$15)</f>
        <v>-0.30856337858712729</v>
      </c>
      <c r="E123" s="67"/>
      <c r="F123" s="121">
        <f>(VLOOKUP($A123,Hitters!$A1:$R401,4,FALSE)-AVERAGE(Rankings!M2:M651))/STDEV(Rankings!M2:M651)</f>
        <v>0.46571079863899029</v>
      </c>
      <c r="G123" s="121">
        <f>(VLOOKUP($A123,Hitters!$A1:$R401,5,FALSE)-AVERAGE(Rankings!N2:N651))/STDEV(Rankings!N2:N651)</f>
        <v>0.1150954123655389</v>
      </c>
      <c r="H123" s="121">
        <f>(VLOOKUP($A123,Hitters!$A1:$R401,6,FALSE)-AVERAGE(Rankings!O2:O651))/STDEV(Rankings!O2:O651)</f>
        <v>0.3721396486517502</v>
      </c>
      <c r="I123" s="121">
        <f>(VLOOKUP($A123,Hitters!$A1:$R401,7,FALSE)-AVERAGE(Rankings!P2:P651))/STDEV(Rankings!P2:P651)</f>
        <v>0.44983436316380121</v>
      </c>
      <c r="J123" s="121">
        <f>(VLOOKUP($A123,Hitters!$A1:$R401,8,FALSE)-AVERAGE(Rankings!Q2:Q651))/STDEV(Rankings!Q2:Q651)</f>
        <v>-0.78657859822755616</v>
      </c>
      <c r="K123" s="121">
        <f>(VLOOKUP($A123,Hitters!$A1:$R401,9,FALSE)-AVERAGE(Rankings!R2:R651))/STDEV(Rankings!R2:R651)</f>
        <v>-0.45905420454066143</v>
      </c>
      <c r="L123" s="121">
        <f>(VLOOKUP($A123,Hitters!$A1:$R401,10,FALSE)-AVERAGE(Rankings!S2:S651))/STDEV(Rankings!S2:S651)</f>
        <v>-0.70476885092768027</v>
      </c>
      <c r="M123" s="121">
        <f>(VLOOKUP($A123,Hitters!$A1:$R401,11,FALSE)-AVERAGE(Rankings!T2:T651))/STDEV(Rankings!T2:T651)</f>
        <v>0.25632995713867701</v>
      </c>
      <c r="N123" s="121">
        <f>(VLOOKUP($A123,Hitters!$A1:$R401,12,FALSE)-AVERAGE(Rankings!U2:U651))/STDEV(Rankings!U2:U651)</f>
        <v>0.16904336855993268</v>
      </c>
      <c r="O123" s="121">
        <f>(VLOOKUP($A123,Hitters!$A1:$R401,13,FALSE)-AVERAGE(Rankings!V2:V651))/STDEV(Rankings!V2:V651)</f>
        <v>1.5390512338967277</v>
      </c>
      <c r="P123" s="121">
        <f>(VLOOKUP($A123,Hitters!$A1:$R401,14,FALSE)-AVERAGE(Rankings!W2:W651))/STDEV(Rankings!W2:W651)</f>
        <v>-4.8611971747172612E-2</v>
      </c>
      <c r="Q123" s="121">
        <f>(VLOOKUP($A123,Hitters!$A1:$R401,15,FALSE)-AVERAGE(Rankings!X2:X651))/STDEV(Rankings!X2:X651)</f>
        <v>0.39894125679286757</v>
      </c>
      <c r="R123" s="121">
        <f>(VLOOKUP($A123,Hitters!$A1:$R401,16,FALSE)-AVERAGE(Rankings!Y2:Y651))/STDEV(Rankings!Y2:Y651)</f>
        <v>9.078909310246204E-2</v>
      </c>
      <c r="S123" s="121">
        <f>(VLOOKUP($A123,Hitters!$A1:$R401,17,FALSE)-AVERAGE(Rankings!Z2:Z651))/STDEV(Rankings!Z2:Z651)</f>
        <v>-0.21055230161863381</v>
      </c>
      <c r="T123" s="121">
        <f>IFERROR((VLOOKUP($A123,Hitters!$A1:$R401,18,FALSE)-AVERAGE(Rankings!AA2:AA651))/STDEV(Rankings!AA2:AA651),0)</f>
        <v>0</v>
      </c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</row>
    <row r="124" spans="1:37" ht="18.600000000000001" customHeight="1">
      <c r="A124" s="25" t="s">
        <v>407</v>
      </c>
      <c r="B124" s="26" t="s">
        <v>225</v>
      </c>
      <c r="C124" s="123" t="s">
        <v>15</v>
      </c>
      <c r="D124" s="67">
        <f>(F124*Settings!$C$2)+(G124*Settings!$C$3)+(H124*Settings!$C$4)+(I124*Settings!$C$5)+(J124*Settings!$C$6)+(M124*Settings!$C$9)+(N124*Settings!$C$10)+(O124*Settings!$C$11)+(P124*Settings!$C$12)+(Q124*Settings!$C$13)+(T124*Settings!$C$16)+(K124*Settings!$C$7)+(L124*Settings!$C$8)+(R124*Settings!$C$14)+(S124*Settings!$C$15)</f>
        <v>-0.32529554257173376</v>
      </c>
      <c r="E124" s="67"/>
      <c r="F124" s="121">
        <f>(VLOOKUP($A124,Hitters!$A1:$R401,4,FALSE)-AVERAGE(Rankings!M2:M651))/STDEV(Rankings!M2:M651)</f>
        <v>0.42914609671991133</v>
      </c>
      <c r="G124" s="121">
        <f>(VLOOKUP($A124,Hitters!$A1:$R401,5,FALSE)-AVERAGE(Rankings!N2:N651))/STDEV(Rankings!N2:N651)</f>
        <v>3.7684452257921733E-2</v>
      </c>
      <c r="H124" s="121">
        <f>(VLOOKUP($A124,Hitters!$A1:$R401,6,FALSE)-AVERAGE(Rankings!O2:O651))/STDEV(Rankings!O2:O651)</f>
        <v>0.13822714688604509</v>
      </c>
      <c r="I124" s="121">
        <f>(VLOOKUP($A124,Hitters!$A1:$R401,7,FALSE)-AVERAGE(Rankings!P2:P651))/STDEV(Rankings!P2:P651)</f>
        <v>0.22631378057375987</v>
      </c>
      <c r="J124" s="121">
        <f>(VLOOKUP($A124,Hitters!$A1:$R401,8,FALSE)-AVERAGE(Rankings!Q2:Q651))/STDEV(Rankings!Q2:Q651)</f>
        <v>-0.43519305989260976</v>
      </c>
      <c r="K124" s="121">
        <f>(VLOOKUP($A124,Hitters!$A1:$R401,9,FALSE)-AVERAGE(Rankings!R2:R651))/STDEV(Rankings!R2:R651)</f>
        <v>-0.29232786239685066</v>
      </c>
      <c r="L124" s="121">
        <f>(VLOOKUP($A124,Hitters!$A1:$R401,10,FALSE)-AVERAGE(Rankings!S2:S651))/STDEV(Rankings!S2:S651)</f>
        <v>-0.34529196663829959</v>
      </c>
      <c r="M124" s="121">
        <f>(VLOOKUP($A124,Hitters!$A1:$R401,11,FALSE)-AVERAGE(Rankings!T2:T651))/STDEV(Rankings!T2:T651)</f>
        <v>0.26633868763249885</v>
      </c>
      <c r="N124" s="121">
        <f>(VLOOKUP($A124,Hitters!$A1:$R401,12,FALSE)-AVERAGE(Rankings!U2:U651))/STDEV(Rankings!U2:U651)</f>
        <v>0.52620498062007637</v>
      </c>
      <c r="O124" s="121">
        <f>(VLOOKUP($A124,Hitters!$A1:$R401,13,FALSE)-AVERAGE(Rankings!V2:V651))/STDEV(Rankings!V2:V651)</f>
        <v>-0.45211191425411734</v>
      </c>
      <c r="P124" s="121">
        <f>(VLOOKUP($A124,Hitters!$A1:$R401,14,FALSE)-AVERAGE(Rankings!W2:W651))/STDEV(Rankings!W2:W651)</f>
        <v>0.13714357720601916</v>
      </c>
      <c r="Q124" s="121">
        <f>(VLOOKUP($A124,Hitters!$A1:$R401,15,FALSE)-AVERAGE(Rankings!X2:X651))/STDEV(Rankings!X2:X651)</f>
        <v>0.3706755277642147</v>
      </c>
      <c r="R124" s="121">
        <f>(VLOOKUP($A124,Hitters!$A1:$R401,16,FALSE)-AVERAGE(Rankings!Y2:Y651))/STDEV(Rankings!Y2:Y651)</f>
        <v>-0.1830733622574986</v>
      </c>
      <c r="S124" s="121">
        <f>(VLOOKUP($A124,Hitters!$A1:$R401,17,FALSE)-AVERAGE(Rankings!Z2:Z651))/STDEV(Rankings!Z2:Z651)</f>
        <v>-0.26879593514815769</v>
      </c>
      <c r="T124" s="121">
        <f>IFERROR((VLOOKUP($A124,Hitters!$A1:$R401,18,FALSE)-AVERAGE(Rankings!AA2:AA651))/STDEV(Rankings!AA2:AA651),0)</f>
        <v>0</v>
      </c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</row>
    <row r="125" spans="1:37" ht="18.600000000000001" customHeight="1">
      <c r="A125" s="25" t="s">
        <v>406</v>
      </c>
      <c r="B125" s="26" t="s">
        <v>136</v>
      </c>
      <c r="C125" s="123" t="s">
        <v>15</v>
      </c>
      <c r="D125" s="67">
        <f>(F125*Settings!$C$2)+(G125*Settings!$C$3)+(H125*Settings!$C$4)+(I125*Settings!$C$5)+(J125*Settings!$C$6)+(M125*Settings!$C$9)+(N125*Settings!$C$10)+(O125*Settings!$C$11)+(P125*Settings!$C$12)+(Q125*Settings!$C$13)+(T125*Settings!$C$16)+(K125*Settings!$C$7)+(L125*Settings!$C$8)+(R125*Settings!$C$14)+(S125*Settings!$C$15)</f>
        <v>-0.32327571204515071</v>
      </c>
      <c r="E125" s="67"/>
      <c r="F125" s="121">
        <f>(VLOOKUP($A125,Hitters!$A1:$R401,4,FALSE)-AVERAGE(Rankings!M2:M651))/STDEV(Rankings!M2:M651)</f>
        <v>7.916966406581287E-2</v>
      </c>
      <c r="G125" s="121">
        <f>(VLOOKUP($A125,Hitters!$A1:$R401,5,FALSE)-AVERAGE(Rankings!N2:N651))/STDEV(Rankings!N2:N651)</f>
        <v>-0.37820972557516297</v>
      </c>
      <c r="H125" s="121">
        <f>(VLOOKUP($A125,Hitters!$A1:$R401,6,FALSE)-AVERAGE(Rankings!O2:O651))/STDEV(Rankings!O2:O651)</f>
        <v>-0.97703424546113182</v>
      </c>
      <c r="I125" s="121">
        <f>(VLOOKUP($A125,Hitters!$A1:$R401,7,FALSE)-AVERAGE(Rankings!P2:P651))/STDEV(Rankings!P2:P651)</f>
        <v>-0.45195557349257864</v>
      </c>
      <c r="J125" s="121">
        <f>(VLOOKUP($A125,Hitters!$A1:$R401,8,FALSE)-AVERAGE(Rankings!Q2:Q651))/STDEV(Rankings!Q2:Q651)</f>
        <v>0.72939901001749452</v>
      </c>
      <c r="K125" s="121">
        <f>(VLOOKUP($A125,Hitters!$A1:$R401,9,FALSE)-AVERAGE(Rankings!R2:R651))/STDEV(Rankings!R2:R651)</f>
        <v>0.7545248224662281</v>
      </c>
      <c r="L125" s="121">
        <f>(VLOOKUP($A125,Hitters!$A1:$R401,10,FALSE)-AVERAGE(Rankings!S2:S651))/STDEV(Rankings!S2:S651)</f>
        <v>-0.50373230100819621</v>
      </c>
      <c r="M125" s="121">
        <f>(VLOOKUP($A125,Hitters!$A1:$R401,11,FALSE)-AVERAGE(Rankings!T2:T651))/STDEV(Rankings!T2:T651)</f>
        <v>0.19809734335650298</v>
      </c>
      <c r="N125" s="121">
        <f>(VLOOKUP($A125,Hitters!$A1:$R401,12,FALSE)-AVERAGE(Rankings!U2:U651))/STDEV(Rankings!U2:U651)</f>
        <v>0.59423576386962329</v>
      </c>
      <c r="O125" s="121">
        <f>(VLOOKUP($A125,Hitters!$A1:$R401,13,FALSE)-AVERAGE(Rankings!V2:V651))/STDEV(Rankings!V2:V651)</f>
        <v>0.73705496589152353</v>
      </c>
      <c r="P125" s="121">
        <f>(VLOOKUP($A125,Hitters!$A1:$R401,14,FALSE)-AVERAGE(Rankings!W2:W651))/STDEV(Rankings!W2:W651)</f>
        <v>-0.88265438654701367</v>
      </c>
      <c r="Q125" s="121">
        <f>(VLOOKUP($A125,Hitters!$A1:$R401,15,FALSE)-AVERAGE(Rankings!X2:X651))/STDEV(Rankings!X2:X651)</f>
        <v>-0.5455239648883361</v>
      </c>
      <c r="R125" s="121">
        <f>(VLOOKUP($A125,Hitters!$A1:$R401,16,FALSE)-AVERAGE(Rankings!Y2:Y651))/STDEV(Rankings!Y2:Y651)</f>
        <v>-0.62261175055942974</v>
      </c>
      <c r="S125" s="121">
        <f>(VLOOKUP($A125,Hitters!$A1:$R401,17,FALSE)-AVERAGE(Rankings!Z2:Z651))/STDEV(Rankings!Z2:Z651)</f>
        <v>-0.65093126439903937</v>
      </c>
      <c r="T125" s="121">
        <f>IFERROR((VLOOKUP($A125,Hitters!$A1:$R401,18,FALSE)-AVERAGE(Rankings!AA2:AA651))/STDEV(Rankings!AA2:AA651),0)</f>
        <v>0</v>
      </c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</row>
    <row r="126" spans="1:37" ht="18.600000000000001" customHeight="1">
      <c r="A126" s="25" t="s">
        <v>450</v>
      </c>
      <c r="B126" s="26" t="s">
        <v>69</v>
      </c>
      <c r="C126" s="123" t="s">
        <v>15</v>
      </c>
      <c r="D126" s="67">
        <f>(F126*Settings!$C$2)+(G126*Settings!$C$3)+(H126*Settings!$C$4)+(I126*Settings!$C$5)+(J126*Settings!$C$6)+(M126*Settings!$C$9)+(N126*Settings!$C$10)+(O126*Settings!$C$11)+(P126*Settings!$C$12)+(Q126*Settings!$C$13)+(T126*Settings!$C$16)+(K126*Settings!$C$7)+(L126*Settings!$C$8)+(R126*Settings!$C$14)+(S126*Settings!$C$15)</f>
        <v>-1.1749506231925486</v>
      </c>
      <c r="E126" s="67"/>
      <c r="F126" s="121">
        <f>(VLOOKUP($A126,Hitters!$A1:$R401,4,FALSE)-AVERAGE(Rankings!M2:M651))/STDEV(Rankings!M2:M651)</f>
        <v>7.6557899643023938E-2</v>
      </c>
      <c r="G126" s="121">
        <f>(VLOOKUP($A126,Hitters!$A1:$R401,5,FALSE)-AVERAGE(Rankings!N2:N651))/STDEV(Rankings!N2:N651)</f>
        <v>3.0095142443447936E-2</v>
      </c>
      <c r="H126" s="121">
        <f>(VLOOKUP($A126,Hitters!$A1:$R401,6,FALSE)-AVERAGE(Rankings!O2:O651))/STDEV(Rankings!O2:O651)</f>
        <v>0.26353741568909889</v>
      </c>
      <c r="I126" s="121">
        <f>(VLOOKUP($A126,Hitters!$A1:$R401,7,FALSE)-AVERAGE(Rankings!P2:P651))/STDEV(Rankings!P2:P651)</f>
        <v>0.2201476955367945</v>
      </c>
      <c r="J126" s="121">
        <f>(VLOOKUP($A126,Hitters!$A1:$R401,8,FALSE)-AVERAGE(Rankings!Q2:Q651))/STDEV(Rankings!Q2:Q651)</f>
        <v>-0.77151921801320145</v>
      </c>
      <c r="K126" s="121">
        <f>(VLOOKUP($A126,Hitters!$A1:$R401,9,FALSE)-AVERAGE(Rankings!R2:R651))/STDEV(Rankings!R2:R651)</f>
        <v>-0.91721165884868838</v>
      </c>
      <c r="L126" s="121">
        <f>(VLOOKUP($A126,Hitters!$A1:$R401,10,FALSE)-AVERAGE(Rankings!S2:S651))/STDEV(Rankings!S2:S651)</f>
        <v>0.20594881934039516</v>
      </c>
      <c r="M126" s="121">
        <f>(VLOOKUP($A126,Hitters!$A1:$R401,11,FALSE)-AVERAGE(Rankings!T2:T651))/STDEV(Rankings!T2:T651)</f>
        <v>-0.16949603114353723</v>
      </c>
      <c r="N126" s="121">
        <f>(VLOOKUP($A126,Hitters!$A1:$R401,12,FALSE)-AVERAGE(Rankings!U2:U651))/STDEV(Rankings!U2:U651)</f>
        <v>2.447795415462788E-2</v>
      </c>
      <c r="O126" s="121">
        <f>(VLOOKUP($A126,Hitters!$A1:$R401,13,FALSE)-AVERAGE(Rankings!V2:V651))/STDEV(Rankings!V2:V651)</f>
        <v>-1.254108182259319</v>
      </c>
      <c r="P126" s="121">
        <f>(VLOOKUP($A126,Hitters!$A1:$R401,14,FALSE)-AVERAGE(Rankings!W2:W651))/STDEV(Rankings!W2:W651)</f>
        <v>0.77985777658407296</v>
      </c>
      <c r="Q126" s="121">
        <f>(VLOOKUP($A126,Hitters!$A1:$R401,15,FALSE)-AVERAGE(Rankings!X2:X651))/STDEV(Rankings!X2:X651)</f>
        <v>0.57828243407803992</v>
      </c>
      <c r="R126" s="121">
        <f>(VLOOKUP($A126,Hitters!$A1:$R401,16,FALSE)-AVERAGE(Rankings!Y2:Y651))/STDEV(Rankings!Y2:Y651)</f>
        <v>-0.21178481000242835</v>
      </c>
      <c r="S126" s="121">
        <f>(VLOOKUP($A126,Hitters!$A1:$R401,17,FALSE)-AVERAGE(Rankings!Z2:Z651))/STDEV(Rankings!Z2:Z651)</f>
        <v>-7.3320185187017134E-2</v>
      </c>
      <c r="T126" s="121">
        <f>IFERROR((VLOOKUP($A126,Hitters!$A1:$R401,18,FALSE)-AVERAGE(Rankings!AA2:AA651))/STDEV(Rankings!AA2:AA651),0)</f>
        <v>0</v>
      </c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</row>
    <row r="127" spans="1:37" ht="18.600000000000001" customHeight="1">
      <c r="A127" s="25" t="s">
        <v>421</v>
      </c>
      <c r="B127" s="26" t="s">
        <v>158</v>
      </c>
      <c r="C127" s="123" t="s">
        <v>15</v>
      </c>
      <c r="D127" s="67">
        <f>(F127*Settings!$C$2)+(G127*Settings!$C$3)+(H127*Settings!$C$4)+(I127*Settings!$C$5)+(J127*Settings!$C$6)+(M127*Settings!$C$9)+(N127*Settings!$C$10)+(O127*Settings!$C$11)+(P127*Settings!$C$12)+(Q127*Settings!$C$13)+(T127*Settings!$C$16)+(K127*Settings!$C$7)+(L127*Settings!$C$8)+(R127*Settings!$C$14)+(S127*Settings!$C$15)</f>
        <v>-0.78418180392773484</v>
      </c>
      <c r="E127" s="67"/>
      <c r="F127" s="121">
        <f>(VLOOKUP($A127,Hitters!$A1:$R401,4,FALSE)-AVERAGE(Rankings!M2:M651))/STDEV(Rankings!M2:M651)</f>
        <v>-0.15066560513985905</v>
      </c>
      <c r="G127" s="121">
        <f>(VLOOKUP($A127,Hitters!$A1:$R401,5,FALSE)-AVERAGE(Rankings!N2:N651))/STDEV(Rankings!N2:N651)</f>
        <v>-0.52240661205013339</v>
      </c>
      <c r="H127" s="121">
        <f>(VLOOKUP($A127,Hitters!$A1:$R401,6,FALSE)-AVERAGE(Rankings!O2:O651))/STDEV(Rankings!O2:O651)</f>
        <v>-0.69717464513431038</v>
      </c>
      <c r="I127" s="121">
        <f>(VLOOKUP($A127,Hitters!$A1:$R401,7,FALSE)-AVERAGE(Rankings!P2:P651))/STDEV(Rankings!P2:P651)</f>
        <v>-0.34713212786414349</v>
      </c>
      <c r="J127" s="121">
        <f>(VLOOKUP($A127,Hitters!$A1:$R401,8,FALSE)-AVERAGE(Rankings!Q2:Q651))/STDEV(Rankings!Q2:Q651)</f>
        <v>0.5035083068021724</v>
      </c>
      <c r="K127" s="121">
        <f>(VLOOKUP($A127,Hitters!$A1:$R401,9,FALSE)-AVERAGE(Rankings!R2:R651))/STDEV(Rankings!R2:R651)</f>
        <v>0.27902327431868001</v>
      </c>
      <c r="L127" s="121">
        <f>(VLOOKUP($A127,Hitters!$A1:$R401,10,FALSE)-AVERAGE(Rankings!S2:S651))/STDEV(Rankings!S2:S651)</f>
        <v>-0.79821416523065691</v>
      </c>
      <c r="M127" s="121">
        <f>(VLOOKUP($A127,Hitters!$A1:$R401,11,FALSE)-AVERAGE(Rankings!T2:T651))/STDEV(Rankings!T2:T651)</f>
        <v>-0.11035353277100654</v>
      </c>
      <c r="N127" s="121">
        <f>(VLOOKUP($A127,Hitters!$A1:$R401,12,FALSE)-AVERAGE(Rankings!U2:U651))/STDEV(Rankings!U2:U651)</f>
        <v>0.16053952065373472</v>
      </c>
      <c r="O127" s="121">
        <f>(VLOOKUP($A127,Hitters!$A1:$R401,13,FALSE)-AVERAGE(Rankings!V2:V651))/STDEV(Rankings!V2:V651)</f>
        <v>1.0689154905833309</v>
      </c>
      <c r="P127" s="121">
        <f>(VLOOKUP($A127,Hitters!$A1:$R401,14,FALSE)-AVERAGE(Rankings!W2:W651))/STDEV(Rankings!W2:W651)</f>
        <v>-0.90494505242139678</v>
      </c>
      <c r="Q127" s="121">
        <f>(VLOOKUP($A127,Hitters!$A1:$R401,15,FALSE)-AVERAGE(Rankings!X2:X651))/STDEV(Rankings!X2:X651)</f>
        <v>-3.6017117874609459E-3</v>
      </c>
      <c r="R127" s="121">
        <f>(VLOOKUP($A127,Hitters!$A1:$R401,16,FALSE)-AVERAGE(Rankings!Y2:Y651))/STDEV(Rankings!Y2:Y651)</f>
        <v>-0.36100195242193067</v>
      </c>
      <c r="S127" s="121">
        <f>(VLOOKUP($A127,Hitters!$A1:$R401,17,FALSE)-AVERAGE(Rankings!Z2:Z651))/STDEV(Rankings!Z2:Z651)</f>
        <v>-0.57609436071702169</v>
      </c>
      <c r="T127" s="121">
        <f>IFERROR((VLOOKUP($A127,Hitters!$A1:$R401,18,FALSE)-AVERAGE(Rankings!AA2:AA651))/STDEV(Rankings!AA2:AA651),0)</f>
        <v>0</v>
      </c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</row>
    <row r="128" spans="1:37" ht="18.600000000000001" customHeight="1">
      <c r="A128" s="25" t="s">
        <v>452</v>
      </c>
      <c r="B128" s="26" t="s">
        <v>85</v>
      </c>
      <c r="C128" s="123" t="s">
        <v>15</v>
      </c>
      <c r="D128" s="67">
        <f>(F128*Settings!$C$2)+(G128*Settings!$C$3)+(H128*Settings!$C$4)+(I128*Settings!$C$5)+(J128*Settings!$C$6)+(M128*Settings!$C$9)+(N128*Settings!$C$10)+(O128*Settings!$C$11)+(P128*Settings!$C$12)+(Q128*Settings!$C$13)+(T128*Settings!$C$16)+(K128*Settings!$C$7)+(L128*Settings!$C$8)+(R128*Settings!$C$14)+(S128*Settings!$C$15)</f>
        <v>-1.1861244773623556</v>
      </c>
      <c r="E128" s="67"/>
      <c r="F128" s="121">
        <f>(VLOOKUP($A128,Hitters!$A1:$R401,4,FALSE)-AVERAGE(Rankings!M2:M651))/STDEV(Rankings!M2:M651)</f>
        <v>-0.34132440800366304</v>
      </c>
      <c r="G128" s="121">
        <f>(VLOOKUP($A128,Hitters!$A1:$R401,5,FALSE)-AVERAGE(Rankings!N2:N651))/STDEV(Rankings!N2:N651)</f>
        <v>-0.50419226849539966</v>
      </c>
      <c r="H128" s="121">
        <f>(VLOOKUP($A128,Hitters!$A1:$R401,6,FALSE)-AVERAGE(Rankings!O2:O651))/STDEV(Rankings!O2:O651)</f>
        <v>-0.59692643009186708</v>
      </c>
      <c r="I128" s="121">
        <f>(VLOOKUP($A128,Hitters!$A1:$R401,7,FALSE)-AVERAGE(Rankings!P2:P651))/STDEV(Rankings!P2:P651)</f>
        <v>-0.34713212786414349</v>
      </c>
      <c r="J128" s="121">
        <f>(VLOOKUP($A128,Hitters!$A1:$R401,8,FALSE)-AVERAGE(Rankings!Q2:Q651))/STDEV(Rankings!Q2:Q651)</f>
        <v>-0.77151921801320145</v>
      </c>
      <c r="K128" s="121">
        <f>(VLOOKUP($A128,Hitters!$A1:$R401,9,FALSE)-AVERAGE(Rankings!R2:R651))/STDEV(Rankings!R2:R651)</f>
        <v>1.033645567102256</v>
      </c>
      <c r="L128" s="121">
        <f>(VLOOKUP($A128,Hitters!$A1:$R401,10,FALSE)-AVERAGE(Rankings!S2:S651))/STDEV(Rankings!S2:S651)</f>
        <v>0.29762507301649671</v>
      </c>
      <c r="M128" s="121">
        <f>(VLOOKUP($A128,Hitters!$A1:$R401,11,FALSE)-AVERAGE(Rankings!T2:T651))/STDEV(Rankings!T2:T651)</f>
        <v>-0.1376500704814049</v>
      </c>
      <c r="N128" s="121">
        <f>(VLOOKUP($A128,Hitters!$A1:$R401,12,FALSE)-AVERAGE(Rankings!U2:U651))/STDEV(Rankings!U2:U651)</f>
        <v>-0.22638555907808369</v>
      </c>
      <c r="O128" s="121">
        <f>(VLOOKUP($A128,Hitters!$A1:$R401,13,FALSE)-AVERAGE(Rankings!V2:V651))/STDEV(Rankings!V2:V651)</f>
        <v>0.10098896023223117</v>
      </c>
      <c r="P128" s="121">
        <f>(VLOOKUP($A128,Hitters!$A1:$R401,14,FALSE)-AVERAGE(Rankings!W2:W651))/STDEV(Rankings!W2:W651)</f>
        <v>-0.63931461741832818</v>
      </c>
      <c r="Q128" s="121">
        <f>(VLOOKUP($A128,Hitters!$A1:$R401,15,FALSE)-AVERAGE(Rankings!X2:X651))/STDEV(Rankings!X2:X651)</f>
        <v>-0.65078943851224758</v>
      </c>
      <c r="R128" s="121">
        <f>(VLOOKUP($A128,Hitters!$A1:$R401,16,FALSE)-AVERAGE(Rankings!Y2:Y651))/STDEV(Rankings!Y2:Y651)</f>
        <v>2.5044713151999718E-2</v>
      </c>
      <c r="S128" s="121">
        <f>(VLOOKUP($A128,Hitters!$A1:$R401,17,FALSE)-AVERAGE(Rankings!Z2:Z651))/STDEV(Rankings!Z2:Z651)</f>
        <v>0.13505514746506828</v>
      </c>
      <c r="T128" s="121">
        <f>IFERROR((VLOOKUP($A128,Hitters!$A1:$R401,18,FALSE)-AVERAGE(Rankings!AA2:AA651))/STDEV(Rankings!AA2:AA651),0)</f>
        <v>0</v>
      </c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</row>
    <row r="129" spans="1:37" ht="18.600000000000001" customHeight="1">
      <c r="A129" s="25" t="s">
        <v>460</v>
      </c>
      <c r="B129" s="26" t="s">
        <v>97</v>
      </c>
      <c r="C129" s="123" t="s">
        <v>15</v>
      </c>
      <c r="D129" s="67">
        <f>(F129*Settings!$C$2)+(G129*Settings!$C$3)+(H129*Settings!$C$4)+(I129*Settings!$C$5)+(J129*Settings!$C$6)+(M129*Settings!$C$9)+(N129*Settings!$C$10)+(O129*Settings!$C$11)+(P129*Settings!$C$12)+(Q129*Settings!$C$13)+(T129*Settings!$C$16)+(K129*Settings!$C$7)+(L129*Settings!$C$8)+(R129*Settings!$C$14)+(S129*Settings!$C$15)</f>
        <v>-1.2683697558940734</v>
      </c>
      <c r="E129" s="67"/>
      <c r="F129" s="121">
        <f>(VLOOKUP($A129,Hitters!$A1:$R401,4,FALSE)-AVERAGE(Rankings!M2:M651))/STDEV(Rankings!M2:M651)</f>
        <v>-0.49071733298734627</v>
      </c>
      <c r="G129" s="121">
        <f>(VLOOKUP($A129,Hitters!$A1:$R401,5,FALSE)-AVERAGE(Rankings!N2:N651))/STDEV(Rankings!N2:N651)</f>
        <v>-0.41160268875883943</v>
      </c>
      <c r="H129" s="121">
        <f>(VLOOKUP($A129,Hitters!$A1:$R401,6,FALSE)-AVERAGE(Rankings!O2:O651))/STDEV(Rankings!O2:O651)</f>
        <v>4.2155940803712051E-2</v>
      </c>
      <c r="I129" s="121">
        <f>(VLOOKUP($A129,Hitters!$A1:$R401,7,FALSE)-AVERAGE(Rankings!P2:P651))/STDEV(Rankings!P2:P651)</f>
        <v>-0.27159758616130275</v>
      </c>
      <c r="J129" s="121">
        <f>(VLOOKUP($A129,Hitters!$A1:$R401,8,FALSE)-AVERAGE(Rankings!Q2:Q651))/STDEV(Rankings!Q2:Q651)</f>
        <v>-0.80163797844191087</v>
      </c>
      <c r="K129" s="121">
        <f>(VLOOKUP($A129,Hitters!$A1:$R401,9,FALSE)-AVERAGE(Rankings!R2:R651))/STDEV(Rankings!R2:R651)</f>
        <v>0.1743125566642677</v>
      </c>
      <c r="L129" s="121">
        <f>(VLOOKUP($A129,Hitters!$A1:$R401,10,FALSE)-AVERAGE(Rankings!S2:S651))/STDEV(Rankings!S2:S651)</f>
        <v>0.38384047529610676</v>
      </c>
      <c r="M129" s="121">
        <f>(VLOOKUP($A129,Hitters!$A1:$R401,11,FALSE)-AVERAGE(Rankings!T2:T651))/STDEV(Rankings!T2:T651)</f>
        <v>-0.43154279316336169</v>
      </c>
      <c r="N129" s="121">
        <f>(VLOOKUP($A129,Hitters!$A1:$R401,12,FALSE)-AVERAGE(Rankings!U2:U651))/STDEV(Rankings!U2:U651)</f>
        <v>-0.62181448671609962</v>
      </c>
      <c r="O129" s="121">
        <f>(VLOOKUP($A129,Hitters!$A1:$R401,13,FALSE)-AVERAGE(Rankings!V2:V651))/STDEV(Rankings!V2:V651)</f>
        <v>-1.364728357156588</v>
      </c>
      <c r="P129" s="121">
        <f>(VLOOKUP($A129,Hitters!$A1:$R401,14,FALSE)-AVERAGE(Rankings!W2:W651))/STDEV(Rankings!W2:W651)</f>
        <v>-0.20093152188878946</v>
      </c>
      <c r="Q129" s="121">
        <f>(VLOOKUP($A129,Hitters!$A1:$R401,15,FALSE)-AVERAGE(Rankings!X2:X651))/STDEV(Rankings!X2:X651)</f>
        <v>-0.1975630937426297</v>
      </c>
      <c r="R129" s="121">
        <f>(VLOOKUP($A129,Hitters!$A1:$R401,16,FALSE)-AVERAGE(Rankings!Y2:Y651))/STDEV(Rankings!Y2:Y651)</f>
        <v>0.44042806620814307</v>
      </c>
      <c r="S129" s="121">
        <f>(VLOOKUP($A129,Hitters!$A1:$R401,17,FALSE)-AVERAGE(Rankings!Z2:Z651))/STDEV(Rankings!Z2:Z651)</f>
        <v>0.47125782460913207</v>
      </c>
      <c r="T129" s="121">
        <f>IFERROR((VLOOKUP($A129,Hitters!$A1:$R401,18,FALSE)-AVERAGE(Rankings!AA2:AA651))/STDEV(Rankings!AA2:AA651),0)</f>
        <v>0</v>
      </c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</row>
    <row r="130" spans="1:37" ht="18.600000000000001" customHeight="1">
      <c r="A130" s="25" t="s">
        <v>489</v>
      </c>
      <c r="B130" s="26" t="s">
        <v>122</v>
      </c>
      <c r="C130" s="123" t="s">
        <v>15</v>
      </c>
      <c r="D130" s="67">
        <f>(F130*Settings!$C$2)+(G130*Settings!$C$3)+(H130*Settings!$C$4)+(I130*Settings!$C$5)+(J130*Settings!$C$6)+(M130*Settings!$C$9)+(N130*Settings!$C$10)+(O130*Settings!$C$11)+(P130*Settings!$C$12)+(Q130*Settings!$C$13)+(T130*Settings!$C$16)+(K130*Settings!$C$7)+(L130*Settings!$C$8)+(R130*Settings!$C$14)+(S130*Settings!$C$15)</f>
        <v>-1.6043980473336195</v>
      </c>
      <c r="E130" s="67"/>
      <c r="F130" s="121">
        <f>(VLOOKUP($A130,Hitters!$A1:$R401,4,FALSE)-AVERAGE(Rankings!M2:M651))/STDEV(Rankings!M2:M651)</f>
        <v>-0.33871264358086561</v>
      </c>
      <c r="G130" s="121">
        <f>(VLOOKUP($A130,Hitters!$A1:$R401,5,FALSE)-AVERAGE(Rankings!N2:N651))/STDEV(Rankings!N2:N651)</f>
        <v>-0.42070986053620602</v>
      </c>
      <c r="H130" s="121">
        <f>(VLOOKUP($A130,Hitters!$A1:$R401,6,FALSE)-AVERAGE(Rankings!O2:O651))/STDEV(Rankings!O2:O651)</f>
        <v>1.7093887043101118E-2</v>
      </c>
      <c r="I130" s="121">
        <f>(VLOOKUP($A130,Hitters!$A1:$R401,7,FALSE)-AVERAGE(Rankings!P2:P651))/STDEV(Rankings!P2:P651)</f>
        <v>-0.11898698149637706</v>
      </c>
      <c r="J130" s="121">
        <f>(VLOOKUP($A130,Hitters!$A1:$R401,8,FALSE)-AVERAGE(Rankings!Q2:Q651))/STDEV(Rankings!Q2:Q651)</f>
        <v>-0.79159839163234058</v>
      </c>
      <c r="K130" s="121">
        <f>(VLOOKUP($A130,Hitters!$A1:$R401,9,FALSE)-AVERAGE(Rankings!R2:R651))/STDEV(Rankings!R2:R651)</f>
        <v>-0.29019670071179704</v>
      </c>
      <c r="L130" s="121">
        <f>(VLOOKUP($A130,Hitters!$A1:$R401,10,FALSE)-AVERAGE(Rankings!S2:S651))/STDEV(Rankings!S2:S651)</f>
        <v>-0.20765372465435925</v>
      </c>
      <c r="M130" s="121">
        <f>(VLOOKUP($A130,Hitters!$A1:$R401,11,FALSE)-AVERAGE(Rankings!T2:T651))/STDEV(Rankings!T2:T651)</f>
        <v>-0.38513867905568439</v>
      </c>
      <c r="N130" s="121">
        <f>(VLOOKUP($A130,Hitters!$A1:$R401,12,FALSE)-AVERAGE(Rankings!U2:U651))/STDEV(Rankings!U2:U651)</f>
        <v>-0.33268365790551585</v>
      </c>
      <c r="O130" s="121">
        <f>(VLOOKUP($A130,Hitters!$A1:$R401,13,FALSE)-AVERAGE(Rankings!V2:V651))/STDEV(Rankings!V2:V651)</f>
        <v>-0.9222476575675117</v>
      </c>
      <c r="P130" s="121">
        <f>(VLOOKUP($A130,Hitters!$A1:$R401,14,FALSE)-AVERAGE(Rankings!W2:W651))/STDEV(Rankings!W2:W651)</f>
        <v>-0.25665818657474754</v>
      </c>
      <c r="Q130" s="121">
        <f>(VLOOKUP($A130,Hitters!$A1:$R401,15,FALSE)-AVERAGE(Rankings!X2:X651))/STDEV(Rankings!X2:X651)</f>
        <v>3.246145973184409E-2</v>
      </c>
      <c r="R130" s="121">
        <f>(VLOOKUP($A130,Hitters!$A1:$R401,16,FALSE)-AVERAGE(Rankings!Y2:Y651))/STDEV(Rankings!Y2:Y651)</f>
        <v>0.17203362358433819</v>
      </c>
      <c r="S130" s="121">
        <f>(VLOOKUP($A130,Hitters!$A1:$R401,17,FALSE)-AVERAGE(Rankings!Z2:Z651))/STDEV(Rankings!Z2:Z651)</f>
        <v>4.3715741354377231E-2</v>
      </c>
      <c r="T130" s="121">
        <f>IFERROR((VLOOKUP($A130,Hitters!$A1:$R401,18,FALSE)-AVERAGE(Rankings!AA2:AA651))/STDEV(Rankings!AA2:AA651),0)</f>
        <v>0</v>
      </c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</row>
    <row r="131" spans="1:37" ht="18.600000000000001" customHeight="1">
      <c r="A131" s="25" t="s">
        <v>503</v>
      </c>
      <c r="B131" s="26" t="s">
        <v>119</v>
      </c>
      <c r="C131" s="123" t="s">
        <v>15</v>
      </c>
      <c r="D131" s="67">
        <f>(F131*Settings!$C$2)+(G131*Settings!$C$3)+(H131*Settings!$C$4)+(I131*Settings!$C$5)+(J131*Settings!$C$6)+(M131*Settings!$C$9)+(N131*Settings!$C$10)+(O131*Settings!$C$11)+(P131*Settings!$C$12)+(Q131*Settings!$C$13)+(T131*Settings!$C$16)+(K131*Settings!$C$7)+(L131*Settings!$C$8)+(R131*Settings!$C$14)+(S131*Settings!$C$15)</f>
        <v>-1.7834717979585486</v>
      </c>
      <c r="E131" s="67"/>
      <c r="F131" s="121">
        <f>(VLOOKUP($A131,Hitters!$A1:$R401,4,FALSE)-AVERAGE(Rankings!M2:M651))/STDEV(Rankings!M2:M651)</f>
        <v>0.22804023616494309</v>
      </c>
      <c r="G131" s="121">
        <f>(VLOOKUP($A131,Hitters!$A1:$R401,5,FALSE)-AVERAGE(Rankings!N2:N651))/STDEV(Rankings!N2:N651)</f>
        <v>-0.19758415199072074</v>
      </c>
      <c r="H131" s="121">
        <f>(VLOOKUP($A131,Hitters!$A1:$R401,6,FALSE)-AVERAGE(Rankings!O2:O651))/STDEV(Rankings!O2:O651)</f>
        <v>-0.2293496416029091</v>
      </c>
      <c r="I131" s="121">
        <f>(VLOOKUP($A131,Hitters!$A1:$R401,7,FALSE)-AVERAGE(Rankings!P2:P651))/STDEV(Rankings!P2:P651)</f>
        <v>-0.26234845860585287</v>
      </c>
      <c r="J131" s="121">
        <f>(VLOOKUP($A131,Hitters!$A1:$R401,8,FALSE)-AVERAGE(Rankings!Q2:Q651))/STDEV(Rankings!Q2:Q651)</f>
        <v>-0.1892231830581485</v>
      </c>
      <c r="K131" s="121">
        <f>(VLOOKUP($A131,Hitters!$A1:$R401,9,FALSE)-AVERAGE(Rankings!R2:R651))/STDEV(Rankings!R2:R651)</f>
        <v>-0.90496636270091746</v>
      </c>
      <c r="L131" s="121">
        <f>(VLOOKUP($A131,Hitters!$A1:$R401,10,FALSE)-AVERAGE(Rankings!S2:S651))/STDEV(Rankings!S2:S651)</f>
        <v>-0.85429718356006601</v>
      </c>
      <c r="M131" s="121">
        <f>(VLOOKUP($A131,Hitters!$A1:$R401,11,FALSE)-AVERAGE(Rankings!T2:T651))/STDEV(Rankings!T2:T651)</f>
        <v>-4.4841842266050716E-2</v>
      </c>
      <c r="N131" s="121">
        <f>(VLOOKUP($A131,Hitters!$A1:$R401,12,FALSE)-AVERAGE(Rankings!U2:U651))/STDEV(Rankings!U2:U651)</f>
        <v>0.15203567274753632</v>
      </c>
      <c r="O131" s="121">
        <f>(VLOOKUP($A131,Hitters!$A1:$R401,13,FALSE)-AVERAGE(Rankings!V2:V651))/STDEV(Rankings!V2:V651)</f>
        <v>1.5667062776210423</v>
      </c>
      <c r="P131" s="121">
        <f>(VLOOKUP($A131,Hitters!$A1:$R401,14,FALSE)-AVERAGE(Rankings!W2:W651))/STDEV(Rankings!W2:W651)</f>
        <v>-1.703352842512753E-2</v>
      </c>
      <c r="Q131" s="121">
        <f>(VLOOKUP($A131,Hitters!$A1:$R401,15,FALSE)-AVERAGE(Rankings!X2:X651))/STDEV(Rankings!X2:X651)</f>
        <v>0.7498261688725717</v>
      </c>
      <c r="R131" s="121">
        <f>(VLOOKUP($A131,Hitters!$A1:$R401,16,FALSE)-AVERAGE(Rankings!Y2:Y651))/STDEV(Rankings!Y2:Y651)</f>
        <v>-0.61377964882815883</v>
      </c>
      <c r="S131" s="121">
        <f>(VLOOKUP($A131,Hitters!$A1:$R401,17,FALSE)-AVERAGE(Rankings!Z2:Z651))/STDEV(Rankings!Z2:Z651)</f>
        <v>-0.78210731743150497</v>
      </c>
      <c r="T131" s="121">
        <f>IFERROR((VLOOKUP($A131,Hitters!$A1:$R401,18,FALSE)-AVERAGE(Rankings!AA2:AA651))/STDEV(Rankings!AA2:AA651),0)</f>
        <v>0</v>
      </c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</row>
    <row r="132" spans="1:37" ht="18.600000000000001" customHeight="1">
      <c r="A132" s="25" t="s">
        <v>536</v>
      </c>
      <c r="B132" s="26" t="s">
        <v>219</v>
      </c>
      <c r="C132" s="123" t="s">
        <v>15</v>
      </c>
      <c r="D132" s="67">
        <f>(F132*Settings!$C$2)+(G132*Settings!$C$3)+(H132*Settings!$C$4)+(I132*Settings!$C$5)+(J132*Settings!$C$6)+(M132*Settings!$C$9)+(N132*Settings!$C$10)+(O132*Settings!$C$11)+(P132*Settings!$C$12)+(Q132*Settings!$C$13)+(T132*Settings!$C$16)+(K132*Settings!$C$7)+(L132*Settings!$C$8)+(R132*Settings!$C$14)+(S132*Settings!$C$15)</f>
        <v>-2.14897321027036</v>
      </c>
      <c r="E132" s="67"/>
      <c r="F132" s="121">
        <f>(VLOOKUP($A132,Hitters!$A1:$R401,4,FALSE)-AVERAGE(Rankings!M2:M651))/STDEV(Rankings!M2:M651)</f>
        <v>-0.518924388753497</v>
      </c>
      <c r="G132" s="121">
        <f>(VLOOKUP($A132,Hitters!$A1:$R401,5,FALSE)-AVERAGE(Rankings!N2:N651))/STDEV(Rankings!N2:N651)</f>
        <v>-0.4890136488664566</v>
      </c>
      <c r="H132" s="121">
        <f>(VLOOKUP($A132,Hitters!$A1:$R401,6,FALSE)-AVERAGE(Rankings!O2:O651))/STDEV(Rankings!O2:O651)</f>
        <v>-0.38807598208678185</v>
      </c>
      <c r="I132" s="121">
        <f>(VLOOKUP($A132,Hitters!$A1:$R401,7,FALSE)-AVERAGE(Rankings!P2:P651))/STDEV(Rankings!P2:P651)</f>
        <v>-0.53519772149162925</v>
      </c>
      <c r="J132" s="121">
        <f>(VLOOKUP($A132,Hitters!$A1:$R401,8,FALSE)-AVERAGE(Rankings!Q2:Q651))/STDEV(Rankings!Q2:Q651)</f>
        <v>-0.71630149056056658</v>
      </c>
      <c r="K132" s="121">
        <f>(VLOOKUP($A132,Hitters!$A1:$R401,9,FALSE)-AVERAGE(Rankings!R2:R651))/STDEV(Rankings!R2:R651)</f>
        <v>-2.0384367264926047E-2</v>
      </c>
      <c r="L132" s="121">
        <f>(VLOOKUP($A132,Hitters!$A1:$R401,10,FALSE)-AVERAGE(Rankings!S2:S651))/STDEV(Rankings!S2:S651)</f>
        <v>0.82389351709291025</v>
      </c>
      <c r="M132" s="121">
        <f>(VLOOKUP($A132,Hitters!$A1:$R401,11,FALSE)-AVERAGE(Rankings!T2:T651))/STDEV(Rankings!T2:T651)</f>
        <v>-0.49068529153589235</v>
      </c>
      <c r="N132" s="121">
        <f>(VLOOKUP($A132,Hitters!$A1:$R401,12,FALSE)-AVERAGE(Rankings!U2:U651))/STDEV(Rankings!U2:U651)</f>
        <v>-0.59630294299751796</v>
      </c>
      <c r="O132" s="121">
        <f>(VLOOKUP($A132,Hitters!$A1:$R401,13,FALSE)-AVERAGE(Rankings!V2:V651))/STDEV(Rankings!V2:V651)</f>
        <v>-0.50742200170275464</v>
      </c>
      <c r="P132" s="121">
        <f>(VLOOKUP($A132,Hitters!$A1:$R401,14,FALSE)-AVERAGE(Rankings!W2:W651))/STDEV(Rankings!W2:W651)</f>
        <v>0.18915513091291714</v>
      </c>
      <c r="Q132" s="121">
        <f>(VLOOKUP($A132,Hitters!$A1:$R401,15,FALSE)-AVERAGE(Rankings!X2:X651))/STDEV(Rankings!X2:X651)</f>
        <v>0.48861184543546848</v>
      </c>
      <c r="R132" s="121">
        <f>(VLOOKUP($A132,Hitters!$A1:$R401,16,FALSE)-AVERAGE(Rankings!Y2:Y651))/STDEV(Rankings!Y2:Y651)</f>
        <v>-0.18015495548015553</v>
      </c>
      <c r="S132" s="121">
        <f>(VLOOKUP($A132,Hitters!$A1:$R401,17,FALSE)-AVERAGE(Rankings!Z2:Z651))/STDEV(Rankings!Z2:Z651)</f>
        <v>0.1922613785649856</v>
      </c>
      <c r="T132" s="121">
        <f>IFERROR((VLOOKUP($A132,Hitters!$A1:$R401,18,FALSE)-AVERAGE(Rankings!AA2:AA651))/STDEV(Rankings!AA2:AA651),0)</f>
        <v>0</v>
      </c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</row>
    <row r="133" spans="1:37" ht="18.600000000000001" customHeight="1">
      <c r="A133" s="25" t="s">
        <v>575</v>
      </c>
      <c r="B133" s="26" t="s">
        <v>99</v>
      </c>
      <c r="C133" s="123" t="s">
        <v>15</v>
      </c>
      <c r="D133" s="67">
        <f>(F133*Settings!$C$2)+(G133*Settings!$C$3)+(H133*Settings!$C$4)+(I133*Settings!$C$5)+(J133*Settings!$C$6)+(M133*Settings!$C$9)+(N133*Settings!$C$10)+(O133*Settings!$C$11)+(P133*Settings!$C$12)+(Q133*Settings!$C$13)+(T133*Settings!$C$16)+(K133*Settings!$C$7)+(L133*Settings!$C$8)+(R133*Settings!$C$14)+(S133*Settings!$C$15)</f>
        <v>-2.6255571404159124</v>
      </c>
      <c r="E133" s="67"/>
      <c r="F133" s="121">
        <f>(VLOOKUP($A133,Hitters!$A1:$R401,4,FALSE)-AVERAGE(Rankings!M2:M651))/STDEV(Rankings!M2:M651)</f>
        <v>-0.33087735031249038</v>
      </c>
      <c r="G133" s="121">
        <f>(VLOOKUP($A133,Hitters!$A1:$R401,5,FALSE)-AVERAGE(Rankings!N2:N651))/STDEV(Rankings!N2:N651)</f>
        <v>-0.45410282371988281</v>
      </c>
      <c r="H133" s="121">
        <f>(VLOOKUP($A133,Hitters!$A1:$R401,6,FALSE)-AVERAGE(Rankings!O2:O651))/STDEV(Rankings!O2:O651)</f>
        <v>-0.39225299104687938</v>
      </c>
      <c r="I133" s="121">
        <f>(VLOOKUP($A133,Hitters!$A1:$R401,7,FALSE)-AVERAGE(Rankings!P2:P651))/STDEV(Rankings!P2:P651)</f>
        <v>-0.41033449949305351</v>
      </c>
      <c r="J133" s="121">
        <f>(VLOOKUP($A133,Hitters!$A1:$R401,8,FALSE)-AVERAGE(Rankings!Q2:Q651))/STDEV(Rankings!Q2:Q651)</f>
        <v>-0.61590562246486735</v>
      </c>
      <c r="K133" s="121">
        <f>(VLOOKUP($A133,Hitters!$A1:$R401,9,FALSE)-AVERAGE(Rankings!R2:R651))/STDEV(Rankings!R2:R651)</f>
        <v>-0.75296120369122943</v>
      </c>
      <c r="L133" s="121">
        <f>(VLOOKUP($A133,Hitters!$A1:$R401,10,FALSE)-AVERAGE(Rankings!S2:S651))/STDEV(Rankings!S2:S651)</f>
        <v>-0.23770869438345754</v>
      </c>
      <c r="M133" s="121">
        <f>(VLOOKUP($A133,Hitters!$A1:$R401,11,FALSE)-AVERAGE(Rankings!T2:T651))/STDEV(Rankings!T2:T651)</f>
        <v>-0.46611840759653367</v>
      </c>
      <c r="N133" s="121">
        <f>(VLOOKUP($A133,Hitters!$A1:$R401,12,FALSE)-AVERAGE(Rankings!U2:U651))/STDEV(Rankings!U2:U651)</f>
        <v>-0.54527985556035463</v>
      </c>
      <c r="O133" s="121">
        <f>(VLOOKUP($A133,Hitters!$A1:$R401,13,FALSE)-AVERAGE(Rankings!V2:V651))/STDEV(Rankings!V2:V651)</f>
        <v>-0.56273208915138628</v>
      </c>
      <c r="P133" s="121">
        <f>(VLOOKUP($A133,Hitters!$A1:$R401,14,FALSE)-AVERAGE(Rankings!W2:W651))/STDEV(Rankings!W2:W651)</f>
        <v>-1.517597293559768E-2</v>
      </c>
      <c r="Q133" s="121">
        <f>(VLOOKUP($A133,Hitters!$A1:$R401,15,FALSE)-AVERAGE(Rankings!X2:X651))/STDEV(Rankings!X2:X651)</f>
        <v>0.25761261164966309</v>
      </c>
      <c r="R133" s="121">
        <f>(VLOOKUP($A133,Hitters!$A1:$R401,16,FALSE)-AVERAGE(Rankings!Y2:Y651))/STDEV(Rankings!Y2:Y651)</f>
        <v>-0.76227727917764565</v>
      </c>
      <c r="S133" s="121">
        <f>(VLOOKUP($A133,Hitters!$A1:$R401,17,FALSE)-AVERAGE(Rankings!Z2:Z651))/STDEV(Rankings!Z2:Z651)</f>
        <v>-0.64817443248527973</v>
      </c>
      <c r="T133" s="121">
        <f>IFERROR((VLOOKUP($A133,Hitters!$A1:$R401,18,FALSE)-AVERAGE(Rankings!AA2:AA651))/STDEV(Rankings!AA2:AA651),0)</f>
        <v>0</v>
      </c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</row>
    <row r="134" spans="1:37" ht="18.600000000000001" customHeight="1">
      <c r="A134" s="25" t="s">
        <v>566</v>
      </c>
      <c r="B134" s="26" t="s">
        <v>139</v>
      </c>
      <c r="C134" s="123" t="s">
        <v>15</v>
      </c>
      <c r="D134" s="67">
        <f>(F134*Settings!$C$2)+(G134*Settings!$C$3)+(H134*Settings!$C$4)+(I134*Settings!$C$5)+(J134*Settings!$C$6)+(M134*Settings!$C$9)+(N134*Settings!$C$10)+(O134*Settings!$C$11)+(P134*Settings!$C$12)+(Q134*Settings!$C$13)+(T134*Settings!$C$16)+(K134*Settings!$C$7)+(L134*Settings!$C$8)+(R134*Settings!$C$14)+(S134*Settings!$C$15)</f>
        <v>-2.4731222152048948</v>
      </c>
      <c r="E134" s="67"/>
      <c r="F134" s="121">
        <f>(VLOOKUP($A134,Hitters!$A1:$R401,4,FALSE)-AVERAGE(Rankings!M2:M651))/STDEV(Rankings!M2:M651)</f>
        <v>-0.57638320605492133</v>
      </c>
      <c r="G134" s="121">
        <f>(VLOOKUP($A134,Hitters!$A1:$R401,5,FALSE)-AVERAGE(Rankings!N2:N651))/STDEV(Rankings!N2:N651)</f>
        <v>-0.69392501385720839</v>
      </c>
      <c r="H134" s="121">
        <f>(VLOOKUP($A134,Hitters!$A1:$R401,6,FALSE)-AVERAGE(Rankings!O2:O651))/STDEV(Rankings!O2:O651)</f>
        <v>-0.15416348032107674</v>
      </c>
      <c r="I134" s="121">
        <f>(VLOOKUP($A134,Hitters!$A1:$R401,7,FALSE)-AVERAGE(Rankings!P2:P651))/STDEV(Rankings!P2:P651)</f>
        <v>-0.53673924275086926</v>
      </c>
      <c r="J134" s="121">
        <f>(VLOOKUP($A134,Hitters!$A1:$R401,8,FALSE)-AVERAGE(Rankings!Q2:Q651))/STDEV(Rankings!Q2:Q651)</f>
        <v>-0.20930235667728764</v>
      </c>
      <c r="K134" s="121">
        <f>(VLOOKUP($A134,Hitters!$A1:$R401,9,FALSE)-AVERAGE(Rankings!R2:R651))/STDEV(Rankings!R2:R651)</f>
        <v>-0.87899212159845264</v>
      </c>
      <c r="L134" s="121">
        <f>(VLOOKUP($A134,Hitters!$A1:$R401,10,FALSE)-AVERAGE(Rankings!S2:S651))/STDEV(Rankings!S2:S651)</f>
        <v>-0.97783579560636991</v>
      </c>
      <c r="M134" s="121">
        <f>(VLOOKUP($A134,Hitters!$A1:$R401,11,FALSE)-AVERAGE(Rankings!T2:T651))/STDEV(Rankings!T2:T651)</f>
        <v>-0.68813024764110597</v>
      </c>
      <c r="N134" s="121">
        <f>(VLOOKUP($A134,Hitters!$A1:$R401,12,FALSE)-AVERAGE(Rankings!U2:U651))/STDEV(Rankings!U2:U651)</f>
        <v>-0.81740298855856786</v>
      </c>
      <c r="O134" s="121">
        <f>(VLOOKUP($A134,Hitters!$A1:$R401,13,FALSE)-AVERAGE(Rankings!V2:V651))/STDEV(Rankings!V2:V651)</f>
        <v>0.79236505334016083</v>
      </c>
      <c r="P134" s="121">
        <f>(VLOOKUP($A134,Hitters!$A1:$R401,14,FALSE)-AVERAGE(Rankings!W2:W651))/STDEV(Rankings!W2:W651)</f>
        <v>-0.61516639605441481</v>
      </c>
      <c r="Q134" s="121">
        <f>(VLOOKUP($A134,Hitters!$A1:$R401,15,FALSE)-AVERAGE(Rankings!X2:X651))/STDEV(Rankings!X2:X651)</f>
        <v>-0.1897656512519684</v>
      </c>
      <c r="R134" s="121">
        <f>(VLOOKUP($A134,Hitters!$A1:$R401,16,FALSE)-AVERAGE(Rankings!Y2:Y651))/STDEV(Rankings!Y2:Y651)</f>
        <v>2.2664310650915797E-2</v>
      </c>
      <c r="S134" s="121">
        <f>(VLOOKUP($A134,Hitters!$A1:$R401,17,FALSE)-AVERAGE(Rankings!Z2:Z651))/STDEV(Rankings!Z2:Z651)</f>
        <v>-0.36732615276700759</v>
      </c>
      <c r="T134" s="121">
        <f>IFERROR((VLOOKUP($A134,Hitters!$A1:$R401,18,FALSE)-AVERAGE(Rankings!AA2:AA651))/STDEV(Rankings!AA2:AA651),0)</f>
        <v>0</v>
      </c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</row>
    <row r="135" spans="1:37" ht="18.600000000000001" customHeight="1">
      <c r="A135" s="25" t="s">
        <v>568</v>
      </c>
      <c r="B135" s="26" t="s">
        <v>142</v>
      </c>
      <c r="C135" s="123" t="s">
        <v>15</v>
      </c>
      <c r="D135" s="67">
        <f>(F135*Settings!$C$2)+(G135*Settings!$C$3)+(H135*Settings!$C$4)+(I135*Settings!$C$5)+(J135*Settings!$C$6)+(M135*Settings!$C$9)+(N135*Settings!$C$10)+(O135*Settings!$C$11)+(P135*Settings!$C$12)+(Q135*Settings!$C$13)+(T135*Settings!$C$16)+(K135*Settings!$C$7)+(L135*Settings!$C$8)+(R135*Settings!$C$14)+(S135*Settings!$C$15)</f>
        <v>-2.5164556410381782</v>
      </c>
      <c r="E135" s="67"/>
      <c r="F135" s="121">
        <f>(VLOOKUP($A135,Hitters!$A1:$R401,4,FALSE)-AVERAGE(Rankings!M2:M651))/STDEV(Rankings!M2:M651)</f>
        <v>-0.57115967720933492</v>
      </c>
      <c r="G135" s="121">
        <f>(VLOOKUP($A135,Hitters!$A1:$R401,5,FALSE)-AVERAGE(Rankings!N2:N651))/STDEV(Rankings!N2:N651)</f>
        <v>-0.60892474393511742</v>
      </c>
      <c r="H135" s="121">
        <f>(VLOOKUP($A135,Hitters!$A1:$R401,6,FALSE)-AVERAGE(Rankings!O2:O651))/STDEV(Rankings!O2:O651)</f>
        <v>-0.83083893185756841</v>
      </c>
      <c r="I135" s="121">
        <f>(VLOOKUP($A135,Hitters!$A1:$R401,7,FALSE)-AVERAGE(Rankings!P2:P651))/STDEV(Rankings!P2:P651)</f>
        <v>-0.7155557088229052</v>
      </c>
      <c r="J135" s="121">
        <f>(VLOOKUP($A135,Hitters!$A1:$R401,8,FALSE)-AVERAGE(Rankings!Q2:Q651))/STDEV(Rankings!Q2:Q651)</f>
        <v>0.46836975296867855</v>
      </c>
      <c r="K135" s="121">
        <f>(VLOOKUP($A135,Hitters!$A1:$R401,9,FALSE)-AVERAGE(Rankings!R2:R651))/STDEV(Rankings!R2:R651)</f>
        <v>-0.8295060093912654</v>
      </c>
      <c r="L135" s="121">
        <f>(VLOOKUP($A135,Hitters!$A1:$R401,10,FALSE)-AVERAGE(Rankings!S2:S651))/STDEV(Rankings!S2:S651)</f>
        <v>0.11539073042760269</v>
      </c>
      <c r="M135" s="121">
        <f>(VLOOKUP($A135,Hitters!$A1:$R401,11,FALSE)-AVERAGE(Rankings!T2:T651))/STDEV(Rankings!T2:T651)</f>
        <v>-0.67539186337625257</v>
      </c>
      <c r="N135" s="121">
        <f>(VLOOKUP($A135,Hitters!$A1:$R401,12,FALSE)-AVERAGE(Rankings!U2:U651))/STDEV(Rankings!U2:U651)</f>
        <v>-0.49425676812319114</v>
      </c>
      <c r="O135" s="121">
        <f>(VLOOKUP($A135,Hitters!$A1:$R401,13,FALSE)-AVERAGE(Rankings!V2:V651))/STDEV(Rankings!V2:V651)</f>
        <v>-0.14790643328662451</v>
      </c>
      <c r="P135" s="121">
        <f>(VLOOKUP($A135,Hitters!$A1:$R401,14,FALSE)-AVERAGE(Rankings!W2:W651))/STDEV(Rankings!W2:W651)</f>
        <v>7.5844246051465586E-2</v>
      </c>
      <c r="Q135" s="121">
        <f>(VLOOKUP($A135,Hitters!$A1:$R401,15,FALSE)-AVERAGE(Rankings!X2:X651))/STDEV(Rankings!X2:X651)</f>
        <v>-0.1663733237799882</v>
      </c>
      <c r="R135" s="121">
        <f>(VLOOKUP($A135,Hitters!$A1:$R401,16,FALSE)-AVERAGE(Rankings!Y2:Y651))/STDEV(Rankings!Y2:Y651)</f>
        <v>-1.1335161839448853</v>
      </c>
      <c r="S135" s="121">
        <f>(VLOOKUP($A135,Hitters!$A1:$R401,17,FALSE)-AVERAGE(Rankings!Z2:Z651))/STDEV(Rankings!Z2:Z651)</f>
        <v>-0.7798025191181871</v>
      </c>
      <c r="T135" s="121">
        <f>IFERROR((VLOOKUP($A135,Hitters!$A1:$R401,18,FALSE)-AVERAGE(Rankings!AA2:AA651))/STDEV(Rankings!AA2:AA651),0)</f>
        <v>0</v>
      </c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</row>
    <row r="136" spans="1:37" ht="18.600000000000001" customHeight="1">
      <c r="A136" s="25" t="s">
        <v>597</v>
      </c>
      <c r="B136" s="26" t="s">
        <v>160</v>
      </c>
      <c r="C136" s="123" t="s">
        <v>15</v>
      </c>
      <c r="D136" s="67">
        <f>(F136*Settings!$C$2)+(G136*Settings!$C$3)+(H136*Settings!$C$4)+(I136*Settings!$C$5)+(J136*Settings!$C$6)+(M136*Settings!$C$9)+(N136*Settings!$C$10)+(O136*Settings!$C$11)+(P136*Settings!$C$12)+(Q136*Settings!$C$13)+(T136*Settings!$C$16)+(K136*Settings!$C$7)+(L136*Settings!$C$8)+(R136*Settings!$C$14)+(S136*Settings!$C$15)</f>
        <v>-2.8293128861182693</v>
      </c>
      <c r="E136" s="67"/>
      <c r="F136" s="121">
        <f>(VLOOKUP($A136,Hitters!$A1:$R401,4,FALSE)-AVERAGE(Rankings!M2:M651))/STDEV(Rankings!M2:M651)</f>
        <v>-0.74614789353637989</v>
      </c>
      <c r="G136" s="121">
        <f>(VLOOKUP($A136,Hitters!$A1:$R401,5,FALSE)-AVERAGE(Rankings!N2:N651))/STDEV(Rankings!N2:N651)</f>
        <v>-0.58615681449170065</v>
      </c>
      <c r="H136" s="121">
        <f>(VLOOKUP($A136,Hitters!$A1:$R401,6,FALSE)-AVERAGE(Rankings!O2:O651))/STDEV(Rankings!O2:O651)</f>
        <v>0.31783853217043079</v>
      </c>
      <c r="I136" s="121">
        <f>(VLOOKUP($A136,Hitters!$A1:$R401,7,FALSE)-AVERAGE(Rankings!P2:P651))/STDEV(Rankings!P2:P651)</f>
        <v>-0.39954385067835879</v>
      </c>
      <c r="J136" s="121">
        <f>(VLOOKUP($A136,Hitters!$A1:$R401,8,FALSE)-AVERAGE(Rankings!Q2:Q651))/STDEV(Rankings!Q2:Q651)</f>
        <v>-0.29463884455863204</v>
      </c>
      <c r="K136" s="121">
        <f>(VLOOKUP($A136,Hitters!$A1:$R401,9,FALSE)-AVERAGE(Rankings!R2:R651))/STDEV(Rankings!R2:R651)</f>
        <v>-1.8668119085600083</v>
      </c>
      <c r="L136" s="121">
        <f>(VLOOKUP($A136,Hitters!$A1:$R401,10,FALSE)-AVERAGE(Rankings!S2:S651))/STDEV(Rankings!S2:S651)</f>
        <v>-1.1445988075757461</v>
      </c>
      <c r="M136" s="121">
        <f>(VLOOKUP($A136,Hitters!$A1:$R401,11,FALSE)-AVERAGE(Rankings!T2:T651))/STDEV(Rankings!T2:T651)</f>
        <v>-0.98293285491340843</v>
      </c>
      <c r="N136" s="121">
        <f>(VLOOKUP($A136,Hitters!$A1:$R401,12,FALSE)-AVERAGE(Rankings!U2:U651))/STDEV(Rankings!U2:U651)</f>
        <v>-0.81315106460546227</v>
      </c>
      <c r="O136" s="121">
        <f>(VLOOKUP($A136,Hitters!$A1:$R401,13,FALSE)-AVERAGE(Rankings!V2:V651))/STDEV(Rankings!V2:V651)</f>
        <v>-1.3094182697079535</v>
      </c>
      <c r="P136" s="121">
        <f>(VLOOKUP($A136,Hitters!$A1:$R401,14,FALSE)-AVERAGE(Rankings!W2:W651))/STDEV(Rankings!W2:W651)</f>
        <v>-0.3625388494780678</v>
      </c>
      <c r="Q136" s="121">
        <f>(VLOOKUP($A136,Hitters!$A1:$R401,15,FALSE)-AVERAGE(Rankings!X2:X651))/STDEV(Rankings!X2:X651)</f>
        <v>0.62994049057867252</v>
      </c>
      <c r="R136" s="121">
        <f>(VLOOKUP($A136,Hitters!$A1:$R401,16,FALSE)-AVERAGE(Rankings!Y2:Y651))/STDEV(Rankings!Y2:Y651)</f>
        <v>0.37839012577555475</v>
      </c>
      <c r="S136" s="121">
        <f>(VLOOKUP($A136,Hitters!$A1:$R401,17,FALSE)-AVERAGE(Rankings!Z2:Z651))/STDEV(Rankings!Z2:Z651)</f>
        <v>-0.17384872341104041</v>
      </c>
      <c r="T136" s="121">
        <f>IFERROR((VLOOKUP($A136,Hitters!$A1:$R401,18,FALSE)-AVERAGE(Rankings!AA2:AA651))/STDEV(Rankings!AA2:AA651),0)</f>
        <v>0</v>
      </c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</row>
    <row r="137" spans="1:37" ht="18.600000000000001" customHeight="1">
      <c r="A137" s="25" t="s">
        <v>586</v>
      </c>
      <c r="B137" s="26" t="s">
        <v>119</v>
      </c>
      <c r="C137" s="123" t="s">
        <v>15</v>
      </c>
      <c r="D137" s="67">
        <f>(F137*Settings!$C$2)+(G137*Settings!$C$3)+(H137*Settings!$C$4)+(I137*Settings!$C$5)+(J137*Settings!$C$6)+(M137*Settings!$C$9)+(N137*Settings!$C$10)+(O137*Settings!$C$11)+(P137*Settings!$C$12)+(Q137*Settings!$C$13)+(T137*Settings!$C$16)+(K137*Settings!$C$7)+(L137*Settings!$C$8)+(R137*Settings!$C$14)+(S137*Settings!$C$15)</f>
        <v>-2.7783704184685871</v>
      </c>
      <c r="E137" s="67"/>
      <c r="F137" s="121">
        <f>(VLOOKUP($A137,Hitters!$A1:$R401,4,FALSE)-AVERAGE(Rankings!M2:M651))/STDEV(Rankings!M2:M651)</f>
        <v>-0.5293714464446696</v>
      </c>
      <c r="G137" s="121">
        <f>(VLOOKUP($A137,Hitters!$A1:$R401,5,FALSE)-AVERAGE(Rankings!N2:N651))/STDEV(Rankings!N2:N651)</f>
        <v>-0.675710670302475</v>
      </c>
      <c r="H137" s="121">
        <f>(VLOOKUP($A137,Hitters!$A1:$R401,6,FALSE)-AVERAGE(Rankings!O2:O651))/STDEV(Rankings!O2:O651)</f>
        <v>-1.5743465267556884</v>
      </c>
      <c r="I137" s="121">
        <f>(VLOOKUP($A137,Hitters!$A1:$R401,7,FALSE)-AVERAGE(Rankings!P2:P651))/STDEV(Rankings!P2:P651)</f>
        <v>-1.2288822881503831</v>
      </c>
      <c r="J137" s="121">
        <f>(VLOOKUP($A137,Hitters!$A1:$R401,8,FALSE)-AVERAGE(Rankings!Q2:Q651))/STDEV(Rankings!Q2:Q651)</f>
        <v>0.51856768701652745</v>
      </c>
      <c r="K137" s="121">
        <f>(VLOOKUP($A137,Hitters!$A1:$R401,9,FALSE)-AVERAGE(Rankings!R2:R651))/STDEV(Rankings!R2:R651)</f>
        <v>0.1820013797234323</v>
      </c>
      <c r="L137" s="121">
        <f>(VLOOKUP($A137,Hitters!$A1:$R401,10,FALSE)-AVERAGE(Rankings!S2:S651))/STDEV(Rankings!S2:S651)</f>
        <v>-0.18374194473956601</v>
      </c>
      <c r="M137" s="121">
        <f>(VLOOKUP($A137,Hitters!$A1:$R401,11,FALSE)-AVERAGE(Rankings!T2:T651))/STDEV(Rankings!T2:T651)</f>
        <v>-0.4642986384158394</v>
      </c>
      <c r="N137" s="121">
        <f>(VLOOKUP($A137,Hitters!$A1:$R401,12,FALSE)-AVERAGE(Rankings!U2:U651))/STDEV(Rankings!U2:U651)</f>
        <v>-0.92370108738598733</v>
      </c>
      <c r="O137" s="121">
        <f>(VLOOKUP($A137,Hitters!$A1:$R401,13,FALSE)-AVERAGE(Rankings!V2:V651))/STDEV(Rankings!V2:V651)</f>
        <v>0.93064027196175014</v>
      </c>
      <c r="P137" s="121">
        <f>(VLOOKUP($A137,Hitters!$A1:$R401,14,FALSE)-AVERAGE(Rankings!W2:W651))/STDEV(Rankings!W2:W651)</f>
        <v>-0.61330884056487922</v>
      </c>
      <c r="Q137" s="121">
        <f>(VLOOKUP($A137,Hitters!$A1:$R401,15,FALSE)-AVERAGE(Rankings!X2:X651))/STDEV(Rankings!X2:X651)</f>
        <v>-1.2843316408783811</v>
      </c>
      <c r="R137" s="121">
        <f>(VLOOKUP($A137,Hitters!$A1:$R401,16,FALSE)-AVERAGE(Rankings!Y2:Y651))/STDEV(Rankings!Y2:Y651)</f>
        <v>-2.0562169781694846</v>
      </c>
      <c r="S137" s="121">
        <f>(VLOOKUP($A137,Hitters!$A1:$R401,17,FALSE)-AVERAGE(Rankings!Z2:Z651))/STDEV(Rankings!Z2:Z651)</f>
        <v>-1.5688609650441465</v>
      </c>
      <c r="T137" s="121">
        <f>IFERROR((VLOOKUP($A137,Hitters!$A1:$R401,18,FALSE)-AVERAGE(Rankings!AA2:AA651))/STDEV(Rankings!AA2:AA651),0)</f>
        <v>0</v>
      </c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</row>
    <row r="138" spans="1:37" ht="18.600000000000001" customHeight="1">
      <c r="A138" s="25" t="s">
        <v>617</v>
      </c>
      <c r="B138" s="26" t="s">
        <v>122</v>
      </c>
      <c r="C138" s="123" t="s">
        <v>15</v>
      </c>
      <c r="D138" s="67">
        <f>(F138*Settings!$C$2)+(G138*Settings!$C$3)+(H138*Settings!$C$4)+(I138*Settings!$C$5)+(J138*Settings!$C$6)+(M138*Settings!$C$9)+(N138*Settings!$C$10)+(O138*Settings!$C$11)+(P138*Settings!$C$12)+(Q138*Settings!$C$13)+(T138*Settings!$C$16)+(K138*Settings!$C$7)+(L138*Settings!$C$8)+(R138*Settings!$C$14)+(S138*Settings!$C$15)</f>
        <v>-3.0744729015564598</v>
      </c>
      <c r="E138" s="67"/>
      <c r="F138" s="121">
        <f>(VLOOKUP($A138,Hitters!$A1:$R401,4,FALSE)-AVERAGE(Rankings!M2:M651))/STDEV(Rankings!M2:M651)</f>
        <v>-0.78532435987825633</v>
      </c>
      <c r="G138" s="121">
        <f>(VLOOKUP($A138,Hitters!$A1:$R401,5,FALSE)-AVERAGE(Rankings!N2:N651))/STDEV(Rankings!N2:N651)</f>
        <v>-0.73035370096667562</v>
      </c>
      <c r="H138" s="121">
        <f>(VLOOKUP($A138,Hitters!$A1:$R401,6,FALSE)-AVERAGE(Rankings!O2:O651))/STDEV(Rankings!O2:O651)</f>
        <v>-0.61781147489237664</v>
      </c>
      <c r="I138" s="121">
        <f>(VLOOKUP($A138,Hitters!$A1:$R401,7,FALSE)-AVERAGE(Rankings!P2:P651))/STDEV(Rankings!P2:P651)</f>
        <v>-0.79263177178498589</v>
      </c>
      <c r="J138" s="121">
        <f>(VLOOKUP($A138,Hitters!$A1:$R401,8,FALSE)-AVERAGE(Rankings!Q2:Q651))/STDEV(Rankings!Q2:Q651)</f>
        <v>-0.59582644884572822</v>
      </c>
      <c r="K138" s="121">
        <f>(VLOOKUP($A138,Hitters!$A1:$R401,9,FALSE)-AVERAGE(Rankings!R2:R651))/STDEV(Rankings!R2:R651)</f>
        <v>-0.33784950506669342</v>
      </c>
      <c r="L138" s="121">
        <f>(VLOOKUP($A138,Hitters!$A1:$R401,10,FALSE)-AVERAGE(Rankings!S2:S651))/STDEV(Rankings!S2:S651)</f>
        <v>-0.7757529241750466</v>
      </c>
      <c r="M138" s="121">
        <f>(VLOOKUP($A138,Hitters!$A1:$R401,11,FALSE)-AVERAGE(Rankings!T2:T651))/STDEV(Rankings!T2:T651)</f>
        <v>-0.77183962995299538</v>
      </c>
      <c r="N138" s="121">
        <f>(VLOOKUP($A138,Hitters!$A1:$R401,12,FALSE)-AVERAGE(Rankings!U2:U651))/STDEV(Rankings!U2:U651)</f>
        <v>-0.77063182507449701</v>
      </c>
      <c r="O138" s="121">
        <f>(VLOOKUP($A138,Hitters!$A1:$R401,13,FALSE)-AVERAGE(Rankings!V2:V651))/STDEV(Rankings!V2:V651)</f>
        <v>0.23926417885381215</v>
      </c>
      <c r="P138" s="121">
        <f>(VLOOKUP($A138,Hitters!$A1:$R401,14,FALSE)-AVERAGE(Rankings!W2:W651))/STDEV(Rankings!W2:W651)</f>
        <v>-0.86779394263075627</v>
      </c>
      <c r="Q138" s="121">
        <f>(VLOOKUP($A138,Hitters!$A1:$R401,15,FALSE)-AVERAGE(Rankings!X2:X651))/STDEV(Rankings!X2:X651)</f>
        <v>-0.70049813439020581</v>
      </c>
      <c r="R138" s="121">
        <f>(VLOOKUP($A138,Hitters!$A1:$R401,16,FALSE)-AVERAGE(Rankings!Y2:Y651))/STDEV(Rankings!Y2:Y651)</f>
        <v>-0.30162580415913576</v>
      </c>
      <c r="S138" s="121">
        <f>(VLOOKUP($A138,Hitters!$A1:$R401,17,FALSE)-AVERAGE(Rankings!Z2:Z651))/STDEV(Rankings!Z2:Z651)</f>
        <v>-0.52405738638364685</v>
      </c>
      <c r="T138" s="121">
        <f>IFERROR((VLOOKUP($A138,Hitters!$A1:$R401,18,FALSE)-AVERAGE(Rankings!AA2:AA651))/STDEV(Rankings!AA2:AA651),0)</f>
        <v>0</v>
      </c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</row>
    <row r="139" spans="1:37" ht="18.600000000000001" customHeight="1">
      <c r="A139" s="25" t="s">
        <v>632</v>
      </c>
      <c r="B139" s="26" t="s">
        <v>219</v>
      </c>
      <c r="C139" s="123" t="s">
        <v>15</v>
      </c>
      <c r="D139" s="67">
        <f>(F139*Settings!$C$2)+(G139*Settings!$C$3)+(H139*Settings!$C$4)+(I139*Settings!$C$5)+(J139*Settings!$C$6)+(M139*Settings!$C$9)+(N139*Settings!$C$10)+(O139*Settings!$C$11)+(P139*Settings!$C$12)+(Q139*Settings!$C$13)+(T139*Settings!$C$16)+(K139*Settings!$C$7)+(L139*Settings!$C$8)+(R139*Settings!$C$14)+(S139*Settings!$C$15)</f>
        <v>-3.3395299936197627</v>
      </c>
      <c r="E139" s="67"/>
      <c r="F139" s="121">
        <f>(VLOOKUP($A139,Hitters!$A1:$R401,4,FALSE)-AVERAGE(Rankings!M2:M651))/STDEV(Rankings!M2:M651)</f>
        <v>-0.97337139831926289</v>
      </c>
      <c r="G139" s="121">
        <f>(VLOOKUP($A139,Hitters!$A1:$R401,5,FALSE)-AVERAGE(Rankings!N2:N651))/STDEV(Rankings!N2:N651)</f>
        <v>-0.82294328070323586</v>
      </c>
      <c r="H139" s="121">
        <f>(VLOOKUP($A139,Hitters!$A1:$R401,6,FALSE)-AVERAGE(Rankings!O2:O651))/STDEV(Rankings!O2:O651)</f>
        <v>-0.19175656096199303</v>
      </c>
      <c r="I139" s="121">
        <f>(VLOOKUP($A139,Hitters!$A1:$R401,7,FALSE)-AVERAGE(Rankings!P2:P651))/STDEV(Rankings!P2:P651)</f>
        <v>-0.63847964586081996</v>
      </c>
      <c r="J139" s="121">
        <f>(VLOOKUP($A139,Hitters!$A1:$R401,8,FALSE)-AVERAGE(Rankings!Q2:Q651))/STDEV(Rankings!Q2:Q651)</f>
        <v>-0.77653901141798576</v>
      </c>
      <c r="K139" s="121">
        <f>(VLOOKUP($A139,Hitters!$A1:$R401,9,FALSE)-AVERAGE(Rankings!R2:R651))/STDEV(Rankings!R2:R651)</f>
        <v>-0.90981149467572775</v>
      </c>
      <c r="L139" s="121">
        <f>(VLOOKUP($A139,Hitters!$A1:$R401,10,FALSE)-AVERAGE(Rankings!S2:S651))/STDEV(Rankings!S2:S651)</f>
        <v>-0.29591206733697228</v>
      </c>
      <c r="M139" s="121">
        <f>(VLOOKUP($A139,Hitters!$A1:$R401,11,FALSE)-AVERAGE(Rankings!T2:T651))/STDEV(Rankings!T2:T651)</f>
        <v>-1.0129590463948466</v>
      </c>
      <c r="N139" s="121">
        <f>(VLOOKUP($A139,Hitters!$A1:$R401,12,FALSE)-AVERAGE(Rankings!U2:U651))/STDEV(Rankings!U2:U651)</f>
        <v>-1.0214953383072214</v>
      </c>
      <c r="O139" s="121">
        <f>(VLOOKUP($A139,Hitters!$A1:$R401,13,FALSE)-AVERAGE(Rankings!V2:V651))/STDEV(Rankings!V2:V651)</f>
        <v>-0.53507704542706924</v>
      </c>
      <c r="P139" s="121">
        <f>(VLOOKUP($A139,Hitters!$A1:$R401,14,FALSE)-AVERAGE(Rankings!W2:W651))/STDEV(Rankings!W2:W651)</f>
        <v>-0.47213462336045392</v>
      </c>
      <c r="Q139" s="121">
        <f>(VLOOKUP($A139,Hitters!$A1:$R401,15,FALSE)-AVERAGE(Rankings!X2:X651))/STDEV(Rankings!X2:X651)</f>
        <v>-0.20438585592195607</v>
      </c>
      <c r="R139" s="121">
        <f>(VLOOKUP($A139,Hitters!$A1:$R401,16,FALSE)-AVERAGE(Rankings!Y2:Y651))/STDEV(Rankings!Y2:Y651)</f>
        <v>0.33174513509337228</v>
      </c>
      <c r="S139" s="121">
        <f>(VLOOKUP($A139,Hitters!$A1:$R401,17,FALSE)-AVERAGE(Rankings!Z2:Z651))/STDEV(Rankings!Z2:Z651)</f>
        <v>0.12532762594801161</v>
      </c>
      <c r="T139" s="121">
        <f>IFERROR((VLOOKUP($A139,Hitters!$A1:$R401,18,FALSE)-AVERAGE(Rankings!AA2:AA651))/STDEV(Rankings!AA2:AA651),0)</f>
        <v>0</v>
      </c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</row>
    <row r="140" spans="1:37" ht="18.600000000000001" customHeight="1">
      <c r="A140" s="25" t="s">
        <v>637</v>
      </c>
      <c r="B140" s="26" t="s">
        <v>87</v>
      </c>
      <c r="C140" s="123" t="s">
        <v>15</v>
      </c>
      <c r="D140" s="67">
        <f>(F140*Settings!$C$2)+(G140*Settings!$C$3)+(H140*Settings!$C$4)+(I140*Settings!$C$5)+(J140*Settings!$C$6)+(M140*Settings!$C$9)+(N140*Settings!$C$10)+(O140*Settings!$C$11)+(P140*Settings!$C$12)+(Q140*Settings!$C$13)+(T140*Settings!$C$16)+(K140*Settings!$C$7)+(L140*Settings!$C$8)+(R140*Settings!$C$14)+(S140*Settings!$C$15)</f>
        <v>-3.4043508146449701</v>
      </c>
      <c r="E140" s="67"/>
      <c r="F140" s="121">
        <f>(VLOOKUP($A140,Hitters!$A1:$R401,4,FALSE)-AVERAGE(Rankings!M2:M651))/STDEV(Rankings!M2:M651)</f>
        <v>-0.83494788391130537</v>
      </c>
      <c r="G140" s="121">
        <f>(VLOOKUP($A140,Hitters!$A1:$R401,5,FALSE)-AVERAGE(Rankings!N2:N651))/STDEV(Rankings!N2:N651)</f>
        <v>-0.82597900462902651</v>
      </c>
      <c r="H140" s="121">
        <f>(VLOOKUP($A140,Hitters!$A1:$R401,6,FALSE)-AVERAGE(Rankings!O2:O651))/STDEV(Rankings!O2:O651)</f>
        <v>-0.31288982080494926</v>
      </c>
      <c r="I140" s="121">
        <f>(VLOOKUP($A140,Hitters!$A1:$R401,7,FALSE)-AVERAGE(Rankings!P2:P651))/STDEV(Rankings!P2:P651)</f>
        <v>-0.61073226319446972</v>
      </c>
      <c r="J140" s="121">
        <f>(VLOOKUP($A140,Hitters!$A1:$R401,8,FALSE)-AVERAGE(Rankings!Q2:Q651))/STDEV(Rankings!Q2:Q651)</f>
        <v>-0.41009409286868603</v>
      </c>
      <c r="K140" s="121">
        <f>(VLOOKUP($A140,Hitters!$A1:$R401,9,FALSE)-AVERAGE(Rankings!R2:R651))/STDEV(Rankings!R2:R651)</f>
        <v>-1.2446556331478384</v>
      </c>
      <c r="L140" s="121">
        <f>(VLOOKUP($A140,Hitters!$A1:$R401,10,FALSE)-AVERAGE(Rankings!S2:S651))/STDEV(Rankings!S2:S651)</f>
        <v>-0.55035630886158815</v>
      </c>
      <c r="M140" s="121">
        <f>(VLOOKUP($A140,Hitters!$A1:$R401,11,FALSE)-AVERAGE(Rankings!T2:T651))/STDEV(Rankings!T2:T651)</f>
        <v>-0.95290666343197017</v>
      </c>
      <c r="N140" s="121">
        <f>(VLOOKUP($A140,Hitters!$A1:$R401,12,FALSE)-AVERAGE(Rankings!U2:U651))/STDEV(Rankings!U2:U651)</f>
        <v>-1.2723588515399364</v>
      </c>
      <c r="O140" s="121">
        <f>(VLOOKUP($A140,Hitters!$A1:$R401,13,FALSE)-AVERAGE(Rankings!V2:V651))/STDEV(Rankings!V2:V651)</f>
        <v>-0.5903871328757041</v>
      </c>
      <c r="P140" s="121">
        <f>(VLOOKUP($A140,Hitters!$A1:$R401,14,FALSE)-AVERAGE(Rankings!W2:W651))/STDEV(Rankings!W2:W651)</f>
        <v>-0.3625388494780678</v>
      </c>
      <c r="Q140" s="121">
        <f>(VLOOKUP($A140,Hitters!$A1:$R401,15,FALSE)-AVERAGE(Rankings!X2:X651))/STDEV(Rankings!X2:X651)</f>
        <v>-0.13810759475134737</v>
      </c>
      <c r="R140" s="121">
        <f>(VLOOKUP($A140,Hitters!$A1:$R401,16,FALSE)-AVERAGE(Rankings!Y2:Y651))/STDEV(Rankings!Y2:Y651)</f>
        <v>-0.52580105964616464</v>
      </c>
      <c r="S140" s="121">
        <f>(VLOOKUP($A140,Hitters!$A1:$R401,17,FALSE)-AVERAGE(Rankings!Z2:Z651))/STDEV(Rankings!Z2:Z651)</f>
        <v>-0.59876296236735949</v>
      </c>
      <c r="T140" s="121">
        <f>IFERROR((VLOOKUP($A140,Hitters!$A1:$R401,18,FALSE)-AVERAGE(Rankings!AA2:AA651))/STDEV(Rankings!AA2:AA651),0)</f>
        <v>0</v>
      </c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</row>
    <row r="141" spans="1:37" ht="18.600000000000001" customHeight="1">
      <c r="A141" s="25" t="s">
        <v>649</v>
      </c>
      <c r="B141" s="26" t="s">
        <v>87</v>
      </c>
      <c r="C141" s="123" t="s">
        <v>15</v>
      </c>
      <c r="D141" s="67">
        <f>(F141*Settings!$C$2)+(G141*Settings!$C$3)+(H141*Settings!$C$4)+(I141*Settings!$C$5)+(J141*Settings!$C$6)+(M141*Settings!$C$9)+(N141*Settings!$C$10)+(O141*Settings!$C$11)+(P141*Settings!$C$12)+(Q141*Settings!$C$13)+(T141*Settings!$C$16)+(K141*Settings!$C$7)+(L141*Settings!$C$8)+(R141*Settings!$C$14)+(S141*Settings!$C$15)</f>
        <v>-3.5999223398320894</v>
      </c>
      <c r="E141" s="67"/>
      <c r="F141" s="121">
        <f>(VLOOKUP($A141,Hitters!$A1:$R401,4,FALSE)-AVERAGE(Rankings!M2:M651))/STDEV(Rankings!M2:M651)</f>
        <v>-1.056947859848602</v>
      </c>
      <c r="G141" s="121">
        <f>(VLOOKUP($A141,Hitters!$A1:$R401,5,FALSE)-AVERAGE(Rankings!N2:N651))/STDEV(Rankings!N2:N651)</f>
        <v>-1.0506225751374048</v>
      </c>
      <c r="H141" s="121">
        <f>(VLOOKUP($A141,Hitters!$A1:$R401,6,FALSE)-AVERAGE(Rankings!O2:O651))/STDEV(Rankings!O2:O651)</f>
        <v>-0.87678603041868863</v>
      </c>
      <c r="I141" s="121">
        <f>(VLOOKUP($A141,Hitters!$A1:$R401,7,FALSE)-AVERAGE(Rankings!P2:P651))/STDEV(Rankings!P2:P651)</f>
        <v>-0.98840497170868158</v>
      </c>
      <c r="J141" s="121">
        <f>(VLOOKUP($A141,Hitters!$A1:$R401,8,FALSE)-AVERAGE(Rankings!Q2:Q651))/STDEV(Rankings!Q2:Q651)</f>
        <v>-0.16412421603422325</v>
      </c>
      <c r="K141" s="121">
        <f>(VLOOKUP($A141,Hitters!$A1:$R401,9,FALSE)-AVERAGE(Rankings!R2:R651))/STDEV(Rankings!R2:R651)</f>
        <v>-0.51998454653309123</v>
      </c>
      <c r="L141" s="121">
        <f>(VLOOKUP($A141,Hitters!$A1:$R401,10,FALSE)-AVERAGE(Rankings!S2:S651))/STDEV(Rankings!S2:S651)</f>
        <v>-1.3151308832305422</v>
      </c>
      <c r="M141" s="121">
        <f>(VLOOKUP($A141,Hitters!$A1:$R401,11,FALSE)-AVERAGE(Rankings!T2:T651))/STDEV(Rankings!T2:T651)</f>
        <v>-1.0266073152500459</v>
      </c>
      <c r="N141" s="121">
        <f>(VLOOKUP($A141,Hitters!$A1:$R401,12,FALSE)-AVERAGE(Rankings!U2:U651))/STDEV(Rankings!U2:U651)</f>
        <v>-0.82590683646475327</v>
      </c>
      <c r="O141" s="121">
        <f>(VLOOKUP($A141,Hitters!$A1:$R401,13,FALSE)-AVERAGE(Rankings!V2:V651))/STDEV(Rankings!V2:V651)</f>
        <v>-0.5903871328757041</v>
      </c>
      <c r="P141" s="121">
        <f>(VLOOKUP($A141,Hitters!$A1:$R401,14,FALSE)-AVERAGE(Rankings!W2:W651))/STDEV(Rankings!W2:W651)</f>
        <v>-1.2077265972151006</v>
      </c>
      <c r="Q141" s="121">
        <f>(VLOOKUP($A141,Hitters!$A1:$R401,15,FALSE)-AVERAGE(Rankings!X2:X651))/STDEV(Rankings!X2:X651)</f>
        <v>-0.8720418691847287</v>
      </c>
      <c r="R141" s="121">
        <f>(VLOOKUP($A141,Hitters!$A1:$R401,16,FALSE)-AVERAGE(Rankings!Y2:Y651))/STDEV(Rankings!Y2:Y651)</f>
        <v>-0.67139680662562218</v>
      </c>
      <c r="S141" s="121">
        <f>(VLOOKUP($A141,Hitters!$A1:$R401,17,FALSE)-AVERAGE(Rankings!Z2:Z651))/STDEV(Rankings!Z2:Z651)</f>
        <v>-1.0049354751776649</v>
      </c>
      <c r="T141" s="121">
        <f>IFERROR((VLOOKUP($A141,Hitters!$A1:$R401,18,FALSE)-AVERAGE(Rankings!AA2:AA651))/STDEV(Rankings!AA2:AA651),0)</f>
        <v>0</v>
      </c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</row>
    <row r="142" spans="1:37" ht="18.600000000000001" customHeight="1">
      <c r="A142" s="25" t="s">
        <v>668</v>
      </c>
      <c r="B142" s="26" t="s">
        <v>178</v>
      </c>
      <c r="C142" s="123" t="s">
        <v>15</v>
      </c>
      <c r="D142" s="67">
        <f>(F142*Settings!$C$2)+(G142*Settings!$C$3)+(H142*Settings!$C$4)+(I142*Settings!$C$5)+(J142*Settings!$C$6)+(M142*Settings!$C$9)+(N142*Settings!$C$10)+(O142*Settings!$C$11)+(P142*Settings!$C$12)+(Q142*Settings!$C$13)+(T142*Settings!$C$16)+(K142*Settings!$C$7)+(L142*Settings!$C$8)+(R142*Settings!$C$14)+(S142*Settings!$C$15)</f>
        <v>-3.9932981099865592</v>
      </c>
      <c r="E142" s="67"/>
      <c r="F142" s="121">
        <f>(VLOOKUP($A142,Hitters!$A1:$R401,4,FALSE)-AVERAGE(Rankings!M2:M651))/STDEV(Rankings!M2:M651)</f>
        <v>-1.4539360521129518</v>
      </c>
      <c r="G142" s="121">
        <f>(VLOOKUP($A142,Hitters!$A1:$R401,5,FALSE)-AVERAGE(Rankings!N2:N651))/STDEV(Rankings!N2:N651)</f>
        <v>-1.2221409769444798</v>
      </c>
      <c r="H142" s="121">
        <f>(VLOOKUP($A142,Hitters!$A1:$R401,6,FALSE)-AVERAGE(Rankings!O2:O651))/STDEV(Rankings!O2:O651)</f>
        <v>-0.78906884225655083</v>
      </c>
      <c r="I142" s="121">
        <f>(VLOOKUP($A142,Hitters!$A1:$R401,7,FALSE)-AVERAGE(Rankings!P2:P651))/STDEV(Rankings!P2:P651)</f>
        <v>-1.0993945023740823</v>
      </c>
      <c r="J142" s="121">
        <f>(VLOOKUP($A142,Hitters!$A1:$R401,8,FALSE)-AVERAGE(Rankings!Q2:Q651))/STDEV(Rankings!Q2:Q651)</f>
        <v>-0.85685570589454474</v>
      </c>
      <c r="K142" s="121">
        <f>(VLOOKUP($A142,Hitters!$A1:$R401,9,FALSE)-AVERAGE(Rankings!R2:R651))/STDEV(Rankings!R2:R651)</f>
        <v>-2.5838082516901697E-2</v>
      </c>
      <c r="L142" s="121">
        <f>(VLOOKUP($A142,Hitters!$A1:$R401,10,FALSE)-AVERAGE(Rankings!S2:S651))/STDEV(Rankings!S2:S651)</f>
        <v>-0.83498171648507502</v>
      </c>
      <c r="M142" s="121">
        <f>(VLOOKUP($A142,Hitters!$A1:$R401,11,FALSE)-AVERAGE(Rankings!T2:T651))/STDEV(Rankings!T2:T651)</f>
        <v>-1.3032122307154148</v>
      </c>
      <c r="N142" s="121">
        <f>(VLOOKUP($A142,Hitters!$A1:$R401,12,FALSE)-AVERAGE(Rankings!U2:U651))/STDEV(Rankings!U2:U651)</f>
        <v>-0.89818954366740544</v>
      </c>
      <c r="O142" s="121">
        <f>(VLOOKUP($A142,Hitters!$A1:$R401,13,FALSE)-AVERAGE(Rankings!V2:V651))/STDEV(Rankings!V2:V651)</f>
        <v>-0.5903871328757041</v>
      </c>
      <c r="P142" s="121">
        <f>(VLOOKUP($A142,Hitters!$A1:$R401,14,FALSE)-AVERAGE(Rankings!W2:W651))/STDEV(Rankings!W2:W651)</f>
        <v>-1.3470432589299959</v>
      </c>
      <c r="Q142" s="121">
        <f>(VLOOKUP($A142,Hitters!$A1:$R401,15,FALSE)-AVERAGE(Rankings!X2:X651))/STDEV(Rankings!X2:X651)</f>
        <v>-1.0445602842905832</v>
      </c>
      <c r="R142" s="121">
        <f>(VLOOKUP($A142,Hitters!$A1:$R401,16,FALSE)-AVERAGE(Rankings!Y2:Y651))/STDEV(Rankings!Y2:Y651)</f>
        <v>0.59682080907229695</v>
      </c>
      <c r="S142" s="121">
        <f>(VLOOKUP($A142,Hitters!$A1:$R401,17,FALSE)-AVERAGE(Rankings!Z2:Z651))/STDEV(Rankings!Z2:Z651)</f>
        <v>0.10668087454968024</v>
      </c>
      <c r="T142" s="121">
        <f>IFERROR((VLOOKUP($A142,Hitters!$A1:$R401,18,FALSE)-AVERAGE(Rankings!AA2:AA651))/STDEV(Rankings!AA2:AA651),0)</f>
        <v>0</v>
      </c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</row>
    <row r="143" spans="1:37" ht="18.600000000000001" customHeight="1">
      <c r="A143" s="25" t="s">
        <v>669</v>
      </c>
      <c r="B143" s="26" t="s">
        <v>97</v>
      </c>
      <c r="C143" s="123" t="s">
        <v>15</v>
      </c>
      <c r="D143" s="67">
        <f>(F143*Settings!$C$2)+(G143*Settings!$C$3)+(H143*Settings!$C$4)+(I143*Settings!$C$5)+(J143*Settings!$C$6)+(M143*Settings!$C$9)+(N143*Settings!$C$10)+(O143*Settings!$C$11)+(P143*Settings!$C$12)+(Q143*Settings!$C$13)+(T143*Settings!$C$16)+(K143*Settings!$C$7)+(L143*Settings!$C$8)+(R143*Settings!$C$14)+(S143*Settings!$C$15)</f>
        <v>-4.0172545644116138</v>
      </c>
      <c r="E143" s="67"/>
      <c r="F143" s="121">
        <f>(VLOOKUP($A143,Hitters!$A1:$R401,4,FALSE)-AVERAGE(Rankings!M2:M651))/STDEV(Rankings!M2:M651)</f>
        <v>-1.3834184126975744</v>
      </c>
      <c r="G143" s="121">
        <f>(VLOOKUP($A143,Hitters!$A1:$R401,5,FALSE)-AVERAGE(Rankings!N2:N651))/STDEV(Rankings!N2:N651)</f>
        <v>-1.2828554554602567</v>
      </c>
      <c r="H143" s="121">
        <f>(VLOOKUP($A143,Hitters!$A1:$R401,6,FALSE)-AVERAGE(Rankings!O2:O651))/STDEV(Rankings!O2:O651)</f>
        <v>-1.5492844729950777</v>
      </c>
      <c r="I143" s="121">
        <f>(VLOOKUP($A143,Hitters!$A1:$R401,7,FALSE)-AVERAGE(Rankings!P2:P651))/STDEV(Rankings!P2:P651)</f>
        <v>-1.5017315510361595</v>
      </c>
      <c r="J143" s="121">
        <f>(VLOOKUP($A143,Hitters!$A1:$R401,8,FALSE)-AVERAGE(Rankings!Q2:Q651))/STDEV(Rankings!Q2:Q651)</f>
        <v>-0.74642025098927633</v>
      </c>
      <c r="K143" s="121">
        <f>(VLOOKUP($A143,Hitters!$A1:$R401,9,FALSE)-AVERAGE(Rankings!R2:R651))/STDEV(Rankings!R2:R651)</f>
        <v>1.0630371660691558</v>
      </c>
      <c r="L143" s="121">
        <f>(VLOOKUP($A143,Hitters!$A1:$R401,10,FALSE)-AVERAGE(Rankings!S2:S651))/STDEV(Rankings!S2:S651)</f>
        <v>1.605050394253168</v>
      </c>
      <c r="M143" s="121">
        <f>(VLOOKUP($A143,Hitters!$A1:$R401,11,FALSE)-AVERAGE(Rankings!T2:T651))/STDEV(Rankings!T2:T651)</f>
        <v>-1.117595774284706</v>
      </c>
      <c r="N143" s="121">
        <f>(VLOOKUP($A143,Hitters!$A1:$R401,12,FALSE)-AVERAGE(Rankings!U2:U651))/STDEV(Rankings!U2:U651)</f>
        <v>-1.26810692758684</v>
      </c>
      <c r="O143" s="121">
        <f>(VLOOKUP($A143,Hitters!$A1:$R401,13,FALSE)-AVERAGE(Rankings!V2:V651))/STDEV(Rankings!V2:V651)</f>
        <v>-0.61804217660002114</v>
      </c>
      <c r="P143" s="121">
        <f>(VLOOKUP($A143,Hitters!$A1:$R401,14,FALSE)-AVERAGE(Rankings!W2:W651))/STDEV(Rankings!W2:W651)</f>
        <v>-0.61145128507534918</v>
      </c>
      <c r="Q143" s="121">
        <f>(VLOOKUP($A143,Hitters!$A1:$R401,15,FALSE)-AVERAGE(Rankings!X2:X651))/STDEV(Rankings!X2:X651)</f>
        <v>-1.7044188550626915</v>
      </c>
      <c r="R143" s="121">
        <f>(VLOOKUP($A143,Hitters!$A1:$R401,16,FALSE)-AVERAGE(Rankings!Y2:Y651))/STDEV(Rankings!Y2:Y651)</f>
        <v>-1.4337427383246288</v>
      </c>
      <c r="S143" s="121">
        <f>(VLOOKUP($A143,Hitters!$A1:$R401,17,FALSE)-AVERAGE(Rankings!Z2:Z651))/STDEV(Rankings!Z2:Z651)</f>
        <v>-0.41361330973438087</v>
      </c>
      <c r="T143" s="121">
        <f>IFERROR((VLOOKUP($A143,Hitters!$A1:$R401,18,FALSE)-AVERAGE(Rankings!AA2:AA651))/STDEV(Rankings!AA2:AA651),0)</f>
        <v>0</v>
      </c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</row>
    <row r="144" spans="1:37" ht="18.600000000000001" customHeight="1">
      <c r="A144" s="25" t="s">
        <v>675</v>
      </c>
      <c r="B144" s="26" t="s">
        <v>309</v>
      </c>
      <c r="C144" s="123" t="s">
        <v>15</v>
      </c>
      <c r="D144" s="67">
        <f>(F144*Settings!$C$2)+(G144*Settings!$C$3)+(H144*Settings!$C$4)+(I144*Settings!$C$5)+(J144*Settings!$C$6)+(M144*Settings!$C$9)+(N144*Settings!$C$10)+(O144*Settings!$C$11)+(P144*Settings!$C$12)+(Q144*Settings!$C$13)+(T144*Settings!$C$16)+(K144*Settings!$C$7)+(L144*Settings!$C$8)+(R144*Settings!$C$14)+(S144*Settings!$C$15)</f>
        <v>-4.1206671782785911</v>
      </c>
      <c r="E144" s="67"/>
      <c r="F144" s="121">
        <f>(VLOOKUP($A144,Hitters!$A1:$R401,4,FALSE)-AVERAGE(Rankings!M2:M651))/STDEV(Rankings!M2:M651)</f>
        <v>-1.6328419150741846</v>
      </c>
      <c r="G144" s="121">
        <f>(VLOOKUP($A144,Hitters!$A1:$R401,5,FALSE)-AVERAGE(Rankings!N2:N651))/STDEV(Rankings!N2:N651)</f>
        <v>-1.4384363066569401</v>
      </c>
      <c r="H144" s="121">
        <f>(VLOOKUP($A144,Hitters!$A1:$R401,6,FALSE)-AVERAGE(Rankings!O2:O651))/STDEV(Rankings!O2:O651)</f>
        <v>-1.1754421710659668</v>
      </c>
      <c r="I144" s="121">
        <f>(VLOOKUP($A144,Hitters!$A1:$R401,7,FALSE)-AVERAGE(Rankings!P2:P651))/STDEV(Rankings!P2:P651)</f>
        <v>-1.3969081054077239</v>
      </c>
      <c r="J144" s="121">
        <f>(VLOOKUP($A144,Hitters!$A1:$R401,8,FALSE)-AVERAGE(Rankings!Q2:Q651))/STDEV(Rankings!Q2:Q651)</f>
        <v>-0.54311861809548634</v>
      </c>
      <c r="K144" s="121">
        <f>(VLOOKUP($A144,Hitters!$A1:$R401,9,FALSE)-AVERAGE(Rankings!R2:R651))/STDEV(Rankings!R2:R651)</f>
        <v>0.4332380229475265</v>
      </c>
      <c r="L144" s="121">
        <f>(VLOOKUP($A144,Hitters!$A1:$R401,10,FALSE)-AVERAGE(Rankings!S2:S651))/STDEV(Rankings!S2:S651)</f>
        <v>-0.30058560203812495</v>
      </c>
      <c r="M144" s="121">
        <f>(VLOOKUP($A144,Hitters!$A1:$R401,11,FALSE)-AVERAGE(Rankings!T2:T651))/STDEV(Rankings!T2:T651)</f>
        <v>-1.4142181507377023</v>
      </c>
      <c r="N144" s="121">
        <f>(VLOOKUP($A144,Hitters!$A1:$R401,12,FALSE)-AVERAGE(Rankings!U2:U651))/STDEV(Rankings!U2:U651)</f>
        <v>-1.0640145778381866</v>
      </c>
      <c r="O144" s="121">
        <f>(VLOOKUP($A144,Hitters!$A1:$R401,13,FALSE)-AVERAGE(Rankings!V2:V651))/STDEV(Rankings!V2:V651)</f>
        <v>-0.74248987335944894</v>
      </c>
      <c r="P144" s="121">
        <f>(VLOOKUP($A144,Hitters!$A1:$R401,14,FALSE)-AVERAGE(Rankings!W2:W651))/STDEV(Rankings!W2:W651)</f>
        <v>-1.369333924804379</v>
      </c>
      <c r="Q144" s="121">
        <f>(VLOOKUP($A144,Hitters!$A1:$R401,15,FALSE)-AVERAGE(Rankings!X2:X651))/STDEV(Rankings!X2:X651)</f>
        <v>-1.6025647625284452</v>
      </c>
      <c r="R144" s="121">
        <f>(VLOOKUP($A144,Hitters!$A1:$R401,16,FALSE)-AVERAGE(Rankings!Y2:Y651))/STDEV(Rankings!Y2:Y651)</f>
        <v>-4.4537053752462558E-2</v>
      </c>
      <c r="S144" s="121">
        <f>(VLOOKUP($A144,Hitters!$A1:$R401,17,FALSE)-AVERAGE(Rankings!Z2:Z651))/STDEV(Rankings!Z2:Z651)</f>
        <v>-0.1504058664115846</v>
      </c>
      <c r="T144" s="121">
        <f>IFERROR((VLOOKUP($A144,Hitters!$A1:$R401,18,FALSE)-AVERAGE(Rankings!AA2:AA651))/STDEV(Rankings!AA2:AA651),0)</f>
        <v>0</v>
      </c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</row>
    <row r="145" spans="1:37" ht="18.600000000000001" customHeight="1">
      <c r="A145" s="25" t="s">
        <v>695</v>
      </c>
      <c r="B145" s="26" t="s">
        <v>116</v>
      </c>
      <c r="C145" s="123" t="s">
        <v>15</v>
      </c>
      <c r="D145" s="67">
        <f>(F145*Settings!$C$2)+(G145*Settings!$C$3)+(H145*Settings!$C$4)+(I145*Settings!$C$5)+(J145*Settings!$C$6)+(M145*Settings!$C$9)+(N145*Settings!$C$10)+(O145*Settings!$C$11)+(P145*Settings!$C$12)+(Q145*Settings!$C$13)+(T145*Settings!$C$16)+(K145*Settings!$C$7)+(L145*Settings!$C$8)+(R145*Settings!$C$14)+(S145*Settings!$C$15)</f>
        <v>-4.6376045084153006</v>
      </c>
      <c r="E145" s="67"/>
      <c r="F145" s="121">
        <f>(VLOOKUP($A145,Hitters!$A1:$R401,4,FALSE)-AVERAGE(Rankings!M2:M651))/STDEV(Rankings!M2:M651)</f>
        <v>-1.7490654318884153</v>
      </c>
      <c r="G145" s="121">
        <f>(VLOOKUP($A145,Hitters!$A1:$R401,5,FALSE)-AVERAGE(Rankings!N2:N651))/STDEV(Rankings!N2:N651)</f>
        <v>-1.4786596486736419</v>
      </c>
      <c r="H145" s="121">
        <f>(VLOOKUP($A145,Hitters!$A1:$R401,6,FALSE)-AVERAGE(Rankings!O2:O651))/STDEV(Rankings!O2:O651)</f>
        <v>-0.94361817378031709</v>
      </c>
      <c r="I145" s="121">
        <f>(VLOOKUP($A145,Hitters!$A1:$R401,7,FALSE)-AVERAGE(Rankings!P2:P651))/STDEV(Rankings!P2:P651)</f>
        <v>-1.3337057337788139</v>
      </c>
      <c r="J145" s="121">
        <f>(VLOOKUP($A145,Hitters!$A1:$R401,8,FALSE)-AVERAGE(Rankings!Q2:Q651))/STDEV(Rankings!Q2:Q651)</f>
        <v>-0.88195467291846941</v>
      </c>
      <c r="K145" s="121">
        <f>(VLOOKUP($A145,Hitters!$A1:$R401,9,FALSE)-AVERAGE(Rankings!R2:R651))/STDEV(Rankings!R2:R651)</f>
        <v>3.3372073594177803E-4</v>
      </c>
      <c r="L145" s="121">
        <f>(VLOOKUP($A145,Hitters!$A1:$R401,10,FALSE)-AVERAGE(Rankings!S2:S651))/STDEV(Rankings!S2:S651)</f>
        <v>-0.56876789915837311</v>
      </c>
      <c r="M145" s="121">
        <f>(VLOOKUP($A145,Hitters!$A1:$R401,11,FALSE)-AVERAGE(Rankings!T2:T651))/STDEV(Rankings!T2:T651)</f>
        <v>-1.5570700314221195</v>
      </c>
      <c r="N145" s="121">
        <f>(VLOOKUP($A145,Hitters!$A1:$R401,12,FALSE)-AVERAGE(Rankings!U2:U651))/STDEV(Rankings!U2:U651)</f>
        <v>-1.4296800378045247</v>
      </c>
      <c r="O145" s="121">
        <f>(VLOOKUP($A145,Hitters!$A1:$R401,13,FALSE)-AVERAGE(Rankings!V2:V651))/STDEV(Rankings!V2:V651)</f>
        <v>-0.34149173935685095</v>
      </c>
      <c r="P145" s="121">
        <f>(VLOOKUP($A145,Hitters!$A1:$R401,14,FALSE)-AVERAGE(Rankings!W2:W651))/STDEV(Rankings!W2:W651)</f>
        <v>-1.4027699236159539</v>
      </c>
      <c r="Q145" s="121">
        <f>(VLOOKUP($A145,Hitters!$A1:$R401,15,FALSE)-AVERAGE(Rankings!X2:X651))/STDEV(Rankings!X2:X651)</f>
        <v>-1.2862810015010442</v>
      </c>
      <c r="R145" s="121">
        <f>(VLOOKUP($A145,Hitters!$A1:$R401,16,FALSE)-AVERAGE(Rankings!Y2:Y651))/STDEV(Rankings!Y2:Y651)</f>
        <v>0.60847332739125692</v>
      </c>
      <c r="S145" s="121">
        <f>(VLOOKUP($A145,Hitters!$A1:$R401,17,FALSE)-AVERAGE(Rankings!Z2:Z651))/STDEV(Rankings!Z2:Z651)</f>
        <v>0.21965806754670567</v>
      </c>
      <c r="T145" s="121">
        <f>IFERROR((VLOOKUP($A145,Hitters!$A1:$R401,18,FALSE)-AVERAGE(Rankings!AA2:AA651))/STDEV(Rankings!AA2:AA651),0)</f>
        <v>0</v>
      </c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</row>
    <row r="146" spans="1:37" ht="18.600000000000001" customHeight="1">
      <c r="A146" s="25" t="s">
        <v>692</v>
      </c>
      <c r="B146" s="26" t="s">
        <v>119</v>
      </c>
      <c r="C146" s="123" t="s">
        <v>15</v>
      </c>
      <c r="D146" s="67">
        <f>(F146*Settings!$C$2)+(G146*Settings!$C$3)+(H146*Settings!$C$4)+(I146*Settings!$C$5)+(J146*Settings!$C$6)+(M146*Settings!$C$9)+(N146*Settings!$C$10)+(O146*Settings!$C$11)+(P146*Settings!$C$12)+(Q146*Settings!$C$13)+(T146*Settings!$C$16)+(K146*Settings!$C$7)+(L146*Settings!$C$8)+(R146*Settings!$C$14)+(S146*Settings!$C$15)</f>
        <v>-4.6074616429854762</v>
      </c>
      <c r="E146" s="67"/>
      <c r="F146" s="121">
        <f>(VLOOKUP($A146,Hitters!$A1:$R401,4,FALSE)-AVERAGE(Rankings!M2:M651))/STDEV(Rankings!M2:M651)</f>
        <v>-1.511394869414368</v>
      </c>
      <c r="G146" s="121">
        <f>(VLOOKUP($A146,Hitters!$A1:$R401,5,FALSE)-AVERAGE(Rankings!N2:N651))/STDEV(Rankings!N2:N651)</f>
        <v>-1.492320406339692</v>
      </c>
      <c r="H146" s="121">
        <f>(VLOOKUP($A146,Hitters!$A1:$R401,6,FALSE)-AVERAGE(Rankings!O2:O651))/STDEV(Rankings!O2:O651)</f>
        <v>-1.4824523296334491</v>
      </c>
      <c r="I146" s="121">
        <f>(VLOOKUP($A146,Hitters!$A1:$R401,7,FALSE)-AVERAGE(Rankings!P2:P651))/STDEV(Rankings!P2:P651)</f>
        <v>-1.5341034974802348</v>
      </c>
      <c r="J146" s="121">
        <f>(VLOOKUP($A146,Hitters!$A1:$R401,8,FALSE)-AVERAGE(Rankings!Q2:Q651))/STDEV(Rankings!Q2:Q651)</f>
        <v>-0.65104417629836286</v>
      </c>
      <c r="K146" s="121">
        <f>(VLOOKUP($A146,Hitters!$A1:$R401,9,FALSE)-AVERAGE(Rankings!R2:R651))/STDEV(Rankings!R2:R651)</f>
        <v>0.5524587667662626</v>
      </c>
      <c r="L146" s="121">
        <f>(VLOOKUP($A146,Hitters!$A1:$R401,10,FALSE)-AVERAGE(Rankings!S2:S651))/STDEV(Rankings!S2:S651)</f>
        <v>0.15905604756752581</v>
      </c>
      <c r="M146" s="121">
        <f>(VLOOKUP($A146,Hitters!$A1:$R401,11,FALSE)-AVERAGE(Rankings!T2:T651))/STDEV(Rankings!T2:T651)</f>
        <v>-1.2922936156312554</v>
      </c>
      <c r="N146" s="121">
        <f>(VLOOKUP($A146,Hitters!$A1:$R401,12,FALSE)-AVERAGE(Rankings!U2:U651))/STDEV(Rankings!U2:U651)</f>
        <v>-1.4339319617576212</v>
      </c>
      <c r="O146" s="121">
        <f>(VLOOKUP($A146,Hitters!$A1:$R401,13,FALSE)-AVERAGE(Rankings!V2:V651))/STDEV(Rankings!V2:V651)</f>
        <v>-1.281763225983636</v>
      </c>
      <c r="P146" s="121">
        <f>(VLOOKUP($A146,Hitters!$A1:$R401,14,FALSE)-AVERAGE(Rankings!W2:W651))/STDEV(Rankings!W2:W651)</f>
        <v>-1.165002820955864</v>
      </c>
      <c r="Q146" s="121">
        <f>(VLOOKUP($A146,Hitters!$A1:$R401,15,FALSE)-AVERAGE(Rankings!X2:X651))/STDEV(Rankings!X2:X651)</f>
        <v>-1.5504193658721566</v>
      </c>
      <c r="R146" s="121">
        <f>(VLOOKUP($A146,Hitters!$A1:$R401,16,FALSE)-AVERAGE(Rankings!Y2:Y651))/STDEV(Rankings!Y2:Y651)</f>
        <v>-1.6680249639098372</v>
      </c>
      <c r="S146" s="121">
        <f>(VLOOKUP($A146,Hitters!$A1:$R401,17,FALSE)-AVERAGE(Rankings!Z2:Z651))/STDEV(Rankings!Z2:Z651)</f>
        <v>-1.151736355005196</v>
      </c>
      <c r="T146" s="121">
        <f>IFERROR((VLOOKUP($A146,Hitters!$A1:$R401,18,FALSE)-AVERAGE(Rankings!AA2:AA651))/STDEV(Rankings!AA2:AA651),0)</f>
        <v>0</v>
      </c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</row>
    <row r="147" spans="1:37" ht="18.600000000000001" customHeight="1">
      <c r="A147" s="25" t="s">
        <v>696</v>
      </c>
      <c r="B147" s="26" t="s">
        <v>136</v>
      </c>
      <c r="C147" s="123" t="s">
        <v>15</v>
      </c>
      <c r="D147" s="67">
        <f>(F147*Settings!$C$2)+(G147*Settings!$C$3)+(H147*Settings!$C$4)+(I147*Settings!$C$5)+(J147*Settings!$C$6)+(M147*Settings!$C$9)+(N147*Settings!$C$10)+(O147*Settings!$C$11)+(P147*Settings!$C$12)+(Q147*Settings!$C$13)+(T147*Settings!$C$16)+(K147*Settings!$C$7)+(L147*Settings!$C$8)+(R147*Settings!$C$14)+(S147*Settings!$C$15)</f>
        <v>-4.6968024167089615</v>
      </c>
      <c r="E147" s="67"/>
      <c r="F147" s="121">
        <f>(VLOOKUP($A147,Hitters!$A1:$R401,4,FALSE)-AVERAGE(Rankings!M2:M651))/STDEV(Rankings!M2:M651)</f>
        <v>-1.5244536915283293</v>
      </c>
      <c r="G147" s="121">
        <f>(VLOOKUP($A147,Hitters!$A1:$R401,5,FALSE)-AVERAGE(Rankings!N2:N651))/STDEV(Rankings!N2:N651)</f>
        <v>-1.3132126947181473</v>
      </c>
      <c r="H147" s="121">
        <f>(VLOOKUP($A147,Hitters!$A1:$R401,6,FALSE)-AVERAGE(Rankings!O2:O651))/STDEV(Rankings!O2:O651)</f>
        <v>-1.3780271056309048</v>
      </c>
      <c r="I147" s="121">
        <f>(VLOOKUP($A147,Hitters!$A1:$R401,7,FALSE)-AVERAGE(Rankings!P2:P651))/STDEV(Rankings!P2:P651)</f>
        <v>-1.6404684643679102</v>
      </c>
      <c r="J147" s="121">
        <f>(VLOOKUP($A147,Hitters!$A1:$R401,8,FALSE)-AVERAGE(Rankings!Q2:Q651))/STDEV(Rankings!Q2:Q651)</f>
        <v>-0.85685570589454474</v>
      </c>
      <c r="K147" s="121">
        <f>(VLOOKUP($A147,Hitters!$A1:$R401,9,FALSE)-AVERAGE(Rankings!R2:R651))/STDEV(Rankings!R2:R651)</f>
        <v>0.49176155390254545</v>
      </c>
      <c r="L147" s="121">
        <f>(VLOOKUP($A147,Hitters!$A1:$R401,10,FALSE)-AVERAGE(Rankings!S2:S651))/STDEV(Rankings!S2:S651)</f>
        <v>0.28995171705837841</v>
      </c>
      <c r="M147" s="121">
        <f>(VLOOKUP($A147,Hitters!$A1:$R401,11,FALSE)-AVERAGE(Rankings!T2:T651))/STDEV(Rankings!T2:T651)</f>
        <v>-1.3104913074381888</v>
      </c>
      <c r="N147" s="121">
        <f>(VLOOKUP($A147,Hitters!$A1:$R401,12,FALSE)-AVERAGE(Rankings!U2:U651))/STDEV(Rankings!U2:U651)</f>
        <v>-1.7103070187089231</v>
      </c>
      <c r="O147" s="121">
        <f>(VLOOKUP($A147,Hitters!$A1:$R401,13,FALSE)-AVERAGE(Rankings!V2:V651))/STDEV(Rankings!V2:V651)</f>
        <v>-0.97755774501614567</v>
      </c>
      <c r="P147" s="121">
        <f>(VLOOKUP($A147,Hitters!$A1:$R401,14,FALSE)-AVERAGE(Rankings!W2:W651))/STDEV(Rankings!W2:W651)</f>
        <v>-1.1018459343117804</v>
      </c>
      <c r="Q147" s="121">
        <f>(VLOOKUP($A147,Hitters!$A1:$R401,15,FALSE)-AVERAGE(Rankings!X2:X651))/STDEV(Rankings!X2:X651)</f>
        <v>-1.5913559389481222</v>
      </c>
      <c r="R147" s="121">
        <f>(VLOOKUP($A147,Hitters!$A1:$R401,16,FALSE)-AVERAGE(Rankings!Y2:Y651))/STDEV(Rankings!Y2:Y651)</f>
        <v>-1.5503144978700465</v>
      </c>
      <c r="S147" s="121">
        <f>(VLOOKUP($A147,Hitters!$A1:$R401,17,FALSE)-AVERAGE(Rankings!Z2:Z651))/STDEV(Rankings!Z2:Z651)</f>
        <v>-1.014674252358351</v>
      </c>
      <c r="T147" s="121">
        <f>IFERROR((VLOOKUP($A147,Hitters!$A1:$R401,18,FALSE)-AVERAGE(Rankings!AA2:AA651))/STDEV(Rankings!AA2:AA651),0)</f>
        <v>0</v>
      </c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</row>
    <row r="148" spans="1:37" ht="18.600000000000001" customHeight="1">
      <c r="A148" s="25" t="s">
        <v>706</v>
      </c>
      <c r="B148" s="26" t="s">
        <v>309</v>
      </c>
      <c r="C148" s="123" t="s">
        <v>15</v>
      </c>
      <c r="D148" s="67">
        <f>(F148*Settings!$C$2)+(G148*Settings!$C$3)+(H148*Settings!$C$4)+(I148*Settings!$C$5)+(J148*Settings!$C$6)+(M148*Settings!$C$9)+(N148*Settings!$C$10)+(O148*Settings!$C$11)+(P148*Settings!$C$12)+(Q148*Settings!$C$13)+(T148*Settings!$C$16)+(K148*Settings!$C$7)+(L148*Settings!$C$8)+(R148*Settings!$C$14)+(S148*Settings!$C$15)</f>
        <v>-4.9808623231728024</v>
      </c>
      <c r="E148" s="67"/>
      <c r="F148" s="121">
        <f>(VLOOKUP($A148,Hitters!$A1:$R401,4,FALSE)-AVERAGE(Rankings!M2:M651))/STDEV(Rankings!M2:M651)</f>
        <v>-1.5322889847967047</v>
      </c>
      <c r="G148" s="121">
        <f>(VLOOKUP($A148,Hitters!$A1:$R401,5,FALSE)-AVERAGE(Rankings!N2:N651))/STDEV(Rankings!N2:N651)</f>
        <v>-1.4801775106365391</v>
      </c>
      <c r="H148" s="121">
        <f>(VLOOKUP($A148,Hitters!$A1:$R401,6,FALSE)-AVERAGE(Rankings!O2:O651))/STDEV(Rankings!O2:O651)</f>
        <v>-1.3487880429101911</v>
      </c>
      <c r="I148" s="121">
        <f>(VLOOKUP($A148,Hitters!$A1:$R401,7,FALSE)-AVERAGE(Rankings!P2:P651))/STDEV(Rankings!P2:P651)</f>
        <v>-1.4339046156295241</v>
      </c>
      <c r="J148" s="121">
        <f>(VLOOKUP($A148,Hitters!$A1:$R401,8,FALSE)-AVERAGE(Rankings!Q2:Q651))/STDEV(Rankings!Q2:Q651)</f>
        <v>-0.61088582906008304</v>
      </c>
      <c r="K148" s="121">
        <f>(VLOOKUP($A148,Hitters!$A1:$R401,9,FALSE)-AVERAGE(Rankings!R2:R651))/STDEV(Rankings!R2:R651)</f>
        <v>-0.10710632493646415</v>
      </c>
      <c r="L148" s="121">
        <f>(VLOOKUP($A148,Hitters!$A1:$R401,10,FALSE)-AVERAGE(Rankings!S2:S651))/STDEV(Rankings!S2:S651)</f>
        <v>-1.0947645717162144</v>
      </c>
      <c r="M148" s="121">
        <f>(VLOOKUP($A148,Hitters!$A1:$R401,11,FALSE)-AVERAGE(Rankings!T2:T651))/STDEV(Rankings!T2:T651)</f>
        <v>-1.3796425363045302</v>
      </c>
      <c r="N148" s="121">
        <f>(VLOOKUP($A148,Hitters!$A1:$R401,12,FALSE)-AVERAGE(Rankings!U2:U651))/STDEV(Rankings!U2:U651)</f>
        <v>-1.1788165245718041</v>
      </c>
      <c r="O148" s="121">
        <f>(VLOOKUP($A148,Hitters!$A1:$R401,13,FALSE)-AVERAGE(Rankings!V2:V651))/STDEV(Rankings!V2:V651)</f>
        <v>-0.56273208915138628</v>
      </c>
      <c r="P148" s="121">
        <f>(VLOOKUP($A148,Hitters!$A1:$R401,14,FALSE)-AVERAGE(Rankings!W2:W651))/STDEV(Rankings!W2:W651)</f>
        <v>-1.4547814773228465</v>
      </c>
      <c r="Q148" s="121">
        <f>(VLOOKUP($A148,Hitters!$A1:$R401,15,FALSE)-AVERAGE(Rankings!X2:X651))/STDEV(Rankings!X2:X651)</f>
        <v>-1.903253638574524</v>
      </c>
      <c r="R148" s="121">
        <f>(VLOOKUP($A148,Hitters!$A1:$R401,16,FALSE)-AVERAGE(Rankings!Y2:Y651))/STDEV(Rankings!Y2:Y651)</f>
        <v>-1.1011662998860079</v>
      </c>
      <c r="S148" s="121">
        <f>(VLOOKUP($A148,Hitters!$A1:$R401,17,FALSE)-AVERAGE(Rankings!Z2:Z651))/STDEV(Rankings!Z2:Z651)</f>
        <v>-1.231269366285703</v>
      </c>
      <c r="T148" s="121">
        <f>IFERROR((VLOOKUP($A148,Hitters!$A1:$R401,18,FALSE)-AVERAGE(Rankings!AA2:AA651))/STDEV(Rankings!AA2:AA651),0)</f>
        <v>0</v>
      </c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</row>
    <row r="149" spans="1:37" ht="18.600000000000001" customHeight="1">
      <c r="A149" s="25" t="s">
        <v>718</v>
      </c>
      <c r="B149" s="26" t="s">
        <v>99</v>
      </c>
      <c r="C149" s="123" t="s">
        <v>15</v>
      </c>
      <c r="D149" s="67">
        <f>(F149*Settings!$C$2)+(G149*Settings!$C$3)+(H149*Settings!$C$4)+(I149*Settings!$C$5)+(J149*Settings!$C$6)+(M149*Settings!$C$9)+(N149*Settings!$C$10)+(O149*Settings!$C$11)+(P149*Settings!$C$12)+(Q149*Settings!$C$13)+(T149*Settings!$C$16)+(K149*Settings!$C$7)+(L149*Settings!$C$8)+(R149*Settings!$C$14)+(S149*Settings!$C$15)</f>
        <v>-5.5401670033558128</v>
      </c>
      <c r="E149" s="67"/>
      <c r="F149" s="121">
        <f>(VLOOKUP($A149,Hitters!$A1:$R401,4,FALSE)-AVERAGE(Rankings!M2:M651))/STDEV(Rankings!M2:M651)</f>
        <v>-1.6759360280502487</v>
      </c>
      <c r="G149" s="121">
        <f>(VLOOKUP($A149,Hitters!$A1:$R401,5,FALSE)-AVERAGE(Rankings!N2:N651))/STDEV(Rankings!N2:N651)</f>
        <v>-1.4338827207682567</v>
      </c>
      <c r="H149" s="121">
        <f>(VLOOKUP($A149,Hitters!$A1:$R401,6,FALSE)-AVERAGE(Rankings!O2:O651))/STDEV(Rankings!O2:O651)</f>
        <v>-1.0313353619424548</v>
      </c>
      <c r="I149" s="121">
        <f>(VLOOKUP($A149,Hitters!$A1:$R401,7,FALSE)-AVERAGE(Rankings!P2:P651))/STDEV(Rankings!P2:P651)</f>
        <v>-1.3668484408525114</v>
      </c>
      <c r="J149" s="121">
        <f>(VLOOKUP($A149,Hitters!$A1:$R401,8,FALSE)-AVERAGE(Rankings!Q2:Q651))/STDEV(Rankings!Q2:Q651)</f>
        <v>-0.68618273013185704</v>
      </c>
      <c r="K149" s="121">
        <f>(VLOOKUP($A149,Hitters!$A1:$R401,9,FALSE)-AVERAGE(Rankings!R2:R651))/STDEV(Rankings!R2:R651)</f>
        <v>-1.0219177496607326</v>
      </c>
      <c r="L149" s="121">
        <f>(VLOOKUP($A149,Hitters!$A1:$R401,10,FALSE)-AVERAGE(Rankings!S2:S651))/STDEV(Rankings!S2:S651)</f>
        <v>-0.70595028634069512</v>
      </c>
      <c r="M149" s="121">
        <f>(VLOOKUP($A149,Hitters!$A1:$R401,11,FALSE)-AVERAGE(Rankings!T2:T651))/STDEV(Rankings!T2:T651)</f>
        <v>-1.5889159920842517</v>
      </c>
      <c r="N149" s="121">
        <f>(VLOOKUP($A149,Hitters!$A1:$R401,12,FALSE)-AVERAGE(Rankings!U2:U651))/STDEV(Rankings!U2:U651)</f>
        <v>-1.4977108210540753</v>
      </c>
      <c r="O149" s="121">
        <f>(VLOOKUP($A149,Hitters!$A1:$R401,13,FALSE)-AVERAGE(Rankings!V2:V651))/STDEV(Rankings!V2:V651)</f>
        <v>-1.1573155292242083</v>
      </c>
      <c r="P149" s="121">
        <f>(VLOOKUP($A149,Hitters!$A1:$R401,14,FALSE)-AVERAGE(Rankings!W2:W651))/STDEV(Rankings!W2:W651)</f>
        <v>-1.135281933123355</v>
      </c>
      <c r="Q149" s="121">
        <f>(VLOOKUP($A149,Hitters!$A1:$R401,15,FALSE)-AVERAGE(Rankings!X2:X651))/STDEV(Rankings!X2:X651)</f>
        <v>-1.2180533797077693</v>
      </c>
      <c r="R149" s="121">
        <f>(VLOOKUP($A149,Hitters!$A1:$R401,16,FALSE)-AVERAGE(Rankings!Y2:Y651))/STDEV(Rankings!Y2:Y651)</f>
        <v>-0.73188417829730512</v>
      </c>
      <c r="S149" s="121">
        <f>(VLOOKUP($A149,Hitters!$A1:$R401,17,FALSE)-AVERAGE(Rankings!Z2:Z651))/STDEV(Rankings!Z2:Z651)</f>
        <v>-0.80984694427166182</v>
      </c>
      <c r="T149" s="121">
        <f>IFERROR((VLOOKUP($A149,Hitters!$A1:$R401,18,FALSE)-AVERAGE(Rankings!AA2:AA651))/STDEV(Rankings!AA2:AA651),0)</f>
        <v>0</v>
      </c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</row>
    <row r="150" spans="1:37" ht="18.600000000000001" customHeight="1">
      <c r="A150" s="25" t="s">
        <v>717</v>
      </c>
      <c r="B150" s="26" t="s">
        <v>79</v>
      </c>
      <c r="C150" s="123" t="s">
        <v>15</v>
      </c>
      <c r="D150" s="67">
        <f>(F150*Settings!$C$2)+(G150*Settings!$C$3)+(H150*Settings!$C$4)+(I150*Settings!$C$5)+(J150*Settings!$C$6)+(M150*Settings!$C$9)+(N150*Settings!$C$10)+(O150*Settings!$C$11)+(P150*Settings!$C$12)+(Q150*Settings!$C$13)+(T150*Settings!$C$16)+(K150*Settings!$C$7)+(L150*Settings!$C$8)+(R150*Settings!$C$14)+(S150*Settings!$C$15)</f>
        <v>-5.5112485643790761</v>
      </c>
      <c r="E150" s="67"/>
      <c r="F150" s="121">
        <f>(VLOOKUP($A150,Hitters!$A1:$R401,4,FALSE)-AVERAGE(Rankings!M2:M651))/STDEV(Rankings!M2:M651)</f>
        <v>-1.9580065857117586</v>
      </c>
      <c r="G150" s="121">
        <f>(VLOOKUP($A150,Hitters!$A1:$R401,5,FALSE)-AVERAGE(Rankings!N2:N651))/STDEV(Rankings!N2:N651)</f>
        <v>-1.6714281179612411</v>
      </c>
      <c r="H150" s="121">
        <f>(VLOOKUP($A150,Hitters!$A1:$R401,6,FALSE)-AVERAGE(Rankings!O2:O651))/STDEV(Rankings!O2:O651)</f>
        <v>-1.4448592489925332</v>
      </c>
      <c r="I150" s="121">
        <f>(VLOOKUP($A150,Hitters!$A1:$R401,7,FALSE)-AVERAGE(Rankings!P2:P651))/STDEV(Rankings!P2:P651)</f>
        <v>-1.6897971446636406</v>
      </c>
      <c r="J150" s="121">
        <f>(VLOOKUP($A150,Hitters!$A1:$R401,8,FALSE)-AVERAGE(Rankings!Q2:Q651))/STDEV(Rankings!Q2:Q651)</f>
        <v>-0.56570768841701857</v>
      </c>
      <c r="K150" s="121">
        <f>(VLOOKUP($A150,Hitters!$A1:$R401,9,FALSE)-AVERAGE(Rankings!R2:R651))/STDEV(Rankings!R2:R651)</f>
        <v>-0.1394563643446424</v>
      </c>
      <c r="L150" s="121">
        <f>(VLOOKUP($A150,Hitters!$A1:$R401,10,FALSE)-AVERAGE(Rankings!S2:S651))/STDEV(Rankings!S2:S651)</f>
        <v>0.15945632938463597</v>
      </c>
      <c r="M150" s="121">
        <f>(VLOOKUP($A150,Hitters!$A1:$R401,11,FALSE)-AVERAGE(Rankings!T2:T651))/STDEV(Rankings!T2:T651)</f>
        <v>-1.7490556799852566</v>
      </c>
      <c r="N150" s="121">
        <f>(VLOOKUP($A150,Hitters!$A1:$R401,12,FALSE)-AVERAGE(Rankings!U2:U651))/STDEV(Rankings!U2:U651)</f>
        <v>-1.6252685396469837</v>
      </c>
      <c r="O150" s="121">
        <f>(VLOOKUP($A150,Hitters!$A1:$R401,13,FALSE)-AVERAGE(Rankings!V2:V651))/STDEV(Rankings!V2:V651)</f>
        <v>-0.673352264048656</v>
      </c>
      <c r="P150" s="121">
        <f>(VLOOKUP($A150,Hitters!$A1:$R401,14,FALSE)-AVERAGE(Rankings!W2:W651))/STDEV(Rankings!W2:W651)</f>
        <v>-1.2801712613068461</v>
      </c>
      <c r="Q150" s="121">
        <f>(VLOOKUP($A150,Hitters!$A1:$R401,15,FALSE)-AVERAGE(Rankings!X2:X651))/STDEV(Rankings!X2:X651)</f>
        <v>-1.7131909778646843</v>
      </c>
      <c r="R150" s="121">
        <f>(VLOOKUP($A150,Hitters!$A1:$R401,16,FALSE)-AVERAGE(Rankings!Y2:Y651))/STDEV(Rankings!Y2:Y651)</f>
        <v>-1.0432834155051005</v>
      </c>
      <c r="S150" s="121">
        <f>(VLOOKUP($A150,Hitters!$A1:$R401,17,FALSE)-AVERAGE(Rankings!Z2:Z651))/STDEV(Rankings!Z2:Z651)</f>
        <v>-0.69682452547353713</v>
      </c>
      <c r="T150" s="121">
        <f>IFERROR((VLOOKUP($A150,Hitters!$A1:$R401,18,FALSE)-AVERAGE(Rankings!AA2:AA651))/STDEV(Rankings!AA2:AA651),0)</f>
        <v>0</v>
      </c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</row>
    <row r="151" spans="1:37" ht="18.600000000000001" customHeight="1">
      <c r="A151" s="25" t="s">
        <v>721</v>
      </c>
      <c r="B151" s="26" t="s">
        <v>309</v>
      </c>
      <c r="C151" s="123" t="s">
        <v>15</v>
      </c>
      <c r="D151" s="67">
        <f>(F151*Settings!$C$2)+(G151*Settings!$C$3)+(H151*Settings!$C$4)+(I151*Settings!$C$5)+(J151*Settings!$C$6)+(M151*Settings!$C$9)+(N151*Settings!$C$10)+(O151*Settings!$C$11)+(P151*Settings!$C$12)+(Q151*Settings!$C$13)+(T151*Settings!$C$16)+(K151*Settings!$C$7)+(L151*Settings!$C$8)+(R151*Settings!$C$14)+(S151*Settings!$C$15)</f>
        <v>-5.6622870457997045</v>
      </c>
      <c r="E151" s="67"/>
      <c r="F151" s="121">
        <f>(VLOOKUP($A151,Hitters!$A1:$R401,4,FALSE)-AVERAGE(Rankings!M2:M651))/STDEV(Rankings!M2:M651)</f>
        <v>-1.6563477948793106</v>
      </c>
      <c r="G151" s="121">
        <f>(VLOOKUP($A151,Hitters!$A1:$R401,5,FALSE)-AVERAGE(Rankings!N2:N651))/STDEV(Rankings!N2:N651)</f>
        <v>-1.4361595137125986</v>
      </c>
      <c r="H151" s="121">
        <f>(VLOOKUP($A151,Hitters!$A1:$R401,6,FALSE)-AVERAGE(Rankings!O2:O651))/STDEV(Rankings!O2:O651)</f>
        <v>-1.1566456307455089</v>
      </c>
      <c r="I151" s="121">
        <f>(VLOOKUP($A151,Hitters!$A1:$R401,7,FALSE)-AVERAGE(Rankings!P2:P651))/STDEV(Rankings!P2:P651)</f>
        <v>-1.4362168975183867</v>
      </c>
      <c r="J151" s="121">
        <f>(VLOOKUP($A151,Hitters!$A1:$R401,8,FALSE)-AVERAGE(Rankings!Q2:Q651))/STDEV(Rankings!Q2:Q651)</f>
        <v>-0.8066577718466954</v>
      </c>
      <c r="K151" s="121">
        <f>(VLOOKUP($A151,Hitters!$A1:$R401,9,FALSE)-AVERAGE(Rankings!R2:R651))/STDEV(Rankings!R2:R651)</f>
        <v>-0.82660723197651442</v>
      </c>
      <c r="L151" s="121">
        <f>(VLOOKUP($A151,Hitters!$A1:$R401,10,FALSE)-AVERAGE(Rankings!S2:S651))/STDEV(Rankings!S2:S651)</f>
        <v>-0.23560185837538086</v>
      </c>
      <c r="M151" s="121">
        <f>(VLOOKUP($A151,Hitters!$A1:$R401,11,FALSE)-AVERAGE(Rankings!T2:T651))/STDEV(Rankings!T2:T651)</f>
        <v>-1.5547953199462539</v>
      </c>
      <c r="N151" s="121">
        <f>(VLOOKUP($A151,Hitters!$A1:$R401,12,FALSE)-AVERAGE(Rankings!U2:U651))/STDEV(Rankings!U2:U651)</f>
        <v>-1.4403098476872664</v>
      </c>
      <c r="O151" s="121">
        <f>(VLOOKUP($A151,Hitters!$A1:$R401,13,FALSE)-AVERAGE(Rankings!V2:V651))/STDEV(Rankings!V2:V651)</f>
        <v>-0.78397243894592494</v>
      </c>
      <c r="P151" s="121">
        <f>(VLOOKUP($A151,Hitters!$A1:$R401,14,FALSE)-AVERAGE(Rankings!W2:W651))/STDEV(Rankings!W2:W651)</f>
        <v>-1.0071106043456515</v>
      </c>
      <c r="Q151" s="121">
        <f>(VLOOKUP($A151,Hitters!$A1:$R401,15,FALSE)-AVERAGE(Rankings!X2:X651))/STDEV(Rankings!X2:X651)</f>
        <v>-1.4826790842345461</v>
      </c>
      <c r="R151" s="121">
        <f>(VLOOKUP($A151,Hitters!$A1:$R401,16,FALSE)-AVERAGE(Rankings!Y2:Y651))/STDEV(Rankings!Y2:Y651)</f>
        <v>-0.91310463485521798</v>
      </c>
      <c r="S151" s="121">
        <f>(VLOOKUP($A151,Hitters!$A1:$R401,17,FALSE)-AVERAGE(Rankings!Z2:Z651))/STDEV(Rankings!Z2:Z651)</f>
        <v>-0.75713596999761601</v>
      </c>
      <c r="T151" s="121">
        <f>IFERROR((VLOOKUP($A151,Hitters!$A1:$R401,18,FALSE)-AVERAGE(Rankings!AA2:AA651))/STDEV(Rankings!AA2:AA651),0)</f>
        <v>0</v>
      </c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</row>
    <row r="152" spans="1:37" ht="18.600000000000001" customHeight="1">
      <c r="A152" s="25" t="s">
        <v>719</v>
      </c>
      <c r="B152" s="26" t="s">
        <v>92</v>
      </c>
      <c r="C152" s="123" t="s">
        <v>15</v>
      </c>
      <c r="D152" s="67">
        <f>(F152*Settings!$C$2)+(G152*Settings!$C$3)+(H152*Settings!$C$4)+(I152*Settings!$C$5)+(J152*Settings!$C$6)+(M152*Settings!$C$9)+(N152*Settings!$C$10)+(O152*Settings!$C$11)+(P152*Settings!$C$12)+(Q152*Settings!$C$13)+(T152*Settings!$C$16)+(K152*Settings!$C$7)+(L152*Settings!$C$8)+(R152*Settings!$C$14)+(S152*Settings!$C$15)</f>
        <v>-5.5819961171314239</v>
      </c>
      <c r="E152" s="67"/>
      <c r="F152" s="121">
        <f>(VLOOKUP($A152,Hitters!$A1:$R401,4,FALSE)-AVERAGE(Rankings!M2:M651))/STDEV(Rankings!M2:M651)</f>
        <v>-2.0755359847373875</v>
      </c>
      <c r="G152" s="121">
        <f>(VLOOKUP($A152,Hitters!$A1:$R401,5,FALSE)-AVERAGE(Rankings!N2:N651))/STDEV(Rankings!N2:N651)</f>
        <v>-1.7427676302172774</v>
      </c>
      <c r="H152" s="121">
        <f>(VLOOKUP($A152,Hitters!$A1:$R401,6,FALSE)-AVERAGE(Rankings!O2:O651))/STDEV(Rankings!O2:O651)</f>
        <v>-1.3989121504314128</v>
      </c>
      <c r="I152" s="121">
        <f>(VLOOKUP($A152,Hitters!$A1:$R401,7,FALSE)-AVERAGE(Rankings!P2:P651))/STDEV(Rankings!P2:P651)</f>
        <v>-1.6882556234044008</v>
      </c>
      <c r="J152" s="121">
        <f>(VLOOKUP($A152,Hitters!$A1:$R401,8,FALSE)-AVERAGE(Rankings!Q2:Q651))/STDEV(Rankings!Q2:Q651)</f>
        <v>-0.44523264670218016</v>
      </c>
      <c r="K152" s="121">
        <f>(VLOOKUP($A152,Hitters!$A1:$R401,9,FALSE)-AVERAGE(Rankings!R2:R651))/STDEV(Rankings!R2:R651)</f>
        <v>-0.30682806637615173</v>
      </c>
      <c r="L152" s="121">
        <f>(VLOOKUP($A152,Hitters!$A1:$R401,10,FALSE)-AVERAGE(Rankings!S2:S651))/STDEV(Rankings!S2:S651)</f>
        <v>-0.79535222378090398</v>
      </c>
      <c r="M152" s="121">
        <f>(VLOOKUP($A152,Hitters!$A1:$R401,11,FALSE)-AVERAGE(Rankings!T2:T651))/STDEV(Rankings!T2:T651)</f>
        <v>-1.86097148459789</v>
      </c>
      <c r="N152" s="121">
        <f>(VLOOKUP($A152,Hitters!$A1:$R401,12,FALSE)-AVERAGE(Rankings!U2:U651))/STDEV(Rankings!U2:U651)</f>
        <v>-1.7740858780053774</v>
      </c>
      <c r="O152" s="121">
        <f>(VLOOKUP($A152,Hitters!$A1:$R401,13,FALSE)-AVERAGE(Rankings!V2:V651))/STDEV(Rankings!V2:V651)</f>
        <v>-0.94990270129182863</v>
      </c>
      <c r="P152" s="121">
        <f>(VLOOKUP($A152,Hitters!$A1:$R401,14,FALSE)-AVERAGE(Rankings!W2:W651))/STDEV(Rankings!W2:W651)</f>
        <v>-1.5680923621842964</v>
      </c>
      <c r="Q152" s="121">
        <f>(VLOOKUP($A152,Hitters!$A1:$R401,15,FALSE)-AVERAGE(Rankings!X2:X651))/STDEV(Rankings!X2:X651)</f>
        <v>-1.8535449426965658</v>
      </c>
      <c r="R152" s="121">
        <f>(VLOOKUP($A152,Hitters!$A1:$R401,16,FALSE)-AVERAGE(Rankings!Y2:Y651))/STDEV(Rankings!Y2:Y651)</f>
        <v>-0.90510983756671026</v>
      </c>
      <c r="S152" s="121">
        <f>(VLOOKUP($A152,Hitters!$A1:$R401,17,FALSE)-AVERAGE(Rankings!Z2:Z651))/STDEV(Rankings!Z2:Z651)</f>
        <v>-0.97103175815384324</v>
      </c>
      <c r="T152" s="121">
        <f>IFERROR((VLOOKUP($A152,Hitters!$A1:$R401,18,FALSE)-AVERAGE(Rankings!AA2:AA651))/STDEV(Rankings!AA2:AA651),0)</f>
        <v>0</v>
      </c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</row>
    <row r="153" spans="1:37" ht="18.600000000000001" customHeight="1">
      <c r="A153" s="25" t="s">
        <v>731</v>
      </c>
      <c r="B153" s="26" t="s">
        <v>260</v>
      </c>
      <c r="C153" s="123" t="s">
        <v>15</v>
      </c>
      <c r="D153" s="67">
        <f>(F153*Settings!$C$2)+(G153*Settings!$C$3)+(H153*Settings!$C$4)+(I153*Settings!$C$5)+(J153*Settings!$C$6)+(M153*Settings!$C$9)+(N153*Settings!$C$10)+(O153*Settings!$C$11)+(P153*Settings!$C$12)+(Q153*Settings!$C$13)+(T153*Settings!$C$16)+(K153*Settings!$C$7)+(L153*Settings!$C$8)+(R153*Settings!$C$14)+(S153*Settings!$C$15)</f>
        <v>-6.4990287983467354</v>
      </c>
      <c r="E153" s="67"/>
      <c r="F153" s="121">
        <f>(VLOOKUP($A153,Hitters!$A1:$R401,4,FALSE)-AVERAGE(Rankings!M2:M651))/STDEV(Rankings!M2:M651)</f>
        <v>-1.8039124847670422</v>
      </c>
      <c r="G153" s="121">
        <f>(VLOOKUP($A153,Hitters!$A1:$R401,5,FALSE)-AVERAGE(Rankings!N2:N651))/STDEV(Rankings!N2:N651)</f>
        <v>-1.5621420566328401</v>
      </c>
      <c r="H153" s="121">
        <f>(VLOOKUP($A153,Hitters!$A1:$R401,6,FALSE)-AVERAGE(Rankings!O2:O651))/STDEV(Rankings!O2:O651)</f>
        <v>-1.2861329085086641</v>
      </c>
      <c r="I153" s="121">
        <f>(VLOOKUP($A153,Hitters!$A1:$R401,7,FALSE)-AVERAGE(Rankings!P2:P651))/STDEV(Rankings!P2:P651)</f>
        <v>-1.5310204549617497</v>
      </c>
      <c r="J153" s="121">
        <f>(VLOOKUP($A153,Hitters!$A1:$R401,8,FALSE)-AVERAGE(Rankings!Q2:Q651))/STDEV(Rankings!Q2:Q651)</f>
        <v>-0.87191508610889945</v>
      </c>
      <c r="K153" s="121">
        <f>(VLOOKUP($A153,Hitters!$A1:$R401,9,FALSE)-AVERAGE(Rankings!R2:R651))/STDEV(Rankings!R2:R651)</f>
        <v>-1.2478182921345824</v>
      </c>
      <c r="L153" s="121">
        <f>(VLOOKUP($A153,Hitters!$A1:$R401,10,FALSE)-AVERAGE(Rankings!S2:S651))/STDEV(Rankings!S2:S651)</f>
        <v>-0.27082926702706245</v>
      </c>
      <c r="M153" s="121">
        <f>(VLOOKUP($A153,Hitters!$A1:$R401,11,FALSE)-AVERAGE(Rankings!T2:T651))/STDEV(Rankings!T2:T651)</f>
        <v>-1.7099306426003502</v>
      </c>
      <c r="N153" s="121">
        <f>(VLOOKUP($A153,Hitters!$A1:$R401,12,FALSE)-AVERAGE(Rankings!U2:U651))/STDEV(Rankings!U2:U651)</f>
        <v>-1.642276235459371</v>
      </c>
      <c r="O153" s="121">
        <f>(VLOOKUP($A153,Hitters!$A1:$R401,13,FALSE)-AVERAGE(Rankings!V2:V651))/STDEV(Rankings!V2:V651)</f>
        <v>-1.254108182259319</v>
      </c>
      <c r="P153" s="121">
        <f>(VLOOKUP($A153,Hitters!$A1:$R401,14,FALSE)-AVERAGE(Rankings!W2:W651))/STDEV(Rankings!W2:W651)</f>
        <v>-1.0294012702200348</v>
      </c>
      <c r="Q153" s="121">
        <f>(VLOOKUP($A153,Hitters!$A1:$R401,15,FALSE)-AVERAGE(Rankings!X2:X651))/STDEV(Rankings!X2:X651)</f>
        <v>-1.5241029974661788</v>
      </c>
      <c r="R153" s="121">
        <f>(VLOOKUP($A153,Hitters!$A1:$R401,16,FALSE)-AVERAGE(Rankings!Y2:Y651))/STDEV(Rankings!Y2:Y651)</f>
        <v>-1.5786283717281719</v>
      </c>
      <c r="S153" s="121">
        <f>(VLOOKUP($A153,Hitters!$A1:$R401,17,FALSE)-AVERAGE(Rankings!Z2:Z651))/STDEV(Rankings!Z2:Z651)</f>
        <v>-1.2554039746098853</v>
      </c>
      <c r="T153" s="121">
        <f>IFERROR((VLOOKUP($A153,Hitters!$A1:$R401,18,FALSE)-AVERAGE(Rankings!AA2:AA651))/STDEV(Rankings!AA2:AA651),0)</f>
        <v>0</v>
      </c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</row>
    <row r="154" spans="1:37" ht="18.600000000000001" customHeight="1">
      <c r="A154" s="25" t="s">
        <v>131</v>
      </c>
      <c r="B154" s="26" t="s">
        <v>92</v>
      </c>
      <c r="C154" s="124" t="s">
        <v>19</v>
      </c>
      <c r="D154" s="67">
        <f>(F154*Settings!$C$2)+(G154*Settings!$C$3)+(H154*Settings!$C$4)+(I154*Settings!$C$5)+(J154*Settings!$C$6)+(M154*Settings!$C$9)+(N154*Settings!$C$10)+(O154*Settings!$C$11)+(P154*Settings!$C$12)+(Q154*Settings!$C$13)+(T154*Settings!$C$16)+(K154*Settings!$C$7)+(L154*Settings!$C$8)+(R154*Settings!$C$14)+(S154*Settings!$C$15)</f>
        <v>4.7320224328685114</v>
      </c>
      <c r="E154" s="67"/>
      <c r="F154" s="121">
        <f>(VLOOKUP($A154,Hitters!$A1:$R401,4,FALSE)-AVERAGE(Rankings!M2:M651))/STDEV(Rankings!M2:M651)</f>
        <v>0.80785193802471345</v>
      </c>
      <c r="G154" s="121">
        <f>(VLOOKUP($A154,Hitters!$A1:$R401,5,FALSE)-AVERAGE(Rankings!N2:N651))/STDEV(Rankings!N2:N651)</f>
        <v>0.78447253800199501</v>
      </c>
      <c r="H154" s="121">
        <f>(VLOOKUP($A154,Hitters!$A1:$R401,6,FALSE)-AVERAGE(Rankings!O2:O651))/STDEV(Rankings!O2:O651)</f>
        <v>0.78566353570182801</v>
      </c>
      <c r="I154" s="121">
        <f>(VLOOKUP($A154,Hitters!$A1:$R401,7,FALSE)-AVERAGE(Rankings!P2:P651))/STDEV(Rankings!P2:P651)</f>
        <v>1.2036382589329802</v>
      </c>
      <c r="J154" s="121">
        <f>(VLOOKUP($A154,Hitters!$A1:$R401,8,FALSE)-AVERAGE(Rankings!Q2:Q651))/STDEV(Rankings!Q2:Q651)</f>
        <v>1.2363981439007778</v>
      </c>
      <c r="K154" s="121">
        <f>(VLOOKUP($A154,Hitters!$A1:$R401,9,FALSE)-AVERAGE(Rankings!R2:R651))/STDEV(Rankings!R2:R651)</f>
        <v>0.72184995633093052</v>
      </c>
      <c r="L154" s="121">
        <f>(VLOOKUP($A154,Hitters!$A1:$R401,10,FALSE)-AVERAGE(Rankings!S2:S651))/STDEV(Rankings!S2:S651)</f>
        <v>0.36441446836034341</v>
      </c>
      <c r="M154" s="121">
        <f>(VLOOKUP($A154,Hitters!$A1:$R401,11,FALSE)-AVERAGE(Rankings!T2:T651))/STDEV(Rankings!T2:T651)</f>
        <v>0.86231309430952063</v>
      </c>
      <c r="N154" s="121">
        <f>(VLOOKUP($A154,Hitters!$A1:$R401,12,FALSE)-AVERAGE(Rankings!U2:U651))/STDEV(Rankings!U2:U651)</f>
        <v>0.57297614410413433</v>
      </c>
      <c r="O154" s="121">
        <f>(VLOOKUP($A154,Hitters!$A1:$R401,13,FALSE)-AVERAGE(Rankings!V2:V651))/STDEV(Rankings!V2:V651)</f>
        <v>1.7602915836912687</v>
      </c>
      <c r="P154" s="121">
        <f>(VLOOKUP($A154,Hitters!$A1:$R401,14,FALSE)-AVERAGE(Rankings!W2:W651))/STDEV(Rankings!W2:W651)</f>
        <v>0.29317823832670203</v>
      </c>
      <c r="Q154" s="121">
        <f>(VLOOKUP($A154,Hitters!$A1:$R401,15,FALSE)-AVERAGE(Rankings!X2:X651))/STDEV(Rankings!X2:X651)</f>
        <v>0.81025634817519732</v>
      </c>
      <c r="R154" s="121">
        <f>(VLOOKUP($A154,Hitters!$A1:$R401,16,FALSE)-AVERAGE(Rankings!Y2:Y651))/STDEV(Rankings!Y2:Y651)</f>
        <v>0.90751543805477419</v>
      </c>
      <c r="S154" s="121">
        <f>(VLOOKUP($A154,Hitters!$A1:$R401,17,FALSE)-AVERAGE(Rankings!Z2:Z651))/STDEV(Rankings!Z2:Z651)</f>
        <v>0.80362954470524495</v>
      </c>
      <c r="T154" s="121">
        <f>IFERROR((VLOOKUP($A154,Hitters!$A1:$R401,18,FALSE)-AVERAGE(Rankings!AA2:AA651))/STDEV(Rankings!AA2:AA651),0)</f>
        <v>0</v>
      </c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</row>
    <row r="155" spans="1:37" ht="18.600000000000001" customHeight="1">
      <c r="A155" s="25" t="s">
        <v>144</v>
      </c>
      <c r="B155" s="26" t="s">
        <v>95</v>
      </c>
      <c r="C155" s="124" t="s">
        <v>19</v>
      </c>
      <c r="D155" s="67">
        <f>(F155*Settings!$C$2)+(G155*Settings!$C$3)+(H155*Settings!$C$4)+(I155*Settings!$C$5)+(J155*Settings!$C$6)+(M155*Settings!$C$9)+(N155*Settings!$C$10)+(O155*Settings!$C$11)+(P155*Settings!$C$12)+(Q155*Settings!$C$13)+(T155*Settings!$C$16)+(K155*Settings!$C$7)+(L155*Settings!$C$8)+(R155*Settings!$C$14)+(S155*Settings!$C$15)</f>
        <v>4.2203231226349844</v>
      </c>
      <c r="E155" s="67"/>
      <c r="F155" s="121">
        <f>(VLOOKUP($A155,Hitters!$A1:$R401,4,FALSE)-AVERAGE(Rankings!M2:M651))/STDEV(Rankings!M2:M651)</f>
        <v>0.78695782264237657</v>
      </c>
      <c r="G155" s="121">
        <f>(VLOOKUP($A155,Hitters!$A1:$R401,5,FALSE)-AVERAGE(Rankings!N2:N651))/STDEV(Rankings!N2:N651)</f>
        <v>0.83000839688882866</v>
      </c>
      <c r="H155" s="121">
        <f>(VLOOKUP($A155,Hitters!$A1:$R401,6,FALSE)-AVERAGE(Rankings!O2:O651))/STDEV(Rankings!O2:O651)</f>
        <v>1.3787988080362799</v>
      </c>
      <c r="I155" s="121">
        <f>(VLOOKUP($A155,Hitters!$A1:$R401,7,FALSE)-AVERAGE(Rankings!P2:P651))/STDEV(Rankings!P2:P651)</f>
        <v>0.9986159314538392</v>
      </c>
      <c r="J155" s="121">
        <f>(VLOOKUP($A155,Hitters!$A1:$R401,8,FALSE)-AVERAGE(Rankings!Q2:Q651))/STDEV(Rankings!Q2:Q651)</f>
        <v>1.3317742185916868</v>
      </c>
      <c r="K155" s="121">
        <f>(VLOOKUP($A155,Hitters!$A1:$R401,9,FALSE)-AVERAGE(Rankings!R2:R651))/STDEV(Rankings!R2:R651)</f>
        <v>-0.31887423233564932</v>
      </c>
      <c r="L155" s="121">
        <f>(VLOOKUP($A155,Hitters!$A1:$R401,10,FALSE)-AVERAGE(Rankings!S2:S651))/STDEV(Rankings!S2:S651)</f>
        <v>-0.31099863631313074</v>
      </c>
      <c r="M155" s="121">
        <f>(VLOOKUP($A155,Hitters!$A1:$R401,11,FALSE)-AVERAGE(Rankings!T2:T651))/STDEV(Rankings!T2:T651)</f>
        <v>0.5629610640854763</v>
      </c>
      <c r="N155" s="121">
        <f>(VLOOKUP($A155,Hitters!$A1:$R401,12,FALSE)-AVERAGE(Rankings!U2:U651))/STDEV(Rankings!U2:U651)</f>
        <v>0.51344920876078537</v>
      </c>
      <c r="O155" s="121">
        <f>(VLOOKUP($A155,Hitters!$A1:$R401,13,FALSE)-AVERAGE(Rankings!V2:V651))/STDEV(Rankings!V2:V651)</f>
        <v>0.82002009706447543</v>
      </c>
      <c r="P155" s="121">
        <f>(VLOOKUP($A155,Hitters!$A1:$R401,14,FALSE)-AVERAGE(Rankings!W2:W651))/STDEV(Rankings!W2:W651)</f>
        <v>0.42134956710440546</v>
      </c>
      <c r="Q155" s="121">
        <f>(VLOOKUP($A155,Hitters!$A1:$R401,15,FALSE)-AVERAGE(Rankings!X2:X651))/STDEV(Rankings!X2:X651)</f>
        <v>1.0120151726210269</v>
      </c>
      <c r="R155" s="121">
        <f>(VLOOKUP($A155,Hitters!$A1:$R401,16,FALSE)-AVERAGE(Rankings!Y2:Y651))/STDEV(Rankings!Y2:Y651)</f>
        <v>0.98811452973550962</v>
      </c>
      <c r="S155" s="121">
        <f>(VLOOKUP($A155,Hitters!$A1:$R401,17,FALSE)-AVERAGE(Rankings!Z2:Z651))/STDEV(Rankings!Z2:Z651)</f>
        <v>0.5971826793550632</v>
      </c>
      <c r="T155" s="121">
        <f>IFERROR((VLOOKUP($A155,Hitters!$A1:$R401,18,FALSE)-AVERAGE(Rankings!AA2:AA651))/STDEV(Rankings!AA2:AA651),0)</f>
        <v>0</v>
      </c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</row>
    <row r="156" spans="1:37" ht="18.600000000000001" customHeight="1">
      <c r="A156" s="25" t="s">
        <v>161</v>
      </c>
      <c r="B156" s="26" t="s">
        <v>82</v>
      </c>
      <c r="C156" s="124" t="s">
        <v>19</v>
      </c>
      <c r="D156" s="67">
        <f>(F156*Settings!$C$2)+(G156*Settings!$C$3)+(H156*Settings!$C$4)+(I156*Settings!$C$5)+(J156*Settings!$C$6)+(M156*Settings!$C$9)+(N156*Settings!$C$10)+(O156*Settings!$C$11)+(P156*Settings!$C$12)+(Q156*Settings!$C$13)+(T156*Settings!$C$16)+(K156*Settings!$C$7)+(L156*Settings!$C$8)+(R156*Settings!$C$14)+(S156*Settings!$C$15)</f>
        <v>3.4767620871453331</v>
      </c>
      <c r="E156" s="67"/>
      <c r="F156" s="121">
        <f>(VLOOKUP($A156,Hitters!$A1:$R401,4,FALSE)-AVERAGE(Rankings!M2:M651))/STDEV(Rankings!M2:M651)</f>
        <v>0.61719313516091789</v>
      </c>
      <c r="G156" s="121">
        <f>(VLOOKUP($A156,Hitters!$A1:$R401,5,FALSE)-AVERAGE(Rankings!N2:N651))/STDEV(Rankings!N2:N651)</f>
        <v>0.89072287540460549</v>
      </c>
      <c r="H156" s="121">
        <f>(VLOOKUP($A156,Hitters!$A1:$R401,6,FALSE)-AVERAGE(Rankings!O2:O651))/STDEV(Rankings!O2:O651)</f>
        <v>1.3036126467544471</v>
      </c>
      <c r="I156" s="121">
        <f>(VLOOKUP($A156,Hitters!$A1:$R401,7,FALSE)-AVERAGE(Rankings!P2:P651))/STDEV(Rankings!P2:P651)</f>
        <v>1.4256173202637812</v>
      </c>
      <c r="J156" s="121">
        <f>(VLOOKUP($A156,Hitters!$A1:$R401,8,FALSE)-AVERAGE(Rankings!Q2:Q651))/STDEV(Rankings!Q2:Q651)</f>
        <v>-0.68116293672707262</v>
      </c>
      <c r="K156" s="121">
        <f>(VLOOKUP($A156,Hitters!$A1:$R401,9,FALSE)-AVERAGE(Rankings!R2:R651))/STDEV(Rankings!R2:R651)</f>
        <v>0.53797218144957215</v>
      </c>
      <c r="L156" s="121">
        <f>(VLOOKUP($A156,Hitters!$A1:$R401,10,FALSE)-AVERAGE(Rankings!S2:S651))/STDEV(Rankings!S2:S651)</f>
        <v>1.1237905832193029</v>
      </c>
      <c r="M156" s="121">
        <f>(VLOOKUP($A156,Hitters!$A1:$R401,11,FALSE)-AVERAGE(Rankings!T2:T651))/STDEV(Rankings!T2:T651)</f>
        <v>0.63939136967459165</v>
      </c>
      <c r="N156" s="121">
        <f>(VLOOKUP($A156,Hitters!$A1:$R401,12,FALSE)-AVERAGE(Rankings!U2:U651))/STDEV(Rankings!U2:U651)</f>
        <v>0.70903771060324072</v>
      </c>
      <c r="O156" s="121">
        <f>(VLOOKUP($A156,Hitters!$A1:$R401,13,FALSE)-AVERAGE(Rankings!V2:V651))/STDEV(Rankings!V2:V651)</f>
        <v>0.29457426630244948</v>
      </c>
      <c r="P156" s="121">
        <f>(VLOOKUP($A156,Hitters!$A1:$R401,14,FALSE)-AVERAGE(Rankings!W2:W651))/STDEV(Rankings!W2:W651)</f>
        <v>1.0900695433359024</v>
      </c>
      <c r="Q156" s="121">
        <f>(VLOOKUP($A156,Hitters!$A1:$R401,15,FALSE)-AVERAGE(Rankings!X2:X651))/STDEV(Rankings!X2:X651)</f>
        <v>4.0258902222502078E-2</v>
      </c>
      <c r="R156" s="121">
        <f>(VLOOKUP($A156,Hitters!$A1:$R401,16,FALSE)-AVERAGE(Rankings!Y2:Y651))/STDEV(Rankings!Y2:Y651)</f>
        <v>1.5400804423522092</v>
      </c>
      <c r="S156" s="121">
        <f>(VLOOKUP($A156,Hitters!$A1:$R401,17,FALSE)-AVERAGE(Rankings!Z2:Z651))/STDEV(Rankings!Z2:Z651)</f>
        <v>1.5621521163102194</v>
      </c>
      <c r="T156" s="121">
        <f>IFERROR((VLOOKUP($A156,Hitters!$A1:$R401,18,FALSE)-AVERAGE(Rankings!AA2:AA651))/STDEV(Rankings!AA2:AA651),0)</f>
        <v>0</v>
      </c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</row>
    <row r="157" spans="1:37" ht="18.600000000000001" customHeight="1">
      <c r="A157" s="25" t="s">
        <v>166</v>
      </c>
      <c r="B157" s="26" t="s">
        <v>119</v>
      </c>
      <c r="C157" s="124" t="s">
        <v>19</v>
      </c>
      <c r="D157" s="67">
        <f>(F157*Settings!$C$2)+(G157*Settings!$C$3)+(H157*Settings!$C$4)+(I157*Settings!$C$5)+(J157*Settings!$C$6)+(M157*Settings!$C$9)+(N157*Settings!$C$10)+(O157*Settings!$C$11)+(P157*Settings!$C$12)+(Q157*Settings!$C$13)+(T157*Settings!$C$16)+(K157*Settings!$C$7)+(L157*Settings!$C$8)+(R157*Settings!$C$14)+(S157*Settings!$C$15)</f>
        <v>3.4024183049802366</v>
      </c>
      <c r="E157" s="67"/>
      <c r="F157" s="121">
        <f>(VLOOKUP($A157,Hitters!$A1:$R401,4,FALSE)-AVERAGE(Rankings!M2:M651))/STDEV(Rankings!M2:M651)</f>
        <v>0.92015780820475623</v>
      </c>
      <c r="G157" s="121">
        <f>(VLOOKUP($A157,Hitters!$A1:$R401,5,FALSE)-AVERAGE(Rankings!N2:N651))/STDEV(Rankings!N2:N651)</f>
        <v>0.54920393375335252</v>
      </c>
      <c r="H157" s="121">
        <f>(VLOOKUP($A157,Hitters!$A1:$R401,6,FALSE)-AVERAGE(Rankings!O2:O651))/STDEV(Rankings!O2:O651)</f>
        <v>1.6419503725226929</v>
      </c>
      <c r="I157" s="121">
        <f>(VLOOKUP($A157,Hitters!$A1:$R401,7,FALSE)-AVERAGE(Rankings!P2:P651))/STDEV(Rankings!P2:P651)</f>
        <v>1.4209927564860565</v>
      </c>
      <c r="J157" s="121">
        <f>(VLOOKUP($A157,Hitters!$A1:$R401,8,FALSE)-AVERAGE(Rankings!Q2:Q651))/STDEV(Rankings!Q2:Q651)</f>
        <v>-0.81167756525148038</v>
      </c>
      <c r="K157" s="121">
        <f>(VLOOKUP($A157,Hitters!$A1:$R401,9,FALSE)-AVERAGE(Rankings!R2:R651))/STDEV(Rankings!R2:R651)</f>
        <v>0.60194880746961466</v>
      </c>
      <c r="L157" s="121">
        <f>(VLOOKUP($A157,Hitters!$A1:$R401,10,FALSE)-AVERAGE(Rankings!S2:S651))/STDEV(Rankings!S2:S651)</f>
        <v>-0.86950112703946347</v>
      </c>
      <c r="M157" s="121">
        <f>(VLOOKUP($A157,Hitters!$A1:$R401,11,FALSE)-AVERAGE(Rankings!T2:T651))/STDEV(Rankings!T2:T651)</f>
        <v>0.93237420776621893</v>
      </c>
      <c r="N157" s="121">
        <f>(VLOOKUP($A157,Hitters!$A1:$R401,12,FALSE)-AVERAGE(Rankings!U2:U651))/STDEV(Rankings!U2:U651)</f>
        <v>0.4411665015581332</v>
      </c>
      <c r="O157" s="121">
        <f>(VLOOKUP($A157,Hitters!$A1:$R401,13,FALSE)-AVERAGE(Rankings!V2:V651))/STDEV(Rankings!V2:V651)</f>
        <v>-0.53507704542706924</v>
      </c>
      <c r="P157" s="121">
        <f>(VLOOKUP($A157,Hitters!$A1:$R401,14,FALSE)-AVERAGE(Rankings!W2:W651))/STDEV(Rankings!W2:W651)</f>
        <v>-0.80463705598667234</v>
      </c>
      <c r="Q157" s="121">
        <f>(VLOOKUP($A157,Hitters!$A1:$R401,15,FALSE)-AVERAGE(Rankings!X2:X651))/STDEV(Rankings!X2:X651)</f>
        <v>1.0051924104416798</v>
      </c>
      <c r="R157" s="121">
        <f>(VLOOKUP($A157,Hitters!$A1:$R401,16,FALSE)-AVERAGE(Rankings!Y2:Y651))/STDEV(Rankings!Y2:Y651)</f>
        <v>1.3599349799277565</v>
      </c>
      <c r="S157" s="121">
        <f>(VLOOKUP($A157,Hitters!$A1:$R401,17,FALSE)-AVERAGE(Rankings!Z2:Z651))/STDEV(Rankings!Z2:Z651)</f>
        <v>0.64860851199182512</v>
      </c>
      <c r="T157" s="121">
        <f>IFERROR((VLOOKUP($A157,Hitters!$A1:$R401,18,FALSE)-AVERAGE(Rankings!AA2:AA651))/STDEV(Rankings!AA2:AA651),0)</f>
        <v>0</v>
      </c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</row>
    <row r="158" spans="1:37" ht="18.600000000000001" customHeight="1">
      <c r="A158" s="25" t="s">
        <v>200</v>
      </c>
      <c r="B158" s="26" t="s">
        <v>95</v>
      </c>
      <c r="C158" s="124" t="s">
        <v>19</v>
      </c>
      <c r="D158" s="67">
        <f>(F158*Settings!$C$2)+(G158*Settings!$C$3)+(H158*Settings!$C$4)+(I158*Settings!$C$5)+(J158*Settings!$C$6)+(M158*Settings!$C$9)+(N158*Settings!$C$10)+(O158*Settings!$C$11)+(P158*Settings!$C$12)+(Q158*Settings!$C$13)+(T158*Settings!$C$16)+(K158*Settings!$C$7)+(L158*Settings!$C$8)+(R158*Settings!$C$14)+(S158*Settings!$C$15)</f>
        <v>2.4328929365117014</v>
      </c>
      <c r="E158" s="67"/>
      <c r="F158" s="121">
        <f>(VLOOKUP($A158,Hitters!$A1:$R401,4,FALSE)-AVERAGE(Rankings!M2:M651))/STDEV(Rankings!M2:M651)</f>
        <v>0.34948728182475985</v>
      </c>
      <c r="G158" s="121">
        <f>(VLOOKUP($A158,Hitters!$A1:$R401,5,FALSE)-AVERAGE(Rankings!N2:N651))/STDEV(Rankings!N2:N651)</f>
        <v>0.50822166075520214</v>
      </c>
      <c r="H158" s="121">
        <f>(VLOOKUP($A158,Hitters!$A1:$R401,6,FALSE)-AVERAGE(Rankings!O2:O651))/STDEV(Rankings!O2:O651)</f>
        <v>0.37840516209190256</v>
      </c>
      <c r="I158" s="121">
        <f>(VLOOKUP($A158,Hitters!$A1:$R401,7,FALSE)-AVERAGE(Rankings!P2:P651))/STDEV(Rankings!P2:P651)</f>
        <v>0.82519478978915073</v>
      </c>
      <c r="J158" s="121">
        <f>(VLOOKUP($A158,Hitters!$A1:$R401,8,FALSE)-AVERAGE(Rankings!Q2:Q651))/STDEV(Rankings!Q2:Q651)</f>
        <v>-0.82924684216822764</v>
      </c>
      <c r="K158" s="121">
        <f>(VLOOKUP($A158,Hitters!$A1:$R401,9,FALSE)-AVERAGE(Rankings!R2:R651))/STDEV(Rankings!R2:R651)</f>
        <v>1.5503181660436733</v>
      </c>
      <c r="L158" s="121">
        <f>(VLOOKUP($A158,Hitters!$A1:$R401,10,FALSE)-AVERAGE(Rankings!S2:S651))/STDEV(Rankings!S2:S651)</f>
        <v>1.9838396657402901</v>
      </c>
      <c r="M158" s="121">
        <f>(VLOOKUP($A158,Hitters!$A1:$R401,11,FALSE)-AVERAGE(Rankings!T2:T651))/STDEV(Rankings!T2:T651)</f>
        <v>0.6371166581987342</v>
      </c>
      <c r="N158" s="121">
        <f>(VLOOKUP($A158,Hitters!$A1:$R401,12,FALSE)-AVERAGE(Rankings!U2:U651))/STDEV(Rankings!U2:U651)</f>
        <v>0.53683479050281457</v>
      </c>
      <c r="O158" s="121">
        <f>(VLOOKUP($A158,Hitters!$A1:$R401,13,FALSE)-AVERAGE(Rankings!V2:V651))/STDEV(Rankings!V2:V651)</f>
        <v>-0.65952474218649715</v>
      </c>
      <c r="P158" s="121">
        <f>(VLOOKUP($A158,Hitters!$A1:$R401,14,FALSE)-AVERAGE(Rankings!W2:W651))/STDEV(Rankings!W2:W651)</f>
        <v>0.94889532613147742</v>
      </c>
      <c r="Q158" s="121">
        <f>(VLOOKUP($A158,Hitters!$A1:$R401,15,FALSE)-AVERAGE(Rankings!X2:X651))/STDEV(Rankings!X2:X651)</f>
        <v>-1.0543070874039073</v>
      </c>
      <c r="R158" s="121">
        <f>(VLOOKUP($A158,Hitters!$A1:$R401,16,FALSE)-AVERAGE(Rankings!Y2:Y651))/STDEV(Rankings!Y2:Y651)</f>
        <v>1.042676544021349</v>
      </c>
      <c r="S158" s="121">
        <f>(VLOOKUP($A158,Hitters!$A1:$R401,17,FALSE)-AVERAGE(Rankings!Z2:Z651))/STDEV(Rankings!Z2:Z651)</f>
        <v>1.5376771948681116</v>
      </c>
      <c r="T158" s="121">
        <f>IFERROR((VLOOKUP($A158,Hitters!$A1:$R401,18,FALSE)-AVERAGE(Rankings!AA2:AA651))/STDEV(Rankings!AA2:AA651),0)</f>
        <v>0</v>
      </c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</row>
    <row r="159" spans="1:37" ht="18.600000000000001" customHeight="1">
      <c r="A159" s="25" t="s">
        <v>202</v>
      </c>
      <c r="B159" s="26" t="s">
        <v>119</v>
      </c>
      <c r="C159" s="124" t="s">
        <v>19</v>
      </c>
      <c r="D159" s="67">
        <f>(F159*Settings!$C$2)+(G159*Settings!$C$3)+(H159*Settings!$C$4)+(I159*Settings!$C$5)+(J159*Settings!$C$6)+(M159*Settings!$C$9)+(N159*Settings!$C$10)+(O159*Settings!$C$11)+(P159*Settings!$C$12)+(Q159*Settings!$C$13)+(T159*Settings!$C$16)+(K159*Settings!$C$7)+(L159*Settings!$C$8)+(R159*Settings!$C$14)+(S159*Settings!$C$15)</f>
        <v>2.2945859242124942</v>
      </c>
      <c r="E159" s="67"/>
      <c r="F159" s="121">
        <f>(VLOOKUP($A159,Hitters!$A1:$R401,4,FALSE)-AVERAGE(Rankings!M2:M651))/STDEV(Rankings!M2:M651)</f>
        <v>1.2831930629728159</v>
      </c>
      <c r="G159" s="121">
        <f>(VLOOKUP($A159,Hitters!$A1:$R401,5,FALSE)-AVERAGE(Rankings!N2:N651))/STDEV(Rankings!N2:N651)</f>
        <v>1.1859470271875763</v>
      </c>
      <c r="H159" s="121">
        <f>(VLOOKUP($A159,Hitters!$A1:$R401,6,FALSE)-AVERAGE(Rankings!O2:O651))/STDEV(Rankings!O2:O651)</f>
        <v>1.2889931153940992</v>
      </c>
      <c r="I159" s="121">
        <f>(VLOOKUP($A159,Hitters!$A1:$R401,7,FALSE)-AVERAGE(Rankings!P2:P651))/STDEV(Rankings!P2:P651)</f>
        <v>1.0055527771204262</v>
      </c>
      <c r="J159" s="121">
        <f>(VLOOKUP($A159,Hitters!$A1:$R401,8,FALSE)-AVERAGE(Rankings!Q2:Q651))/STDEV(Rankings!Q2:Q651)</f>
        <v>-0.21432215008207361</v>
      </c>
      <c r="K159" s="121">
        <f>(VLOOKUP($A159,Hitters!$A1:$R401,9,FALSE)-AVERAGE(Rankings!R2:R651))/STDEV(Rankings!R2:R651)</f>
        <v>-0.9715848454075342</v>
      </c>
      <c r="L159" s="121">
        <f>(VLOOKUP($A159,Hitters!$A1:$R401,10,FALSE)-AVERAGE(Rankings!S2:S651))/STDEV(Rankings!S2:S651)</f>
        <v>0.32262376321606184</v>
      </c>
      <c r="M159" s="121">
        <f>(VLOOKUP($A159,Hitters!$A1:$R401,11,FALSE)-AVERAGE(Rankings!T2:T651))/STDEV(Rankings!T2:T651)</f>
        <v>0.78451796183488542</v>
      </c>
      <c r="N159" s="121">
        <f>(VLOOKUP($A159,Hitters!$A1:$R401,12,FALSE)-AVERAGE(Rankings!U2:U651))/STDEV(Rankings!U2:U651)</f>
        <v>0.8153358094306602</v>
      </c>
      <c r="O159" s="121">
        <f>(VLOOKUP($A159,Hitters!$A1:$R401,13,FALSE)-AVERAGE(Rankings!V2:V651))/STDEV(Rankings!V2:V651)</f>
        <v>1.3731209715508237</v>
      </c>
      <c r="P159" s="121">
        <f>(VLOOKUP($A159,Hitters!$A1:$R401,14,FALSE)-AVERAGE(Rankings!W2:W651))/STDEV(Rankings!W2:W651)</f>
        <v>2.0838617302354923</v>
      </c>
      <c r="Q159" s="121">
        <f>(VLOOKUP($A159,Hitters!$A1:$R401,15,FALSE)-AVERAGE(Rankings!X2:X651))/STDEV(Rankings!X2:X651)</f>
        <v>1.6216777073595128</v>
      </c>
      <c r="R159" s="121">
        <f>(VLOOKUP($A159,Hitters!$A1:$R401,16,FALSE)-AVERAGE(Rankings!Y2:Y651))/STDEV(Rankings!Y2:Y651)</f>
        <v>0.18163692585812205</v>
      </c>
      <c r="S159" s="121">
        <f>(VLOOKUP($A159,Hitters!$A1:$R401,17,FALSE)-AVERAGE(Rankings!Z2:Z651))/STDEV(Rankings!Z2:Z651)</f>
        <v>0.25885253435583699</v>
      </c>
      <c r="T159" s="121">
        <f>IFERROR((VLOOKUP($A159,Hitters!$A1:$R401,18,FALSE)-AVERAGE(Rankings!AA2:AA651))/STDEV(Rankings!AA2:AA651),0)</f>
        <v>0</v>
      </c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</row>
    <row r="160" spans="1:37" ht="18.600000000000001" customHeight="1">
      <c r="A160" s="25" t="s">
        <v>210</v>
      </c>
      <c r="B160" s="26" t="s">
        <v>101</v>
      </c>
      <c r="C160" s="124" t="s">
        <v>19</v>
      </c>
      <c r="D160" s="67">
        <f>(F160*Settings!$C$2)+(G160*Settings!$C$3)+(H160*Settings!$C$4)+(I160*Settings!$C$5)+(J160*Settings!$C$6)+(M160*Settings!$C$9)+(N160*Settings!$C$10)+(O160*Settings!$C$11)+(P160*Settings!$C$12)+(Q160*Settings!$C$13)+(T160*Settings!$C$16)+(K160*Settings!$C$7)+(L160*Settings!$C$8)+(R160*Settings!$C$14)+(S160*Settings!$C$15)</f>
        <v>2.0416383614416844</v>
      </c>
      <c r="E160" s="67"/>
      <c r="F160" s="121">
        <f>(VLOOKUP($A160,Hitters!$A1:$R401,4,FALSE)-AVERAGE(Rankings!M2:M651))/STDEV(Rankings!M2:M651)</f>
        <v>0.79270370437252391</v>
      </c>
      <c r="G160" s="121">
        <f>(VLOOKUP($A160,Hitters!$A1:$R401,5,FALSE)-AVERAGE(Rankings!N2:N651))/STDEV(Rankings!N2:N651)</f>
        <v>1.2049203017237586</v>
      </c>
      <c r="H160" s="121">
        <f>(VLOOKUP($A160,Hitters!$A1:$R401,6,FALSE)-AVERAGE(Rankings!O2:O651))/STDEV(Rankings!O2:O651)</f>
        <v>0.38467067553205531</v>
      </c>
      <c r="I160" s="121">
        <f>(VLOOKUP($A160,Hitters!$A1:$R401,7,FALSE)-AVERAGE(Rankings!P2:P651))/STDEV(Rankings!P2:P651)</f>
        <v>0.4051302466457955</v>
      </c>
      <c r="J160" s="121">
        <f>(VLOOKUP($A160,Hitters!$A1:$R401,8,FALSE)-AVERAGE(Rankings!Q2:Q651))/STDEV(Rankings!Q2:Q651)</f>
        <v>-0.29463884455863204</v>
      </c>
      <c r="K160" s="121">
        <f>(VLOOKUP($A160,Hitters!$A1:$R401,9,FALSE)-AVERAGE(Rankings!R2:R651))/STDEV(Rankings!R2:R651)</f>
        <v>0.34155598209870713</v>
      </c>
      <c r="L160" s="121">
        <f>(VLOOKUP($A160,Hitters!$A1:$R401,10,FALSE)-AVERAGE(Rankings!S2:S651))/STDEV(Rankings!S2:S651)</f>
        <v>1.6413827918727864</v>
      </c>
      <c r="M160" s="121">
        <f>(VLOOKUP($A160,Hitters!$A1:$R401,11,FALSE)-AVERAGE(Rankings!T2:T651))/STDEV(Rankings!T2:T651)</f>
        <v>0.74584786674514503</v>
      </c>
      <c r="N160" s="121">
        <f>(VLOOKUP($A160,Hitters!$A1:$R401,12,FALSE)-AVERAGE(Rankings!U2:U651))/STDEV(Rankings!U2:U651)</f>
        <v>1.9548514288606509</v>
      </c>
      <c r="O160" s="121">
        <f>(VLOOKUP($A160,Hitters!$A1:$R401,13,FALSE)-AVERAGE(Rankings!V2:V651))/STDEV(Rankings!V2:V651)</f>
        <v>-0.14790643328662451</v>
      </c>
      <c r="P160" s="121">
        <f>(VLOOKUP($A160,Hitters!$A1:$R401,14,FALSE)-AVERAGE(Rankings!W2:W651))/STDEV(Rankings!W2:W651)</f>
        <v>1.9872688447798277</v>
      </c>
      <c r="Q160" s="121">
        <f>(VLOOKUP($A160,Hitters!$A1:$R401,15,FALSE)-AVERAGE(Rankings!X2:X651))/STDEV(Rankings!X2:X651)</f>
        <v>0.23811900542300315</v>
      </c>
      <c r="R160" s="121">
        <f>(VLOOKUP($A160,Hitters!$A1:$R401,16,FALSE)-AVERAGE(Rankings!Y2:Y651))/STDEV(Rankings!Y2:Y651)</f>
        <v>0.59070913968648409</v>
      </c>
      <c r="S160" s="121">
        <f>(VLOOKUP($A160,Hitters!$A1:$R401,17,FALSE)-AVERAGE(Rankings!Z2:Z651))/STDEV(Rankings!Z2:Z651)</f>
        <v>1.0742638307056169</v>
      </c>
      <c r="T160" s="121">
        <f>IFERROR((VLOOKUP($A160,Hitters!$A1:$R401,18,FALSE)-AVERAGE(Rankings!AA2:AA651))/STDEV(Rankings!AA2:AA651),0)</f>
        <v>0</v>
      </c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</row>
    <row r="161" spans="1:37" ht="18.600000000000001" customHeight="1">
      <c r="A161" s="25" t="s">
        <v>236</v>
      </c>
      <c r="B161" s="26" t="s">
        <v>225</v>
      </c>
      <c r="C161" s="124" t="s">
        <v>19</v>
      </c>
      <c r="D161" s="67">
        <f>(F161*Settings!$C$2)+(G161*Settings!$C$3)+(H161*Settings!$C$4)+(I161*Settings!$C$5)+(J161*Settings!$C$6)+(M161*Settings!$C$9)+(N161*Settings!$C$10)+(O161*Settings!$C$11)+(P161*Settings!$C$12)+(Q161*Settings!$C$13)+(T161*Settings!$C$16)+(K161*Settings!$C$7)+(L161*Settings!$C$8)+(R161*Settings!$C$14)+(S161*Settings!$C$15)</f>
        <v>1.4577498340918402</v>
      </c>
      <c r="E161" s="67"/>
      <c r="F161" s="121">
        <f>(VLOOKUP($A161,Hitters!$A1:$R401,4,FALSE)-AVERAGE(Rankings!M2:M651))/STDEV(Rankings!M2:M651)</f>
        <v>0.35079316403615857</v>
      </c>
      <c r="G161" s="121">
        <f>(VLOOKUP($A161,Hitters!$A1:$R401,5,FALSE)-AVERAGE(Rankings!N2:N651))/STDEV(Rankings!N2:N651)</f>
        <v>0.31393532950470998</v>
      </c>
      <c r="H161" s="121">
        <f>(VLOOKUP($A161,Hitters!$A1:$R401,6,FALSE)-AVERAGE(Rankings!O2:O651))/STDEV(Rankings!O2:O651)</f>
        <v>3.7978931843601807E-2</v>
      </c>
      <c r="I161" s="121">
        <f>(VLOOKUP($A161,Hitters!$A1:$R401,7,FALSE)-AVERAGE(Rankings!P2:P651))/STDEV(Rankings!P2:P651)</f>
        <v>0.61169409538417707</v>
      </c>
      <c r="J161" s="121">
        <f>(VLOOKUP($A161,Hitters!$A1:$R401,8,FALSE)-AVERAGE(Rankings!Q2:Q651))/STDEV(Rankings!Q2:Q651)</f>
        <v>-0.71630149056056658</v>
      </c>
      <c r="K161" s="121">
        <f>(VLOOKUP($A161,Hitters!$A1:$R401,9,FALSE)-AVERAGE(Rankings!R2:R651))/STDEV(Rankings!R2:R651)</f>
        <v>1.2104429679199178</v>
      </c>
      <c r="L161" s="121">
        <f>(VLOOKUP($A161,Hitters!$A1:$R401,10,FALSE)-AVERAGE(Rankings!S2:S651))/STDEV(Rankings!S2:S651)</f>
        <v>0.94195493987204326</v>
      </c>
      <c r="M161" s="121">
        <f>(VLOOKUP($A161,Hitters!$A1:$R401,11,FALSE)-AVERAGE(Rankings!T2:T651))/STDEV(Rankings!T2:T651)</f>
        <v>0.55750175654339651</v>
      </c>
      <c r="N161" s="121">
        <f>(VLOOKUP($A161,Hitters!$A1:$R401,12,FALSE)-AVERAGE(Rankings!U2:U651))/STDEV(Rankings!U2:U651)</f>
        <v>0.65801462316607751</v>
      </c>
      <c r="O161" s="121">
        <f>(VLOOKUP($A161,Hitters!$A1:$R401,13,FALSE)-AVERAGE(Rankings!V2:V651))/STDEV(Rankings!V2:V651)</f>
        <v>-0.86693757011887684</v>
      </c>
      <c r="P161" s="121">
        <f>(VLOOKUP($A161,Hitters!$A1:$R401,14,FALSE)-AVERAGE(Rankings!W2:W651))/STDEV(Rankings!W2:W651)</f>
        <v>0.19287024189197724</v>
      </c>
      <c r="Q161" s="121">
        <f>(VLOOKUP($A161,Hitters!$A1:$R401,15,FALSE)-AVERAGE(Rankings!X2:X651))/STDEV(Rankings!X2:X651)</f>
        <v>0.42233358426484774</v>
      </c>
      <c r="R161" s="121">
        <f>(VLOOKUP($A161,Hitters!$A1:$R401,16,FALSE)-AVERAGE(Rankings!Y2:Y651))/STDEV(Rankings!Y2:Y651)</f>
        <v>0.474471270942602</v>
      </c>
      <c r="S161" s="121">
        <f>(VLOOKUP($A161,Hitters!$A1:$R401,17,FALSE)-AVERAGE(Rankings!Z2:Z651))/STDEV(Rankings!Z2:Z651)</f>
        <v>0.71511130371181475</v>
      </c>
      <c r="T161" s="121">
        <f>IFERROR((VLOOKUP($A161,Hitters!$A1:$R401,18,FALSE)-AVERAGE(Rankings!AA2:AA651))/STDEV(Rankings!AA2:AA651),0)</f>
        <v>0</v>
      </c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</row>
    <row r="162" spans="1:37" ht="18.600000000000001" customHeight="1">
      <c r="A162" s="25" t="s">
        <v>249</v>
      </c>
      <c r="B162" s="26" t="s">
        <v>125</v>
      </c>
      <c r="C162" s="124" t="s">
        <v>19</v>
      </c>
      <c r="D162" s="67">
        <f>(F162*Settings!$C$2)+(G162*Settings!$C$3)+(H162*Settings!$C$4)+(I162*Settings!$C$5)+(J162*Settings!$C$6)+(M162*Settings!$C$9)+(N162*Settings!$C$10)+(O162*Settings!$C$11)+(P162*Settings!$C$12)+(Q162*Settings!$C$13)+(T162*Settings!$C$16)+(K162*Settings!$C$7)+(L162*Settings!$C$8)+(R162*Settings!$C$14)+(S162*Settings!$C$15)</f>
        <v>1.1222191969183108</v>
      </c>
      <c r="E162" s="67"/>
      <c r="F162" s="121">
        <f>(VLOOKUP($A162,Hitters!$A1:$R401,4,FALSE)-AVERAGE(Rankings!M2:M651))/STDEV(Rankings!M2:M651)</f>
        <v>0.30900493327148476</v>
      </c>
      <c r="G162" s="121">
        <f>(VLOOKUP($A162,Hitters!$A1:$R401,5,FALSE)-AVERAGE(Rankings!N2:N651))/STDEV(Rankings!N2:N651)</f>
        <v>0.60688268834334314</v>
      </c>
      <c r="H162" s="121">
        <f>(VLOOKUP($A162,Hitters!$A1:$R401,6,FALSE)-AVERAGE(Rankings!O2:O651))/STDEV(Rankings!O2:O651)</f>
        <v>0.67288429377907966</v>
      </c>
      <c r="I162" s="121">
        <f>(VLOOKUP($A162,Hitters!$A1:$R401,7,FALSE)-AVERAGE(Rankings!P2:P651))/STDEV(Rankings!P2:P651)</f>
        <v>0.41283785294200082</v>
      </c>
      <c r="J162" s="121">
        <f>(VLOOKUP($A162,Hitters!$A1:$R401,8,FALSE)-AVERAGE(Rankings!Q2:Q651))/STDEV(Rankings!Q2:Q651)</f>
        <v>-0.27455967093949291</v>
      </c>
      <c r="K162" s="121">
        <f>(VLOOKUP($A162,Hitters!$A1:$R401,9,FALSE)-AVERAGE(Rankings!R2:R651))/STDEV(Rankings!R2:R651)</f>
        <v>-0.29582596720661986</v>
      </c>
      <c r="L162" s="121">
        <f>(VLOOKUP($A162,Hitters!$A1:$R401,10,FALSE)-AVERAGE(Rankings!S2:S651))/STDEV(Rankings!S2:S651)</f>
        <v>0.18640163282584465</v>
      </c>
      <c r="M162" s="121">
        <f>(VLOOKUP($A162,Hitters!$A1:$R401,11,FALSE)-AVERAGE(Rankings!T2:T651))/STDEV(Rankings!T2:T651)</f>
        <v>0.16352172892332281</v>
      </c>
      <c r="N162" s="121">
        <f>(VLOOKUP($A162,Hitters!$A1:$R401,12,FALSE)-AVERAGE(Rankings!U2:U651))/STDEV(Rankings!U2:U651)</f>
        <v>0.17329529251302531</v>
      </c>
      <c r="O162" s="121">
        <f>(VLOOKUP($A162,Hitters!$A1:$R401,13,FALSE)-AVERAGE(Rankings!V2:V651))/STDEV(Rankings!V2:V651)</f>
        <v>-0.17556147701094724</v>
      </c>
      <c r="P162" s="121">
        <f>(VLOOKUP($A162,Hitters!$A1:$R401,14,FALSE)-AVERAGE(Rankings!W2:W651))/STDEV(Rankings!W2:W651)</f>
        <v>0.54023311843445332</v>
      </c>
      <c r="Q162" s="121">
        <f>(VLOOKUP($A162,Hitters!$A1:$R401,15,FALSE)-AVERAGE(Rankings!X2:X651))/STDEV(Rankings!X2:X651)</f>
        <v>0.63091517088999549</v>
      </c>
      <c r="R162" s="121">
        <f>(VLOOKUP($A162,Hitters!$A1:$R401,16,FALSE)-AVERAGE(Rankings!Y2:Y651))/STDEV(Rankings!Y2:Y651)</f>
        <v>0.52621995923505027</v>
      </c>
      <c r="S162" s="121">
        <f>(VLOOKUP($A162,Hitters!$A1:$R401,17,FALSE)-AVERAGE(Rankings!Z2:Z651))/STDEV(Rankings!Z2:Z651)</f>
        <v>0.45620705671338657</v>
      </c>
      <c r="T162" s="121">
        <f>IFERROR((VLOOKUP($A162,Hitters!$A1:$R401,18,FALSE)-AVERAGE(Rankings!AA2:AA651))/STDEV(Rankings!AA2:AA651),0)</f>
        <v>0</v>
      </c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</row>
    <row r="163" spans="1:37" ht="18.600000000000001" customHeight="1">
      <c r="A163" s="25" t="s">
        <v>270</v>
      </c>
      <c r="B163" s="26" t="s">
        <v>74</v>
      </c>
      <c r="C163" s="124" t="s">
        <v>19</v>
      </c>
      <c r="D163" s="67">
        <f>(F163*Settings!$C$2)+(G163*Settings!$C$3)+(H163*Settings!$C$4)+(I163*Settings!$C$5)+(J163*Settings!$C$6)+(M163*Settings!$C$9)+(N163*Settings!$C$10)+(O163*Settings!$C$11)+(P163*Settings!$C$12)+(Q163*Settings!$C$13)+(T163*Settings!$C$16)+(K163*Settings!$C$7)+(L163*Settings!$C$8)+(R163*Settings!$C$14)+(S163*Settings!$C$15)</f>
        <v>0.69440252922455037</v>
      </c>
      <c r="E163" s="67"/>
      <c r="F163" s="121">
        <f>(VLOOKUP($A163,Hitters!$A1:$R401,4,FALSE)-AVERAGE(Rankings!M2:M651))/STDEV(Rankings!M2:M651)</f>
        <v>0.54667549574554042</v>
      </c>
      <c r="G163" s="121">
        <f>(VLOOKUP($A163,Hitters!$A1:$R401,5,FALSE)-AVERAGE(Rankings!N2:N651))/STDEV(Rankings!N2:N651)</f>
        <v>0.44295359635074194</v>
      </c>
      <c r="H163" s="121">
        <f>(VLOOKUP($A163,Hitters!$A1:$R401,6,FALSE)-AVERAGE(Rankings!O2:O651))/STDEV(Rankings!O2:O651)</f>
        <v>0.59769813249724701</v>
      </c>
      <c r="I163" s="121">
        <f>(VLOOKUP($A163,Hitters!$A1:$R401,7,FALSE)-AVERAGE(Rankings!P2:P651))/STDEV(Rankings!P2:P651)</f>
        <v>0.64098299930977187</v>
      </c>
      <c r="J163" s="121">
        <f>(VLOOKUP($A163,Hitters!$A1:$R401,8,FALSE)-AVERAGE(Rankings!Q2:Q651))/STDEV(Rankings!Q2:Q651)</f>
        <v>-0.81167756525148038</v>
      </c>
      <c r="K163" s="121">
        <f>(VLOOKUP($A163,Hitters!$A1:$R401,9,FALSE)-AVERAGE(Rankings!R2:R651))/STDEV(Rankings!R2:R651)</f>
        <v>-0.17555463368173033</v>
      </c>
      <c r="L163" s="121">
        <f>(VLOOKUP($A163,Hitters!$A1:$R401,10,FALSE)-AVERAGE(Rankings!S2:S651))/STDEV(Rankings!S2:S651)</f>
        <v>0.27791978954184121</v>
      </c>
      <c r="M163" s="121">
        <f>(VLOOKUP($A163,Hitters!$A1:$R401,11,FALSE)-AVERAGE(Rankings!T2:T651))/STDEV(Rankings!T2:T651)</f>
        <v>0.39554229946170882</v>
      </c>
      <c r="N163" s="121">
        <f>(VLOOKUP($A163,Hitters!$A1:$R401,12,FALSE)-AVERAGE(Rankings!U2:U651))/STDEV(Rankings!U2:U651)</f>
        <v>0.94714545197667432</v>
      </c>
      <c r="O163" s="121">
        <f>(VLOOKUP($A163,Hitters!$A1:$R401,13,FALSE)-AVERAGE(Rankings!V2:V651))/STDEV(Rankings!V2:V651)</f>
        <v>-0.17556147701094724</v>
      </c>
      <c r="P163" s="121">
        <f>(VLOOKUP($A163,Hitters!$A1:$R401,14,FALSE)-AVERAGE(Rankings!W2:W651))/STDEV(Rankings!W2:W651)</f>
        <v>0.72598866738764511</v>
      </c>
      <c r="Q163" s="121">
        <f>(VLOOKUP($A163,Hitters!$A1:$R401,15,FALSE)-AVERAGE(Rankings!X2:X651))/STDEV(Rankings!X2:X651)</f>
        <v>0.57243435221004479</v>
      </c>
      <c r="R163" s="121">
        <f>(VLOOKUP($A163,Hitters!$A1:$R401,16,FALSE)-AVERAGE(Rankings!Y2:Y651))/STDEV(Rankings!Y2:Y651)</f>
        <v>0.49884970417544577</v>
      </c>
      <c r="S163" s="121">
        <f>(VLOOKUP($A163,Hitters!$A1:$R401,17,FALSE)-AVERAGE(Rankings!Z2:Z651))/STDEV(Rankings!Z2:Z651)</f>
        <v>0.47220705728710299</v>
      </c>
      <c r="T163" s="121">
        <f>IFERROR((VLOOKUP($A163,Hitters!$A1:$R401,18,FALSE)-AVERAGE(Rankings!AA2:AA651))/STDEV(Rankings!AA2:AA651),0)</f>
        <v>0</v>
      </c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</row>
    <row r="164" spans="1:37" ht="18.600000000000001" customHeight="1">
      <c r="A164" s="25" t="s">
        <v>337</v>
      </c>
      <c r="B164" s="26" t="s">
        <v>99</v>
      </c>
      <c r="C164" s="124" t="s">
        <v>19</v>
      </c>
      <c r="D164" s="67">
        <f>(F164*Settings!$C$2)+(G164*Settings!$C$3)+(H164*Settings!$C$4)+(I164*Settings!$C$5)+(J164*Settings!$C$6)+(M164*Settings!$C$9)+(N164*Settings!$C$10)+(O164*Settings!$C$11)+(P164*Settings!$C$12)+(Q164*Settings!$C$13)+(T164*Settings!$C$16)+(K164*Settings!$C$7)+(L164*Settings!$C$8)+(R164*Settings!$C$14)+(S164*Settings!$C$15)</f>
        <v>-0.31709836033804506</v>
      </c>
      <c r="E164" s="67"/>
      <c r="F164" s="121">
        <f>(VLOOKUP($A164,Hitters!$A1:$R401,4,FALSE)-AVERAGE(Rankings!M2:M651))/STDEV(Rankings!M2:M651)</f>
        <v>-0.29431264839341137</v>
      </c>
      <c r="G164" s="121">
        <f>(VLOOKUP($A164,Hitters!$A1:$R401,5,FALSE)-AVERAGE(Rankings!N2:N651))/STDEV(Rankings!N2:N651)</f>
        <v>-0.22490566732282105</v>
      </c>
      <c r="H164" s="121">
        <f>(VLOOKUP($A164,Hitters!$A1:$R401,6,FALSE)-AVERAGE(Rankings!O2:O651))/STDEV(Rankings!O2:O651)</f>
        <v>0.44314880097348475</v>
      </c>
      <c r="I164" s="121">
        <f>(VLOOKUP($A164,Hitters!$A1:$R401,7,FALSE)-AVERAGE(Rankings!P2:P651))/STDEV(Rankings!P2:P651)</f>
        <v>4.7497314501723911E-2</v>
      </c>
      <c r="J164" s="121">
        <f>(VLOOKUP($A164,Hitters!$A1:$R401,8,FALSE)-AVERAGE(Rankings!Q2:Q651))/STDEV(Rankings!Q2:Q651)</f>
        <v>-0.7313608707749214</v>
      </c>
      <c r="K164" s="121">
        <f>(VLOOKUP($A164,Hitters!$A1:$R401,9,FALSE)-AVERAGE(Rankings!R2:R651))/STDEV(Rankings!R2:R651)</f>
        <v>0.14852206228448875</v>
      </c>
      <c r="L164" s="121">
        <f>(VLOOKUP($A164,Hitters!$A1:$R401,10,FALSE)-AVERAGE(Rankings!S2:S651))/STDEV(Rankings!S2:S651)</f>
        <v>0.42562528882436718</v>
      </c>
      <c r="M164" s="121">
        <f>(VLOOKUP($A164,Hitters!$A1:$R401,11,FALSE)-AVERAGE(Rankings!T2:T651))/STDEV(Rankings!T2:T651)</f>
        <v>-0.26321414394923759</v>
      </c>
      <c r="N164" s="121">
        <f>(VLOOKUP($A164,Hitters!$A1:$R401,12,FALSE)-AVERAGE(Rankings!U2:U651))/STDEV(Rankings!U2:U651)</f>
        <v>-0.60055486695062332</v>
      </c>
      <c r="O164" s="121">
        <f>(VLOOKUP($A164,Hitters!$A1:$R401,13,FALSE)-AVERAGE(Rankings!V2:V651))/STDEV(Rankings!V2:V651)</f>
        <v>-0.47976695797843194</v>
      </c>
      <c r="P164" s="121">
        <f>(VLOOKUP($A164,Hitters!$A1:$R401,14,FALSE)-AVERAGE(Rankings!W2:W651))/STDEV(Rankings!W2:W651)</f>
        <v>-9.6033064670017921E-3</v>
      </c>
      <c r="Q164" s="121">
        <f>(VLOOKUP($A164,Hitters!$A1:$R401,15,FALSE)-AVERAGE(Rankings!X2:X651))/STDEV(Rankings!X2:X651)</f>
        <v>0.23811900542300315</v>
      </c>
      <c r="R164" s="121">
        <f>(VLOOKUP($A164,Hitters!$A1:$R401,16,FALSE)-AVERAGE(Rankings!Y2:Y651))/STDEV(Rankings!Y2:Y651)</f>
        <v>0.91217643842027796</v>
      </c>
      <c r="S164" s="121">
        <f>(VLOOKUP($A164,Hitters!$A1:$R401,17,FALSE)-AVERAGE(Rankings!Z2:Z651))/STDEV(Rankings!Z2:Z651)</f>
        <v>0.83104902276003567</v>
      </c>
      <c r="T164" s="121">
        <f>IFERROR((VLOOKUP($A164,Hitters!$A1:$R401,18,FALSE)-AVERAGE(Rankings!AA2:AA651))/STDEV(Rankings!AA2:AA651),0)</f>
        <v>0</v>
      </c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</row>
    <row r="165" spans="1:37" ht="18.600000000000001" customHeight="1">
      <c r="A165" s="25" t="s">
        <v>328</v>
      </c>
      <c r="B165" s="26" t="s">
        <v>309</v>
      </c>
      <c r="C165" s="124" t="s">
        <v>19</v>
      </c>
      <c r="D165" s="67">
        <f>(F165*Settings!$C$2)+(G165*Settings!$C$3)+(H165*Settings!$C$4)+(I165*Settings!$C$5)+(J165*Settings!$C$6)+(M165*Settings!$C$9)+(N165*Settings!$C$10)+(O165*Settings!$C$11)+(P165*Settings!$C$12)+(Q165*Settings!$C$13)+(T165*Settings!$C$16)+(K165*Settings!$C$7)+(L165*Settings!$C$8)+(R165*Settings!$C$14)+(S165*Settings!$C$15)</f>
        <v>-0.2685140552631281</v>
      </c>
      <c r="E165" s="67"/>
      <c r="F165" s="121">
        <f>(VLOOKUP($A165,Hitters!$A1:$R401,4,FALSE)-AVERAGE(Rankings!M2:M651))/STDEV(Rankings!M2:M651)</f>
        <v>0.18102847655469145</v>
      </c>
      <c r="G165" s="121">
        <f>(VLOOKUP($A165,Hitters!$A1:$R401,5,FALSE)-AVERAGE(Rankings!N2:N651))/STDEV(Rankings!N2:N651)</f>
        <v>-0.30990593724491233</v>
      </c>
      <c r="H165" s="121">
        <f>(VLOOKUP($A165,Hitters!$A1:$R401,6,FALSE)-AVERAGE(Rankings!O2:O651))/STDEV(Rankings!O2:O651)</f>
        <v>-0.23352665056300689</v>
      </c>
      <c r="I165" s="121">
        <f>(VLOOKUP($A165,Hitters!$A1:$R401,7,FALSE)-AVERAGE(Rankings!P2:P651))/STDEV(Rankings!P2:P651)</f>
        <v>1.5125368057648607E-2</v>
      </c>
      <c r="J165" s="121">
        <f>(VLOOKUP($A165,Hitters!$A1:$R401,8,FALSE)-AVERAGE(Rankings!Q2:Q651))/STDEV(Rankings!Q2:Q651)</f>
        <v>-0.25950029072513803</v>
      </c>
      <c r="K165" s="121">
        <f>(VLOOKUP($A165,Hitters!$A1:$R401,9,FALSE)-AVERAGE(Rankings!R2:R651))/STDEV(Rankings!R2:R651)</f>
        <v>0.51929345521228054</v>
      </c>
      <c r="L165" s="121">
        <f>(VLOOKUP($A165,Hitters!$A1:$R401,10,FALSE)-AVERAGE(Rankings!S2:S651))/STDEV(Rankings!S2:S651)</f>
        <v>-7.4137899318955083E-3</v>
      </c>
      <c r="M165" s="121">
        <f>(VLOOKUP($A165,Hitters!$A1:$R401,11,FALSE)-AVERAGE(Rankings!T2:T651))/STDEV(Rankings!T2:T651)</f>
        <v>0.23904214992210049</v>
      </c>
      <c r="N165" s="121">
        <f>(VLOOKUP($A165,Hitters!$A1:$R401,12,FALSE)-AVERAGE(Rankings!U2:U651))/STDEV(Rankings!U2:U651)</f>
        <v>0.44967034946433115</v>
      </c>
      <c r="O165" s="121">
        <f>(VLOOKUP($A165,Hitters!$A1:$R401,13,FALSE)-AVERAGE(Rankings!V2:V651))/STDEV(Rankings!V2:V651)</f>
        <v>-0.9222476575675117</v>
      </c>
      <c r="P165" s="121">
        <f>(VLOOKUP($A165,Hitters!$A1:$R401,14,FALSE)-AVERAGE(Rankings!W2:W651))/STDEV(Rankings!W2:W651)</f>
        <v>-0.27523374147007057</v>
      </c>
      <c r="Q165" s="121">
        <f>(VLOOKUP($A165,Hitters!$A1:$R401,15,FALSE)-AVERAGE(Rankings!X2:X651))/STDEV(Rankings!X2:X651)</f>
        <v>-1.1654206428958136</v>
      </c>
      <c r="R165" s="121">
        <f>(VLOOKUP($A165,Hitters!$A1:$R401,16,FALSE)-AVERAGE(Rankings!Y2:Y651))/STDEV(Rankings!Y2:Y651)</f>
        <v>-0.11192959212666337</v>
      </c>
      <c r="S165" s="121">
        <f>(VLOOKUP($A165,Hitters!$A1:$R401,17,FALSE)-AVERAGE(Rankings!Z2:Z651))/STDEV(Rankings!Z2:Z651)</f>
        <v>-8.4384594233621546E-2</v>
      </c>
      <c r="T165" s="121">
        <f>IFERROR((VLOOKUP($A165,Hitters!$A1:$R401,18,FALSE)-AVERAGE(Rankings!AA2:AA651))/STDEV(Rankings!AA2:AA651),0)</f>
        <v>0</v>
      </c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</row>
    <row r="166" spans="1:37" ht="18.600000000000001" customHeight="1">
      <c r="A166" s="25" t="s">
        <v>380</v>
      </c>
      <c r="B166" s="26" t="s">
        <v>95</v>
      </c>
      <c r="C166" s="124" t="s">
        <v>19</v>
      </c>
      <c r="D166" s="67">
        <f>(F166*Settings!$C$2)+(G166*Settings!$C$3)+(H166*Settings!$C$4)+(I166*Settings!$C$5)+(J166*Settings!$C$6)+(M166*Settings!$C$9)+(N166*Settings!$C$10)+(O166*Settings!$C$11)+(P166*Settings!$C$12)+(Q166*Settings!$C$13)+(T166*Settings!$C$16)+(K166*Settings!$C$7)+(L166*Settings!$C$8)+(R166*Settings!$C$14)+(S166*Settings!$C$15)</f>
        <v>-1.0202923929460743</v>
      </c>
      <c r="E166" s="67"/>
      <c r="F166" s="121">
        <f>(VLOOKUP($A166,Hitters!$A1:$R401,4,FALSE)-AVERAGE(Rankings!M2:M651))/STDEV(Rankings!M2:M651)</f>
        <v>-0.50847733106233273</v>
      </c>
      <c r="G166" s="121">
        <f>(VLOOKUP($A166,Hitters!$A1:$R401,5,FALSE)-AVERAGE(Rankings!N2:N651))/STDEV(Rankings!N2:N651)</f>
        <v>-0.20820918573098038</v>
      </c>
      <c r="H166" s="121">
        <f>(VLOOKUP($A166,Hitters!$A1:$R401,6,FALSE)-AVERAGE(Rankings!O2:O651))/STDEV(Rankings!O2:O651)</f>
        <v>0.45985683681388789</v>
      </c>
      <c r="I166" s="121">
        <f>(VLOOKUP($A166,Hitters!$A1:$R401,7,FALSE)-AVERAGE(Rankings!P2:P651))/STDEV(Rankings!P2:P651)</f>
        <v>3.670666568703379E-2</v>
      </c>
      <c r="J166" s="121">
        <f>(VLOOKUP($A166,Hitters!$A1:$R401,8,FALSE)-AVERAGE(Rankings!Q2:Q651))/STDEV(Rankings!Q2:Q651)</f>
        <v>-0.69622231694142744</v>
      </c>
      <c r="K166" s="121">
        <f>(VLOOKUP($A166,Hitters!$A1:$R401,9,FALSE)-AVERAGE(Rankings!R2:R651))/STDEV(Rankings!R2:R651)</f>
        <v>-0.61242439277458827</v>
      </c>
      <c r="L166" s="121">
        <f>(VLOOKUP($A166,Hitters!$A1:$R401,10,FALSE)-AVERAGE(Rankings!S2:S651))/STDEV(Rankings!S2:S651)</f>
        <v>-0.10206163525553753</v>
      </c>
      <c r="M166" s="121">
        <f>(VLOOKUP($A166,Hitters!$A1:$R401,11,FALSE)-AVERAGE(Rankings!T2:T651))/STDEV(Rankings!T2:T651)</f>
        <v>-0.58622317352228659</v>
      </c>
      <c r="N166" s="121">
        <f>(VLOOKUP($A166,Hitters!$A1:$R401,12,FALSE)-AVERAGE(Rankings!U2:U651))/STDEV(Rankings!U2:U651)</f>
        <v>-0.46449330045151693</v>
      </c>
      <c r="O166" s="121">
        <f>(VLOOKUP($A166,Hitters!$A1:$R401,13,FALSE)-AVERAGE(Rankings!V2:V651))/STDEV(Rankings!V2:V651)</f>
        <v>-0.9222476575675117</v>
      </c>
      <c r="P166" s="121">
        <f>(VLOOKUP($A166,Hitters!$A1:$R401,14,FALSE)-AVERAGE(Rankings!W2:W651))/STDEV(Rankings!W2:W651)</f>
        <v>-0.13220196877610974</v>
      </c>
      <c r="Q166" s="121">
        <f>(VLOOKUP($A166,Hitters!$A1:$R401,15,FALSE)-AVERAGE(Rankings!X2:X651))/STDEV(Rankings!X2:X651)</f>
        <v>-0.63421987321959372</v>
      </c>
      <c r="R166" s="121">
        <f>(VLOOKUP($A166,Hitters!$A1:$R401,16,FALSE)-AVERAGE(Rankings!Y2:Y651))/STDEV(Rankings!Y2:Y651)</f>
        <v>0.98579477579617536</v>
      </c>
      <c r="S166" s="121">
        <f>(VLOOKUP($A166,Hitters!$A1:$R401,17,FALSE)-AVERAGE(Rankings!Z2:Z651))/STDEV(Rankings!Z2:Z651)</f>
        <v>0.6775068297285689</v>
      </c>
      <c r="T166" s="121">
        <f>IFERROR((VLOOKUP($A166,Hitters!$A1:$R401,18,FALSE)-AVERAGE(Rankings!AA2:AA651))/STDEV(Rankings!AA2:AA651),0)</f>
        <v>0</v>
      </c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</row>
    <row r="167" spans="1:37" ht="18.600000000000001" customHeight="1">
      <c r="A167" s="25" t="s">
        <v>386</v>
      </c>
      <c r="B167" s="26" t="s">
        <v>74</v>
      </c>
      <c r="C167" s="124" t="s">
        <v>19</v>
      </c>
      <c r="D167" s="67">
        <f>(F167*Settings!$C$2)+(G167*Settings!$C$3)+(H167*Settings!$C$4)+(I167*Settings!$C$5)+(J167*Settings!$C$6)+(M167*Settings!$C$9)+(N167*Settings!$C$10)+(O167*Settings!$C$11)+(P167*Settings!$C$12)+(Q167*Settings!$C$13)+(T167*Settings!$C$16)+(K167*Settings!$C$7)+(L167*Settings!$C$8)+(R167*Settings!$C$14)+(S167*Settings!$C$15)</f>
        <v>-1.0740329641838748</v>
      </c>
      <c r="E167" s="67"/>
      <c r="F167" s="121">
        <f>(VLOOKUP($A167,Hitters!$A1:$R401,4,FALSE)-AVERAGE(Rankings!M2:M651))/STDEV(Rankings!M2:M651)</f>
        <v>-0.42751263395579109</v>
      </c>
      <c r="G167" s="121">
        <f>(VLOOKUP($A167,Hitters!$A1:$R401,5,FALSE)-AVERAGE(Rankings!N2:N651))/STDEV(Rankings!N2:N651)</f>
        <v>-0.4131205507217322</v>
      </c>
      <c r="H167" s="121">
        <f>(VLOOKUP($A167,Hitters!$A1:$R401,6,FALSE)-AVERAGE(Rankings!O2:O651))/STDEV(Rankings!O2:O651)</f>
        <v>-9.9862363839757551E-2</v>
      </c>
      <c r="I167" s="121">
        <f>(VLOOKUP($A167,Hitters!$A1:$R401,7,FALSE)-AVERAGE(Rankings!P2:P651))/STDEV(Rankings!P2:P651)</f>
        <v>-0.13594371534803221</v>
      </c>
      <c r="J167" s="121">
        <f>(VLOOKUP($A167,Hitters!$A1:$R401,8,FALSE)-AVERAGE(Rankings!Q2:Q651))/STDEV(Rankings!Q2:Q651)</f>
        <v>-0.9221130201567489</v>
      </c>
      <c r="K167" s="121">
        <f>(VLOOKUP($A167,Hitters!$A1:$R401,9,FALSE)-AVERAGE(Rankings!R2:R651))/STDEV(Rankings!R2:R651)</f>
        <v>0.49700668588239616</v>
      </c>
      <c r="L167" s="121">
        <f>(VLOOKUP($A167,Hitters!$A1:$R401,10,FALSE)-AVERAGE(Rankings!S2:S651))/STDEV(Rankings!S2:S651)</f>
        <v>-0.32918602337238995</v>
      </c>
      <c r="M167" s="121">
        <f>(VLOOKUP($A167,Hitters!$A1:$R401,11,FALSE)-AVERAGE(Rankings!T2:T651))/STDEV(Rankings!T2:T651)</f>
        <v>-0.31689733477968851</v>
      </c>
      <c r="N167" s="121">
        <f>(VLOOKUP($A167,Hitters!$A1:$R401,12,FALSE)-AVERAGE(Rankings!U2:U651))/STDEV(Rankings!U2:U651)</f>
        <v>-0.20512593931260742</v>
      </c>
      <c r="O167" s="121">
        <f>(VLOOKUP($A167,Hitters!$A1:$R401,13,FALSE)-AVERAGE(Rankings!V2:V651))/STDEV(Rankings!V2:V651)</f>
        <v>-0.89459261384319366</v>
      </c>
      <c r="P167" s="121">
        <f>(VLOOKUP($A167,Hitters!$A1:$R401,14,FALSE)-AVERAGE(Rankings!W2:W651))/STDEV(Rankings!W2:W651)</f>
        <v>-0.82135505539245968</v>
      </c>
      <c r="Q167" s="121">
        <f>(VLOOKUP($A167,Hitters!$A1:$R401,15,FALSE)-AVERAGE(Rankings!X2:X651))/STDEV(Rankings!X2:X651)</f>
        <v>-0.41296744254711582</v>
      </c>
      <c r="R167" s="121">
        <f>(VLOOKUP($A167,Hitters!$A1:$R401,16,FALSE)-AVERAGE(Rankings!Y2:Y651))/STDEV(Rankings!Y2:Y651)</f>
        <v>0.55759308456752799</v>
      </c>
      <c r="S167" s="121">
        <f>(VLOOKUP($A167,Hitters!$A1:$R401,17,FALSE)-AVERAGE(Rankings!Z2:Z651))/STDEV(Rankings!Z2:Z651)</f>
        <v>0.27666346205880737</v>
      </c>
      <c r="T167" s="121">
        <f>IFERROR((VLOOKUP($A167,Hitters!$A1:$R401,18,FALSE)-AVERAGE(Rankings!AA2:AA651))/STDEV(Rankings!AA2:AA651),0)</f>
        <v>0</v>
      </c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</row>
    <row r="168" spans="1:37" ht="18.600000000000001" customHeight="1">
      <c r="A168" s="25" t="s">
        <v>397</v>
      </c>
      <c r="B168" s="26" t="s">
        <v>142</v>
      </c>
      <c r="C168" s="124" t="s">
        <v>19</v>
      </c>
      <c r="D168" s="67">
        <f>(F168*Settings!$C$2)+(G168*Settings!$C$3)+(H168*Settings!$C$4)+(I168*Settings!$C$5)+(J168*Settings!$C$6)+(M168*Settings!$C$9)+(N168*Settings!$C$10)+(O168*Settings!$C$11)+(P168*Settings!$C$12)+(Q168*Settings!$C$13)+(T168*Settings!$C$16)+(K168*Settings!$C$7)+(L168*Settings!$C$8)+(R168*Settings!$C$14)+(S168*Settings!$C$15)</f>
        <v>-1.221774201016895</v>
      </c>
      <c r="E168" s="67"/>
      <c r="F168" s="121">
        <f>(VLOOKUP($A168,Hitters!$A1:$R401,4,FALSE)-AVERAGE(Rankings!M2:M651))/STDEV(Rankings!M2:M651)</f>
        <v>0.30639316884869583</v>
      </c>
      <c r="G168" s="121">
        <f>(VLOOKUP($A168,Hitters!$A1:$R401,5,FALSE)-AVERAGE(Rankings!N2:N651))/STDEV(Rankings!N2:N651)</f>
        <v>-0.19758415199072074</v>
      </c>
      <c r="H168" s="121">
        <f>(VLOOKUP($A168,Hitters!$A1:$R401,6,FALSE)-AVERAGE(Rankings!O2:O651))/STDEV(Rankings!O2:O651)</f>
        <v>0.40346721585251372</v>
      </c>
      <c r="I168" s="121">
        <f>(VLOOKUP($A168,Hitters!$A1:$R401,7,FALSE)-AVERAGE(Rankings!P2:P651))/STDEV(Rankings!P2:P651)</f>
        <v>0.19394183412968458</v>
      </c>
      <c r="J168" s="121">
        <f>(VLOOKUP($A168,Hitters!$A1:$R401,8,FALSE)-AVERAGE(Rankings!Q2:Q651))/STDEV(Rankings!Q2:Q651)</f>
        <v>-0.55064830820266375</v>
      </c>
      <c r="K168" s="121">
        <f>(VLOOKUP($A168,Hitters!$A1:$R401,9,FALSE)-AVERAGE(Rankings!R2:R651))/STDEV(Rankings!R2:R651)</f>
        <v>-1.070950790805709</v>
      </c>
      <c r="L168" s="121">
        <f>(VLOOKUP($A168,Hitters!$A1:$R401,10,FALSE)-AVERAGE(Rankings!S2:S651))/STDEV(Rankings!S2:S651)</f>
        <v>-1.1241257145025489</v>
      </c>
      <c r="M168" s="121">
        <f>(VLOOKUP($A168,Hitters!$A1:$R401,11,FALSE)-AVERAGE(Rankings!T2:T651))/STDEV(Rankings!T2:T651)</f>
        <v>-2.0729900621866096E-2</v>
      </c>
      <c r="N168" s="121">
        <f>(VLOOKUP($A168,Hitters!$A1:$R401,12,FALSE)-AVERAGE(Rankings!U2:U651))/STDEV(Rankings!U2:U651)</f>
        <v>0.18605106437231633</v>
      </c>
      <c r="O168" s="121">
        <f>(VLOOKUP($A168,Hitters!$A1:$R401,13,FALSE)-AVERAGE(Rankings!V2:V651))/STDEV(Rankings!V2:V651)</f>
        <v>4.196307197117854E-3</v>
      </c>
      <c r="P168" s="121">
        <f>(VLOOKUP($A168,Hitters!$A1:$R401,14,FALSE)-AVERAGE(Rankings!W2:W651))/STDEV(Rankings!W2:W651)</f>
        <v>-8.7620637027343032E-2</v>
      </c>
      <c r="Q168" s="121">
        <f>(VLOOKUP($A168,Hitters!$A1:$R401,15,FALSE)-AVERAGE(Rankings!X2:X651))/STDEV(Rankings!X2:X651)</f>
        <v>0.93550276818141509</v>
      </c>
      <c r="R168" s="121">
        <f>(VLOOKUP($A168,Hitters!$A1:$R401,16,FALSE)-AVERAGE(Rankings!Y2:Y651))/STDEV(Rankings!Y2:Y651)</f>
        <v>-0.14802636262045879</v>
      </c>
      <c r="S168" s="121">
        <f>(VLOOKUP($A168,Hitters!$A1:$R401,17,FALSE)-AVERAGE(Rankings!Z2:Z651))/STDEV(Rankings!Z2:Z651)</f>
        <v>-0.54899560811873815</v>
      </c>
      <c r="T168" s="121">
        <f>IFERROR((VLOOKUP($A168,Hitters!$A1:$R401,18,FALSE)-AVERAGE(Rankings!AA2:AA651))/STDEV(Rankings!AA2:AA651),0)</f>
        <v>0</v>
      </c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</row>
    <row r="169" spans="1:37" ht="18.600000000000001" customHeight="1">
      <c r="A169" s="25" t="s">
        <v>412</v>
      </c>
      <c r="B169" s="26" t="s">
        <v>72</v>
      </c>
      <c r="C169" s="124" t="s">
        <v>19</v>
      </c>
      <c r="D169" s="67">
        <f>(F169*Settings!$C$2)+(G169*Settings!$C$3)+(H169*Settings!$C$4)+(I169*Settings!$C$5)+(J169*Settings!$C$6)+(M169*Settings!$C$9)+(N169*Settings!$C$10)+(O169*Settings!$C$11)+(P169*Settings!$C$12)+(Q169*Settings!$C$13)+(T169*Settings!$C$16)+(K169*Settings!$C$7)+(L169*Settings!$C$8)+(R169*Settings!$C$14)+(S169*Settings!$C$15)</f>
        <v>-1.5058540269604199</v>
      </c>
      <c r="E169" s="67"/>
      <c r="F169" s="121">
        <f>(VLOOKUP($A169,Hitters!$A1:$R401,4,FALSE)-AVERAGE(Rankings!M2:M651))/STDEV(Rankings!M2:M651)</f>
        <v>4.2604962146725434E-2</v>
      </c>
      <c r="G169" s="121">
        <f>(VLOOKUP($A169,Hitters!$A1:$R401,5,FALSE)-AVERAGE(Rankings!N2:N651))/STDEV(Rankings!N2:N651)</f>
        <v>-0.30231662743043852</v>
      </c>
      <c r="H169" s="121">
        <f>(VLOOKUP($A169,Hitters!$A1:$R401,6,FALSE)-AVERAGE(Rankings!O2:O651))/STDEV(Rankings!O2:O651)</f>
        <v>0.80654858050234124</v>
      </c>
      <c r="I169" s="121">
        <f>(VLOOKUP($A169,Hitters!$A1:$R401,7,FALSE)-AVERAGE(Rankings!P2:P651))/STDEV(Rankings!P2:P651)</f>
        <v>0.34038635375764525</v>
      </c>
      <c r="J169" s="121">
        <f>(VLOOKUP($A169,Hitters!$A1:$R401,8,FALSE)-AVERAGE(Rankings!Q2:Q651))/STDEV(Rankings!Q2:Q651)</f>
        <v>-0.69622231694142744</v>
      </c>
      <c r="K169" s="121">
        <f>(VLOOKUP($A169,Hitters!$A1:$R401,9,FALSE)-AVERAGE(Rankings!R2:R651))/STDEV(Rankings!R2:R651)</f>
        <v>-1.6542500168485403</v>
      </c>
      <c r="L169" s="121">
        <f>(VLOOKUP($A169,Hitters!$A1:$R401,10,FALSE)-AVERAGE(Rankings!S2:S651))/STDEV(Rankings!S2:S651)</f>
        <v>-1.5166796650827041</v>
      </c>
      <c r="M169" s="121">
        <f>(VLOOKUP($A169,Hitters!$A1:$R401,11,FALSE)-AVERAGE(Rankings!T2:T651))/STDEV(Rankings!T2:T651)</f>
        <v>-0.35602237216459176</v>
      </c>
      <c r="N169" s="121">
        <f>(VLOOKUP($A169,Hitters!$A1:$R401,12,FALSE)-AVERAGE(Rankings!U2:U651))/STDEV(Rankings!U2:U651)</f>
        <v>0.39864726202716799</v>
      </c>
      <c r="O169" s="121">
        <f>(VLOOKUP($A169,Hitters!$A1:$R401,13,FALSE)-AVERAGE(Rankings!V2:V651))/STDEV(Rankings!V2:V651)</f>
        <v>-0.5903871328757041</v>
      </c>
      <c r="P169" s="121">
        <f>(VLOOKUP($A169,Hitters!$A1:$R401,14,FALSE)-AVERAGE(Rankings!W2:W651))/STDEV(Rankings!W2:W651)</f>
        <v>-0.19350129993066331</v>
      </c>
      <c r="Q169" s="121">
        <f>(VLOOKUP($A169,Hitters!$A1:$R401,15,FALSE)-AVERAGE(Rankings!X2:X651))/STDEV(Rankings!X2:X651)</f>
        <v>0.84242079844917006</v>
      </c>
      <c r="R169" s="121">
        <f>(VLOOKUP($A169,Hitters!$A1:$R401,16,FALSE)-AVERAGE(Rankings!Y2:Y651))/STDEV(Rankings!Y2:Y651)</f>
        <v>0.51770210416466012</v>
      </c>
      <c r="S169" s="121">
        <f>(VLOOKUP($A169,Hitters!$A1:$R401,17,FALSE)-AVERAGE(Rankings!Z2:Z651))/STDEV(Rankings!Z2:Z651)</f>
        <v>-0.21849288922101204</v>
      </c>
      <c r="T169" s="121">
        <f>IFERROR((VLOOKUP($A169,Hitters!$A1:$R401,18,FALSE)-AVERAGE(Rankings!AA2:AA651))/STDEV(Rankings!AA2:AA651),0)</f>
        <v>0</v>
      </c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</row>
    <row r="170" spans="1:37" ht="18.600000000000001" customHeight="1">
      <c r="A170" s="25" t="s">
        <v>418</v>
      </c>
      <c r="B170" s="26" t="s">
        <v>158</v>
      </c>
      <c r="C170" s="124" t="s">
        <v>19</v>
      </c>
      <c r="D170" s="67">
        <f>(F170*Settings!$C$2)+(G170*Settings!$C$3)+(H170*Settings!$C$4)+(I170*Settings!$C$5)+(J170*Settings!$C$6)+(M170*Settings!$C$9)+(N170*Settings!$C$10)+(O170*Settings!$C$11)+(P170*Settings!$C$12)+(Q170*Settings!$C$13)+(T170*Settings!$C$16)+(K170*Settings!$C$7)+(L170*Settings!$C$8)+(R170*Settings!$C$14)+(S170*Settings!$C$15)</f>
        <v>-1.7596184056437467</v>
      </c>
      <c r="E170" s="67"/>
      <c r="F170" s="121">
        <f>(VLOOKUP($A170,Hitters!$A1:$R401,4,FALSE)-AVERAGE(Rankings!M2:M651))/STDEV(Rankings!M2:M651)</f>
        <v>-0.26819500416548814</v>
      </c>
      <c r="G170" s="121">
        <f>(VLOOKUP($A170,Hitters!$A1:$R401,5,FALSE)-AVERAGE(Rankings!N2:N651))/STDEV(Rankings!N2:N651)</f>
        <v>-0.6104426058980148</v>
      </c>
      <c r="H170" s="121">
        <f>(VLOOKUP($A170,Hitters!$A1:$R401,6,FALSE)-AVERAGE(Rankings!O2:O651))/STDEV(Rankings!O2:O651)</f>
        <v>-0.80159986913685621</v>
      </c>
      <c r="I170" s="121">
        <f>(VLOOKUP($A170,Hitters!$A1:$R401,7,FALSE)-AVERAGE(Rankings!P2:P651))/STDEV(Rankings!P2:P651)</f>
        <v>-0.46428774356650904</v>
      </c>
      <c r="J170" s="121">
        <f>(VLOOKUP($A170,Hitters!$A1:$R401,8,FALSE)-AVERAGE(Rankings!Q2:Q651))/STDEV(Rankings!Q2:Q651)</f>
        <v>-0.42013367967825493</v>
      </c>
      <c r="K170" s="121">
        <f>(VLOOKUP($A170,Hitters!$A1:$R401,9,FALSE)-AVERAGE(Rankings!R2:R651))/STDEV(Rankings!R2:R651)</f>
        <v>0.53684549263588821</v>
      </c>
      <c r="L170" s="121">
        <f>(VLOOKUP($A170,Hitters!$A1:$R401,10,FALSE)-AVERAGE(Rankings!S2:S651))/STDEV(Rankings!S2:S651)</f>
        <v>-0.29480370787322702</v>
      </c>
      <c r="M170" s="121">
        <f>(VLOOKUP($A170,Hitters!$A1:$R401,11,FALSE)-AVERAGE(Rankings!T2:T651))/STDEV(Rankings!T2:T651)</f>
        <v>-0.16494660819180326</v>
      </c>
      <c r="N170" s="121">
        <f>(VLOOKUP($A170,Hitters!$A1:$R401,12,FALSE)-AVERAGE(Rankings!U2:U651))/STDEV(Rankings!U2:U651)</f>
        <v>-0.16260669978162948</v>
      </c>
      <c r="O170" s="121">
        <f>(VLOOKUP($A170,Hitters!$A1:$R401,13,FALSE)-AVERAGE(Rankings!V2:V651))/STDEV(Rankings!V2:V651)</f>
        <v>-0.94990270129182863</v>
      </c>
      <c r="P170" s="121">
        <f>(VLOOKUP($A170,Hitters!$A1:$R401,14,FALSE)-AVERAGE(Rankings!W2:W651))/STDEV(Rankings!W2:W651)</f>
        <v>-0.74333772483211846</v>
      </c>
      <c r="Q170" s="121">
        <f>(VLOOKUP($A170,Hitters!$A1:$R401,15,FALSE)-AVERAGE(Rankings!X2:X651))/STDEV(Rankings!X2:X651)</f>
        <v>-0.7833459608534683</v>
      </c>
      <c r="R170" s="121">
        <f>(VLOOKUP($A170,Hitters!$A1:$R401,16,FALSE)-AVERAGE(Rankings!Y2:Y651))/STDEV(Rankings!Y2:Y651)</f>
        <v>-0.74630029050940894</v>
      </c>
      <c r="S170" s="121">
        <f>(VLOOKUP($A170,Hitters!$A1:$R401,17,FALSE)-AVERAGE(Rankings!Z2:Z651))/STDEV(Rankings!Z2:Z651)</f>
        <v>-0.65895579036788088</v>
      </c>
      <c r="T170" s="121">
        <f>IFERROR((VLOOKUP($A170,Hitters!$A1:$R401,18,FALSE)-AVERAGE(Rankings!AA2:AA651))/STDEV(Rankings!AA2:AA651),0)</f>
        <v>0</v>
      </c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</row>
    <row r="171" spans="1:37" ht="18.600000000000001" customHeight="1">
      <c r="A171" s="25" t="s">
        <v>448</v>
      </c>
      <c r="B171" s="26" t="s">
        <v>87</v>
      </c>
      <c r="C171" s="124" t="s">
        <v>19</v>
      </c>
      <c r="D171" s="67">
        <f>(F171*Settings!$C$2)+(G171*Settings!$C$3)+(H171*Settings!$C$4)+(I171*Settings!$C$5)+(J171*Settings!$C$6)+(M171*Settings!$C$9)+(N171*Settings!$C$10)+(O171*Settings!$C$11)+(P171*Settings!$C$12)+(Q171*Settings!$C$13)+(T171*Settings!$C$16)+(K171*Settings!$C$7)+(L171*Settings!$C$8)+(R171*Settings!$C$14)+(S171*Settings!$C$15)</f>
        <v>-2.1844212044836917</v>
      </c>
      <c r="E171" s="67"/>
      <c r="F171" s="121">
        <f>(VLOOKUP($A171,Hitters!$A1:$R401,4,FALSE)-AVERAGE(Rankings!M2:M651))/STDEV(Rankings!M2:M651)</f>
        <v>-9.5818552261232107E-2</v>
      </c>
      <c r="G171" s="121">
        <f>(VLOOKUP($A171,Hitters!$A1:$R401,5,FALSE)-AVERAGE(Rankings!N2:N651))/STDEV(Rankings!N2:N651)</f>
        <v>-0.39794193109278914</v>
      </c>
      <c r="H171" s="121">
        <f>(VLOOKUP($A171,Hitters!$A1:$R401,6,FALSE)-AVERAGE(Rankings!O2:O651))/STDEV(Rankings!O2:O651)</f>
        <v>-3.3030220478120528E-2</v>
      </c>
      <c r="I171" s="121">
        <f>(VLOOKUP($A171,Hitters!$A1:$R401,7,FALSE)-AVERAGE(Rankings!P2:P651))/STDEV(Rankings!P2:P651)</f>
        <v>-0.15444197045893257</v>
      </c>
      <c r="J171" s="121">
        <f>(VLOOKUP($A171,Hitters!$A1:$R401,8,FALSE)-AVERAGE(Rankings!Q2:Q651))/STDEV(Rankings!Q2:Q651)</f>
        <v>-0.59080665544094368</v>
      </c>
      <c r="K171" s="121">
        <f>(VLOOKUP($A171,Hitters!$A1:$R401,9,FALSE)-AVERAGE(Rankings!R2:R651))/STDEV(Rankings!R2:R651)</f>
        <v>-1.0082004270129059</v>
      </c>
      <c r="L171" s="121">
        <f>(VLOOKUP($A171,Hitters!$A1:$R401,10,FALSE)-AVERAGE(Rankings!S2:S651))/STDEV(Rankings!S2:S651)</f>
        <v>-0.93015232961146221</v>
      </c>
      <c r="M171" s="121">
        <f>(VLOOKUP($A171,Hitters!$A1:$R401,11,FALSE)-AVERAGE(Rankings!T2:T651))/STDEV(Rankings!T2:T651)</f>
        <v>-0.32690606527350224</v>
      </c>
      <c r="N171" s="121">
        <f>(VLOOKUP($A171,Hitters!$A1:$R401,12,FALSE)-AVERAGE(Rankings!U2:U651))/STDEV(Rankings!U2:U651)</f>
        <v>-0.17961439559402537</v>
      </c>
      <c r="O171" s="121">
        <f>(VLOOKUP($A171,Hitters!$A1:$R401,13,FALSE)-AVERAGE(Rankings!V2:V651))/STDEV(Rankings!V2:V651)</f>
        <v>-0.56273208915138628</v>
      </c>
      <c r="P171" s="121">
        <f>(VLOOKUP($A171,Hitters!$A1:$R401,14,FALSE)-AVERAGE(Rankings!W2:W651))/STDEV(Rankings!W2:W651)</f>
        <v>-0.21764952129457671</v>
      </c>
      <c r="Q171" s="121">
        <f>(VLOOKUP($A171,Hitters!$A1:$R401,15,FALSE)-AVERAGE(Rankings!X2:X651))/STDEV(Rankings!X2:X651)</f>
        <v>-0.44025849126442501</v>
      </c>
      <c r="R171" s="121">
        <f>(VLOOKUP($A171,Hitters!$A1:$R401,16,FALSE)-AVERAGE(Rankings!Y2:Y651))/STDEV(Rankings!Y2:Y651)</f>
        <v>-0.44877901473939169</v>
      </c>
      <c r="S171" s="121">
        <f>(VLOOKUP($A171,Hitters!$A1:$R401,17,FALSE)-AVERAGE(Rankings!Z2:Z651))/STDEV(Rankings!Z2:Z651)</f>
        <v>-0.69177688703533191</v>
      </c>
      <c r="T171" s="121">
        <f>IFERROR((VLOOKUP($A171,Hitters!$A1:$R401,18,FALSE)-AVERAGE(Rankings!AA2:AA651))/STDEV(Rankings!AA2:AA651),0)</f>
        <v>0</v>
      </c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</row>
    <row r="172" spans="1:37" ht="18.600000000000001" customHeight="1">
      <c r="A172" s="25" t="s">
        <v>456</v>
      </c>
      <c r="B172" s="26" t="s">
        <v>178</v>
      </c>
      <c r="C172" s="124" t="s">
        <v>19</v>
      </c>
      <c r="D172" s="67">
        <f>(F172*Settings!$C$2)+(G172*Settings!$C$3)+(H172*Settings!$C$4)+(I172*Settings!$C$5)+(J172*Settings!$C$6)+(M172*Settings!$C$9)+(N172*Settings!$C$10)+(O172*Settings!$C$11)+(P172*Settings!$C$12)+(Q172*Settings!$C$13)+(T172*Settings!$C$16)+(K172*Settings!$C$7)+(L172*Settings!$C$8)+(R172*Settings!$C$14)+(S172*Settings!$C$15)</f>
        <v>-2.2819790656469099</v>
      </c>
      <c r="E172" s="67"/>
      <c r="F172" s="121">
        <f>(VLOOKUP($A172,Hitters!$A1:$R401,4,FALSE)-AVERAGE(Rankings!M2:M651))/STDEV(Rankings!M2:M651)</f>
        <v>-0.43273616280136895</v>
      </c>
      <c r="G172" s="121">
        <f>(VLOOKUP($A172,Hitters!$A1:$R401,5,FALSE)-AVERAGE(Rankings!N2:N651))/STDEV(Rankings!N2:N651)</f>
        <v>-0.62713908748985092</v>
      </c>
      <c r="H172" s="121">
        <f>(VLOOKUP($A172,Hitters!$A1:$R401,6,FALSE)-AVERAGE(Rankings!O2:O651))/STDEV(Rankings!O2:O651)</f>
        <v>-0.33377486560544994</v>
      </c>
      <c r="I172" s="121">
        <f>(VLOOKUP($A172,Hitters!$A1:$R401,7,FALSE)-AVERAGE(Rankings!P2:P651))/STDEV(Rankings!P2:P651)</f>
        <v>-0.3224677877162781</v>
      </c>
      <c r="J172" s="121">
        <f>(VLOOKUP($A172,Hitters!$A1:$R401,8,FALSE)-AVERAGE(Rankings!Q2:Q651))/STDEV(Rankings!Q2:Q651)</f>
        <v>-0.89199425972803947</v>
      </c>
      <c r="K172" s="121">
        <f>(VLOOKUP($A172,Hitters!$A1:$R401,9,FALSE)-AVERAGE(Rankings!R2:R651))/STDEV(Rankings!R2:R651)</f>
        <v>-0.10660306510729196</v>
      </c>
      <c r="L172" s="121">
        <f>(VLOOKUP($A172,Hitters!$A1:$R401,10,FALSE)-AVERAGE(Rankings!S2:S651))/STDEV(Rankings!S2:S651)</f>
        <v>-0.58568996009453467</v>
      </c>
      <c r="M172" s="121">
        <f>(VLOOKUP($A172,Hitters!$A1:$R401,11,FALSE)-AVERAGE(Rankings!T2:T651))/STDEV(Rankings!T2:T651)</f>
        <v>-0.43154279316336169</v>
      </c>
      <c r="N172" s="121">
        <f>(VLOOKUP($A172,Hitters!$A1:$R401,12,FALSE)-AVERAGE(Rankings!U2:U651))/STDEV(Rankings!U2:U651)</f>
        <v>-0.44748560463913328</v>
      </c>
      <c r="O172" s="121">
        <f>(VLOOKUP($A172,Hitters!$A1:$R401,13,FALSE)-AVERAGE(Rankings!V2:V651))/STDEV(Rankings!V2:V651)</f>
        <v>-0.12025138956230989</v>
      </c>
      <c r="P172" s="121">
        <f>(VLOOKUP($A172,Hitters!$A1:$R401,14,FALSE)-AVERAGE(Rankings!W2:W651))/STDEV(Rankings!W2:W651)</f>
        <v>-0.67460817171943321</v>
      </c>
      <c r="Q172" s="121">
        <f>(VLOOKUP($A172,Hitters!$A1:$R401,15,FALSE)-AVERAGE(Rankings!X2:X651))/STDEV(Rankings!X2:X651)</f>
        <v>-0.68100452816355461</v>
      </c>
      <c r="R172" s="121">
        <f>(VLOOKUP($A172,Hitters!$A1:$R401,16,FALSE)-AVERAGE(Rankings!Y2:Y651))/STDEV(Rankings!Y2:Y651)</f>
        <v>-0.10495586430773633</v>
      </c>
      <c r="S172" s="121">
        <f>(VLOOKUP($A172,Hitters!$A1:$R401,17,FALSE)-AVERAGE(Rankings!Z2:Z651))/STDEV(Rankings!Z2:Z651)</f>
        <v>-0.30629544450694829</v>
      </c>
      <c r="T172" s="121">
        <f>IFERROR((VLOOKUP($A172,Hitters!$A1:$R401,18,FALSE)-AVERAGE(Rankings!AA2:AA651))/STDEV(Rankings!AA2:AA651),0)</f>
        <v>0</v>
      </c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</row>
    <row r="173" spans="1:37" ht="18.600000000000001" customHeight="1">
      <c r="A173" s="25" t="s">
        <v>487</v>
      </c>
      <c r="B173" s="26" t="s">
        <v>64</v>
      </c>
      <c r="C173" s="124" t="s">
        <v>19</v>
      </c>
      <c r="D173" s="67">
        <f>(F173*Settings!$C$2)+(G173*Settings!$C$3)+(H173*Settings!$C$4)+(I173*Settings!$C$5)+(J173*Settings!$C$6)+(M173*Settings!$C$9)+(N173*Settings!$C$10)+(O173*Settings!$C$11)+(P173*Settings!$C$12)+(Q173*Settings!$C$13)+(T173*Settings!$C$16)+(K173*Settings!$C$7)+(L173*Settings!$C$8)+(R173*Settings!$C$14)+(S173*Settings!$C$15)</f>
        <v>-2.6415314353246577</v>
      </c>
      <c r="E173" s="67"/>
      <c r="F173" s="121">
        <f>(VLOOKUP($A173,Hitters!$A1:$R401,4,FALSE)-AVERAGE(Rankings!M2:M651))/STDEV(Rankings!M2:M651)</f>
        <v>-0.66257143200704927</v>
      </c>
      <c r="G173" s="121">
        <f>(VLOOKUP($A173,Hitters!$A1:$R401,5,FALSE)-AVERAGE(Rankings!N2:N651))/STDEV(Rankings!N2:N651)</f>
        <v>-0.72580011507799214</v>
      </c>
      <c r="H173" s="121">
        <f>(VLOOKUP($A173,Hitters!$A1:$R401,6,FALSE)-AVERAGE(Rankings!O2:O651))/STDEV(Rankings!O2:O651)</f>
        <v>-1.0313353619424548</v>
      </c>
      <c r="I173" s="121">
        <f>(VLOOKUP($A173,Hitters!$A1:$R401,7,FALSE)-AVERAGE(Rankings!P2:P651))/STDEV(Rankings!P2:P651)</f>
        <v>-0.63693812460157961</v>
      </c>
      <c r="J173" s="121">
        <f>(VLOOKUP($A173,Hitters!$A1:$R401,8,FALSE)-AVERAGE(Rankings!Q2:Q651))/STDEV(Rankings!Q2:Q651)</f>
        <v>-0.71630149056056658</v>
      </c>
      <c r="K173" s="121">
        <f>(VLOOKUP($A173,Hitters!$A1:$R401,9,FALSE)-AVERAGE(Rankings!R2:R651))/STDEV(Rankings!R2:R651)</f>
        <v>0.46884365685793539</v>
      </c>
      <c r="L173" s="121">
        <f>(VLOOKUP($A173,Hitters!$A1:$R401,10,FALSE)-AVERAGE(Rankings!S2:S651))/STDEV(Rankings!S2:S651)</f>
        <v>0.41372445598204638</v>
      </c>
      <c r="M173" s="121">
        <f>(VLOOKUP($A173,Hitters!$A1:$R401,11,FALSE)-AVERAGE(Rankings!T2:T651))/STDEV(Rankings!T2:T651)</f>
        <v>-0.5343597518725296</v>
      </c>
      <c r="N173" s="121">
        <f>(VLOOKUP($A173,Hitters!$A1:$R401,12,FALSE)-AVERAGE(Rankings!U2:U651))/STDEV(Rankings!U2:U651)</f>
        <v>-0.45173752859222593</v>
      </c>
      <c r="O173" s="121">
        <f>(VLOOKUP($A173,Hitters!$A1:$R401,13,FALSE)-AVERAGE(Rankings!V2:V651))/STDEV(Rankings!V2:V651)</f>
        <v>-0.94990270129182863</v>
      </c>
      <c r="P173" s="121">
        <f>(VLOOKUP($A173,Hitters!$A1:$R401,14,FALSE)-AVERAGE(Rankings!W2:W651))/STDEV(Rankings!W2:W651)</f>
        <v>-0.45541662395466648</v>
      </c>
      <c r="Q173" s="121">
        <f>(VLOOKUP($A173,Hitters!$A1:$R401,15,FALSE)-AVERAGE(Rankings!X2:X651))/STDEV(Rankings!X2:X651)</f>
        <v>-1.2034331750377816</v>
      </c>
      <c r="R173" s="121">
        <f>(VLOOKUP($A173,Hitters!$A1:$R401,16,FALSE)-AVERAGE(Rankings!Y2:Y651))/STDEV(Rankings!Y2:Y651)</f>
        <v>-0.90220742032350187</v>
      </c>
      <c r="S173" s="121">
        <f>(VLOOKUP($A173,Hitters!$A1:$R401,17,FALSE)-AVERAGE(Rankings!Z2:Z651))/STDEV(Rankings!Z2:Z651)</f>
        <v>-0.49432784457245699</v>
      </c>
      <c r="T173" s="121">
        <f>IFERROR((VLOOKUP($A173,Hitters!$A1:$R401,18,FALSE)-AVERAGE(Rankings!AA2:AA651))/STDEV(Rankings!AA2:AA651),0)</f>
        <v>0</v>
      </c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</row>
    <row r="174" spans="1:37" ht="18.600000000000001" customHeight="1">
      <c r="A174" s="25" t="s">
        <v>496</v>
      </c>
      <c r="B174" s="26" t="s">
        <v>85</v>
      </c>
      <c r="C174" s="124" t="s">
        <v>19</v>
      </c>
      <c r="D174" s="67">
        <f>(F174*Settings!$C$2)+(G174*Settings!$C$3)+(H174*Settings!$C$4)+(I174*Settings!$C$5)+(J174*Settings!$C$6)+(M174*Settings!$C$9)+(N174*Settings!$C$10)+(O174*Settings!$C$11)+(P174*Settings!$C$12)+(Q174*Settings!$C$13)+(T174*Settings!$C$16)+(K174*Settings!$C$7)+(L174*Settings!$C$8)+(R174*Settings!$C$14)+(S174*Settings!$C$15)</f>
        <v>-2.7399234309523233</v>
      </c>
      <c r="E174" s="67"/>
      <c r="F174" s="121">
        <f>(VLOOKUP($A174,Hitters!$A1:$R401,4,FALSE)-AVERAGE(Rankings!M2:M651))/STDEV(Rankings!M2:M651)</f>
        <v>-0.75920671565034159</v>
      </c>
      <c r="G174" s="121">
        <f>(VLOOKUP($A174,Hitters!$A1:$R401,5,FALSE)-AVERAGE(Rankings!N2:N651))/STDEV(Rankings!N2:N651)</f>
        <v>-0.76374666415035208</v>
      </c>
      <c r="H174" s="121">
        <f>(VLOOKUP($A174,Hitters!$A1:$R401,6,FALSE)-AVERAGE(Rankings!O2:O651))/STDEV(Rankings!O2:O651)</f>
        <v>-0.39643000000697698</v>
      </c>
      <c r="I174" s="121">
        <f>(VLOOKUP($A174,Hitters!$A1:$R401,7,FALSE)-AVERAGE(Rankings!P2:P651))/STDEV(Rankings!P2:P651)</f>
        <v>-0.62152291200915988</v>
      </c>
      <c r="J174" s="121">
        <f>(VLOOKUP($A174,Hitters!$A1:$R401,8,FALSE)-AVERAGE(Rankings!Q2:Q651))/STDEV(Rankings!Q2:Q651)</f>
        <v>-0.63598479608400815</v>
      </c>
      <c r="K174" s="121">
        <f>(VLOOKUP($A174,Hitters!$A1:$R401,9,FALSE)-AVERAGE(Rankings!R2:R651))/STDEV(Rankings!R2:R651)</f>
        <v>-0.32223905870182634</v>
      </c>
      <c r="L174" s="121">
        <f>(VLOOKUP($A174,Hitters!$A1:$R401,10,FALSE)-AVERAGE(Rankings!S2:S651))/STDEV(Rankings!S2:S651)</f>
        <v>-8.8918445034986519E-3</v>
      </c>
      <c r="M174" s="121">
        <f>(VLOOKUP($A174,Hitters!$A1:$R401,11,FALSE)-AVERAGE(Rankings!T2:T651))/STDEV(Rankings!T2:T651)</f>
        <v>-0.74727274601363669</v>
      </c>
      <c r="N174" s="121">
        <f>(VLOOKUP($A174,Hitters!$A1:$R401,12,FALSE)-AVERAGE(Rankings!U2:U651))/STDEV(Rankings!U2:U651)</f>
        <v>-0.96196840296385966</v>
      </c>
      <c r="O174" s="121">
        <f>(VLOOKUP($A174,Hitters!$A1:$R401,13,FALSE)-AVERAGE(Rankings!V2:V651))/STDEV(Rankings!V2:V651)</f>
        <v>-0.56273208915138628</v>
      </c>
      <c r="P174" s="121">
        <f>(VLOOKUP($A174,Hitters!$A1:$R401,14,FALSE)-AVERAGE(Rankings!W2:W651))/STDEV(Rankings!W2:W651)</f>
        <v>-0.40526262573730426</v>
      </c>
      <c r="Q174" s="121">
        <f>(VLOOKUP($A174,Hitters!$A1:$R401,15,FALSE)-AVERAGE(Rankings!X2:X651))/STDEV(Rankings!X2:X651)</f>
        <v>-0.96171245782731773</v>
      </c>
      <c r="R174" s="121">
        <f>(VLOOKUP($A174,Hitters!$A1:$R401,16,FALSE)-AVERAGE(Rankings!Y2:Y651))/STDEV(Rankings!Y2:Y651)</f>
        <v>-0.18807397484699523</v>
      </c>
      <c r="S174" s="121">
        <f>(VLOOKUP($A174,Hitters!$A1:$R401,17,FALSE)-AVERAGE(Rankings!Z2:Z651))/STDEV(Rankings!Z2:Z651)</f>
        <v>-0.14039091222802078</v>
      </c>
      <c r="T174" s="121">
        <f>IFERROR((VLOOKUP($A174,Hitters!$A1:$R401,18,FALSE)-AVERAGE(Rankings!AA2:AA651))/STDEV(Rankings!AA2:AA651),0)</f>
        <v>0</v>
      </c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</row>
    <row r="175" spans="1:37" ht="18.600000000000001" customHeight="1">
      <c r="A175" s="25" t="s">
        <v>491</v>
      </c>
      <c r="B175" s="26" t="s">
        <v>122</v>
      </c>
      <c r="C175" s="124" t="s">
        <v>19</v>
      </c>
      <c r="D175" s="67">
        <f>(F175*Settings!$C$2)+(G175*Settings!$C$3)+(H175*Settings!$C$4)+(I175*Settings!$C$5)+(J175*Settings!$C$6)+(M175*Settings!$C$9)+(N175*Settings!$C$10)+(O175*Settings!$C$11)+(P175*Settings!$C$12)+(Q175*Settings!$C$13)+(T175*Settings!$C$16)+(K175*Settings!$C$7)+(L175*Settings!$C$8)+(R175*Settings!$C$14)+(S175*Settings!$C$15)</f>
        <v>-2.6729473880164019</v>
      </c>
      <c r="E175" s="67"/>
      <c r="F175" s="121">
        <f>(VLOOKUP($A175,Hitters!$A1:$R401,4,FALSE)-AVERAGE(Rankings!M2:M651))/STDEV(Rankings!M2:M651)</f>
        <v>-1.0334419800434762</v>
      </c>
      <c r="G175" s="121">
        <f>(VLOOKUP($A175,Hitters!$A1:$R401,5,FALSE)-AVERAGE(Rankings!N2:N651))/STDEV(Rankings!N2:N651)</f>
        <v>-0.99294382054741825</v>
      </c>
      <c r="H175" s="121">
        <f>(VLOOKUP($A175,Hitters!$A1:$R401,6,FALSE)-AVERAGE(Rankings!O2:O651))/STDEV(Rankings!O2:O651)</f>
        <v>-1.0689284425833712</v>
      </c>
      <c r="I175" s="121">
        <f>(VLOOKUP($A175,Hitters!$A1:$R401,7,FALSE)-AVERAGE(Rankings!P2:P651))/STDEV(Rankings!P2:P651)</f>
        <v>-0.99148801422716204</v>
      </c>
      <c r="J175" s="121">
        <f>(VLOOKUP($A175,Hitters!$A1:$R401,8,FALSE)-AVERAGE(Rankings!Q2:Q651))/STDEV(Rankings!Q2:Q651)</f>
        <v>-0.60586603565529862</v>
      </c>
      <c r="K175" s="121">
        <f>(VLOOKUP($A175,Hitters!$A1:$R401,9,FALSE)-AVERAGE(Rankings!R2:R651))/STDEV(Rankings!R2:R651)</f>
        <v>0.98627892499684811</v>
      </c>
      <c r="L175" s="121">
        <f>(VLOOKUP($A175,Hitters!$A1:$R401,10,FALSE)-AVERAGE(Rankings!S2:S651))/STDEV(Rankings!S2:S651)</f>
        <v>0.33396156611157019</v>
      </c>
      <c r="M175" s="121">
        <f>(VLOOKUP($A175,Hitters!$A1:$R401,11,FALSE)-AVERAGE(Rankings!T2:T651))/STDEV(Rankings!T2:T651)</f>
        <v>-0.79731639848269942</v>
      </c>
      <c r="N175" s="121">
        <f>(VLOOKUP($A175,Hitters!$A1:$R401,12,FALSE)-AVERAGE(Rankings!U2:U651))/STDEV(Rankings!U2:U651)</f>
        <v>-1.004487642494825</v>
      </c>
      <c r="O175" s="121">
        <f>(VLOOKUP($A175,Hitters!$A1:$R401,13,FALSE)-AVERAGE(Rankings!V2:V651))/STDEV(Rankings!V2:V651)</f>
        <v>-0.86693757011887684</v>
      </c>
      <c r="P175" s="121">
        <f>(VLOOKUP($A175,Hitters!$A1:$R401,14,FALSE)-AVERAGE(Rankings!W2:W651))/STDEV(Rankings!W2:W651)</f>
        <v>-0.96810193906548081</v>
      </c>
      <c r="Q175" s="121">
        <f>(VLOOKUP($A175,Hitters!$A1:$R401,15,FALSE)-AVERAGE(Rankings!X2:X651))/STDEV(Rankings!X2:X651)</f>
        <v>-1.4305336875782579</v>
      </c>
      <c r="R175" s="121">
        <f>(VLOOKUP($A175,Hitters!$A1:$R401,16,FALSE)-AVERAGE(Rankings!Y2:Y651))/STDEV(Rankings!Y2:Y651)</f>
        <v>-0.61911156217471475</v>
      </c>
      <c r="S175" s="121">
        <f>(VLOOKUP($A175,Hitters!$A1:$R401,17,FALSE)-AVERAGE(Rankings!Z2:Z651))/STDEV(Rankings!Z2:Z651)</f>
        <v>-0.31956877380530968</v>
      </c>
      <c r="T175" s="121">
        <f>IFERROR((VLOOKUP($A175,Hitters!$A1:$R401,18,FALSE)-AVERAGE(Rankings!AA2:AA651))/STDEV(Rankings!AA2:AA651),0)</f>
        <v>0</v>
      </c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</row>
    <row r="176" spans="1:37" ht="18.600000000000001" customHeight="1">
      <c r="A176" s="25" t="s">
        <v>514</v>
      </c>
      <c r="B176" s="26" t="s">
        <v>69</v>
      </c>
      <c r="C176" s="124" t="s">
        <v>19</v>
      </c>
      <c r="D176" s="67">
        <f>(F176*Settings!$C$2)+(G176*Settings!$C$3)+(H176*Settings!$C$4)+(I176*Settings!$C$5)+(J176*Settings!$C$6)+(M176*Settings!$C$9)+(N176*Settings!$C$10)+(O176*Settings!$C$11)+(P176*Settings!$C$12)+(Q176*Settings!$C$13)+(T176*Settings!$C$16)+(K176*Settings!$C$7)+(L176*Settings!$C$8)+(R176*Settings!$C$14)+(S176*Settings!$C$15)</f>
        <v>-2.9926837328927314</v>
      </c>
      <c r="E176" s="67"/>
      <c r="F176" s="121">
        <f>(VLOOKUP($A176,Hitters!$A1:$R401,4,FALSE)-AVERAGE(Rankings!M2:M651))/STDEV(Rankings!M2:M651)</f>
        <v>-0.55548909067258445</v>
      </c>
      <c r="G176" s="121">
        <f>(VLOOKUP($A176,Hitters!$A1:$R401,5,FALSE)-AVERAGE(Rankings!N2:N651))/STDEV(Rankings!N2:N651)</f>
        <v>-0.81383610892586933</v>
      </c>
      <c r="H176" s="121">
        <f>(VLOOKUP($A176,Hitters!$A1:$R401,6,FALSE)-AVERAGE(Rankings!O2:O651))/STDEV(Rankings!O2:O651)</f>
        <v>-0.67211259137369972</v>
      </c>
      <c r="I176" s="121">
        <f>(VLOOKUP($A176,Hitters!$A1:$R401,7,FALSE)-AVERAGE(Rankings!P2:P651))/STDEV(Rankings!P2:P651)</f>
        <v>-0.65697790097171993</v>
      </c>
      <c r="J176" s="121">
        <f>(VLOOKUP($A176,Hitters!$A1:$R401,8,FALSE)-AVERAGE(Rankings!Q2:Q651))/STDEV(Rankings!Q2:Q651)</f>
        <v>-0.6661035565127178</v>
      </c>
      <c r="K176" s="121">
        <f>(VLOOKUP($A176,Hitters!$A1:$R401,9,FALSE)-AVERAGE(Rankings!R2:R651))/STDEV(Rankings!R2:R651)</f>
        <v>-0.18365357510872457</v>
      </c>
      <c r="L176" s="121">
        <f>(VLOOKUP($A176,Hitters!$A1:$R401,10,FALSE)-AVERAGE(Rankings!S2:S651))/STDEV(Rankings!S2:S651)</f>
        <v>-1.4289437878625462</v>
      </c>
      <c r="M176" s="121">
        <f>(VLOOKUP($A176,Hitters!$A1:$R401,11,FALSE)-AVERAGE(Rankings!T2:T651))/STDEV(Rankings!T2:T651)</f>
        <v>-0.55073767449876843</v>
      </c>
      <c r="N176" s="121">
        <f>(VLOOKUP($A176,Hitters!$A1:$R401,12,FALSE)-AVERAGE(Rankings!U2:U651))/STDEV(Rankings!U2:U651)</f>
        <v>-0.66433372624707754</v>
      </c>
      <c r="O176" s="121">
        <f>(VLOOKUP($A176,Hitters!$A1:$R401,13,FALSE)-AVERAGE(Rankings!V2:V651))/STDEV(Rankings!V2:V651)</f>
        <v>-0.25852660818389916</v>
      </c>
      <c r="P176" s="121">
        <f>(VLOOKUP($A176,Hitters!$A1:$R401,14,FALSE)-AVERAGE(Rankings!W2:W651))/STDEV(Rankings!W2:W651)</f>
        <v>-1.2244445966208881</v>
      </c>
      <c r="Q176" s="121">
        <f>(VLOOKUP($A176,Hitters!$A1:$R401,15,FALSE)-AVERAGE(Rankings!X2:X651))/STDEV(Rankings!X2:X651)</f>
        <v>-0.94514289253466699</v>
      </c>
      <c r="R176" s="121">
        <f>(VLOOKUP($A176,Hitters!$A1:$R401,16,FALSE)-AVERAGE(Rankings!Y2:Y651))/STDEV(Rankings!Y2:Y651)</f>
        <v>-0.69314659165554715</v>
      </c>
      <c r="S176" s="121">
        <f>(VLOOKUP($A176,Hitters!$A1:$R401,17,FALSE)-AVERAGE(Rankings!Z2:Z651))/STDEV(Rankings!Z2:Z651)</f>
        <v>-1.0654415888420892</v>
      </c>
      <c r="T176" s="121">
        <f>IFERROR((VLOOKUP($A176,Hitters!$A1:$R401,18,FALSE)-AVERAGE(Rankings!AA2:AA651))/STDEV(Rankings!AA2:AA651),0)</f>
        <v>0</v>
      </c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</row>
    <row r="177" spans="1:37" ht="18.600000000000001" customHeight="1">
      <c r="A177" s="25" t="s">
        <v>507</v>
      </c>
      <c r="B177" s="26" t="s">
        <v>136</v>
      </c>
      <c r="C177" s="124" t="s">
        <v>19</v>
      </c>
      <c r="D177" s="67">
        <f>(F177*Settings!$C$2)+(G177*Settings!$C$3)+(H177*Settings!$C$4)+(I177*Settings!$C$5)+(J177*Settings!$C$6)+(M177*Settings!$C$9)+(N177*Settings!$C$10)+(O177*Settings!$C$11)+(P177*Settings!$C$12)+(Q177*Settings!$C$13)+(T177*Settings!$C$16)+(K177*Settings!$C$7)+(L177*Settings!$C$8)+(R177*Settings!$C$14)+(S177*Settings!$C$15)</f>
        <v>-2.9268127931829606</v>
      </c>
      <c r="E177" s="67"/>
      <c r="F177" s="121">
        <f>(VLOOKUP($A177,Hitters!$A1:$R401,4,FALSE)-AVERAGE(Rankings!M2:M651))/STDEV(Rankings!M2:M651)</f>
        <v>-1.1979831386793569</v>
      </c>
      <c r="G177" s="121">
        <f>(VLOOKUP($A177,Hitters!$A1:$R401,5,FALSE)-AVERAGE(Rankings!N2:N651))/STDEV(Rankings!N2:N651)</f>
        <v>-0.83053259051770967</v>
      </c>
      <c r="H177" s="121">
        <f>(VLOOKUP($A177,Hitters!$A1:$R401,6,FALSE)-AVERAGE(Rankings!O2:O651))/STDEV(Rankings!O2:O651)</f>
        <v>-0.55515634049084972</v>
      </c>
      <c r="I177" s="121">
        <f>(VLOOKUP($A177,Hitters!$A1:$R401,7,FALSE)-AVERAGE(Rankings!P2:P651))/STDEV(Rankings!P2:P651)</f>
        <v>-0.99611257800488695</v>
      </c>
      <c r="J177" s="121">
        <f>(VLOOKUP($A177,Hitters!$A1:$R401,8,FALSE)-AVERAGE(Rankings!Q2:Q651))/STDEV(Rankings!Q2:Q651)</f>
        <v>-0.28961905115384767</v>
      </c>
      <c r="K177" s="121">
        <f>(VLOOKUP($A177,Hitters!$A1:$R401,9,FALSE)-AVERAGE(Rankings!R2:R651))/STDEV(Rankings!R2:R651)</f>
        <v>-0.25539223301566627</v>
      </c>
      <c r="L177" s="121">
        <f>(VLOOKUP($A177,Hitters!$A1:$R401,10,FALSE)-AVERAGE(Rankings!S2:S651))/STDEV(Rankings!S2:S651)</f>
        <v>-0.45837592088410062</v>
      </c>
      <c r="M177" s="121">
        <f>(VLOOKUP($A177,Hitters!$A1:$R401,11,FALSE)-AVERAGE(Rankings!T2:T651))/STDEV(Rankings!T2:T651)</f>
        <v>-1.110316697561935</v>
      </c>
      <c r="N177" s="121">
        <f>(VLOOKUP($A177,Hitters!$A1:$R401,12,FALSE)-AVERAGE(Rankings!U2:U651))/STDEV(Rankings!U2:U651)</f>
        <v>-1.4424358096638155</v>
      </c>
      <c r="O177" s="121">
        <f>(VLOOKUP($A177,Hitters!$A1:$R401,13,FALSE)-AVERAGE(Rankings!V2:V651))/STDEV(Rankings!V2:V651)</f>
        <v>-0.5903871328757041</v>
      </c>
      <c r="P177" s="121">
        <f>(VLOOKUP($A177,Hitters!$A1:$R401,14,FALSE)-AVERAGE(Rankings!W2:W651))/STDEV(Rankings!W2:W651)</f>
        <v>-0.96995949455501085</v>
      </c>
      <c r="Q177" s="121">
        <f>(VLOOKUP($A177,Hitters!$A1:$R401,15,FALSE)-AVERAGE(Rankings!X2:X651))/STDEV(Rankings!X2:X651)</f>
        <v>-1.3418377792469973</v>
      </c>
      <c r="R177" s="121">
        <f>(VLOOKUP($A177,Hitters!$A1:$R401,16,FALSE)-AVERAGE(Rankings!Y2:Y651))/STDEV(Rankings!Y2:Y651)</f>
        <v>-2.1538399356743859E-3</v>
      </c>
      <c r="S177" s="121">
        <f>(VLOOKUP($A177,Hitters!$A1:$R401,17,FALSE)-AVERAGE(Rankings!Z2:Z651))/STDEV(Rankings!Z2:Z651)</f>
        <v>-0.18149119856656731</v>
      </c>
      <c r="T177" s="121">
        <f>IFERROR((VLOOKUP($A177,Hitters!$A1:$R401,18,FALSE)-AVERAGE(Rankings!AA2:AA651))/STDEV(Rankings!AA2:AA651),0)</f>
        <v>0</v>
      </c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</row>
    <row r="178" spans="1:37" ht="18.600000000000001" customHeight="1">
      <c r="A178" s="25" t="s">
        <v>527</v>
      </c>
      <c r="B178" s="26" t="s">
        <v>260</v>
      </c>
      <c r="C178" s="124" t="s">
        <v>19</v>
      </c>
      <c r="D178" s="67">
        <f>(F178*Settings!$C$2)+(G178*Settings!$C$3)+(H178*Settings!$C$4)+(I178*Settings!$C$5)+(J178*Settings!$C$6)+(M178*Settings!$C$9)+(N178*Settings!$C$10)+(O178*Settings!$C$11)+(P178*Settings!$C$12)+(Q178*Settings!$C$13)+(T178*Settings!$C$16)+(K178*Settings!$C$7)+(L178*Settings!$C$8)+(R178*Settings!$C$14)+(S178*Settings!$C$15)</f>
        <v>-3.1050828617271531</v>
      </c>
      <c r="E178" s="67"/>
      <c r="F178" s="121">
        <f>(VLOOKUP($A178,Hitters!$A1:$R401,4,FALSE)-AVERAGE(Rankings!M2:M651))/STDEV(Rankings!M2:M651)</f>
        <v>-0.76443024449592789</v>
      </c>
      <c r="G178" s="121">
        <f>(VLOOKUP($A178,Hitters!$A1:$R401,5,FALSE)-AVERAGE(Rankings!N2:N651))/STDEV(Rankings!N2:N651)</f>
        <v>-0.82142541874034314</v>
      </c>
      <c r="H178" s="121">
        <f>(VLOOKUP($A178,Hitters!$A1:$R401,6,FALSE)-AVERAGE(Rankings!O2:O651))/STDEV(Rankings!O2:O651)</f>
        <v>-0.11657039968016068</v>
      </c>
      <c r="I178" s="121">
        <f>(VLOOKUP($A178,Hitters!$A1:$R401,7,FALSE)-AVERAGE(Rankings!P2:P651))/STDEV(Rankings!P2:P651)</f>
        <v>-0.51978250889920952</v>
      </c>
      <c r="J178" s="121">
        <f>(VLOOKUP($A178,Hitters!$A1:$R401,8,FALSE)-AVERAGE(Rankings!Q2:Q651))/STDEV(Rankings!Q2:Q651)</f>
        <v>-0.80163797844191087</v>
      </c>
      <c r="K178" s="121">
        <f>(VLOOKUP($A178,Hitters!$A1:$R401,9,FALSE)-AVERAGE(Rankings!R2:R651))/STDEV(Rankings!R2:R651)</f>
        <v>-0.84566655596552887</v>
      </c>
      <c r="L178" s="121">
        <f>(VLOOKUP($A178,Hitters!$A1:$R401,10,FALSE)-AVERAGE(Rankings!S2:S651))/STDEV(Rankings!S2:S651)</f>
        <v>-1.0966187036864472</v>
      </c>
      <c r="M178" s="121">
        <f>(VLOOKUP($A178,Hitters!$A1:$R401,11,FALSE)-AVERAGE(Rankings!T2:T651))/STDEV(Rankings!T2:T651)</f>
        <v>-0.83462166668691151</v>
      </c>
      <c r="N178" s="121">
        <f>(VLOOKUP($A178,Hitters!$A1:$R401,12,FALSE)-AVERAGE(Rankings!U2:U651))/STDEV(Rankings!U2:U651)</f>
        <v>-0.95771647901076706</v>
      </c>
      <c r="O178" s="121">
        <f>(VLOOKUP($A178,Hitters!$A1:$R401,13,FALSE)-AVERAGE(Rankings!V2:V651))/STDEV(Rankings!V2:V651)</f>
        <v>-0.56273208915138628</v>
      </c>
      <c r="P178" s="121">
        <f>(VLOOKUP($A178,Hitters!$A1:$R401,14,FALSE)-AVERAGE(Rankings!W2:W651))/STDEV(Rankings!W2:W651)</f>
        <v>-0.81020972245526812</v>
      </c>
      <c r="Q178" s="121">
        <f>(VLOOKUP($A178,Hitters!$A1:$R401,15,FALSE)-AVERAGE(Rankings!X2:X651))/STDEV(Rankings!X2:X651)</f>
        <v>-0.11666462790203003</v>
      </c>
      <c r="R178" s="121">
        <f>(VLOOKUP($A178,Hitters!$A1:$R401,16,FALSE)-AVERAGE(Rankings!Y2:Y651))/STDEV(Rankings!Y2:Y651)</f>
        <v>0.11565789558283725</v>
      </c>
      <c r="S178" s="121">
        <f>(VLOOKUP($A178,Hitters!$A1:$R401,17,FALSE)-AVERAGE(Rankings!Z2:Z651))/STDEV(Rankings!Z2:Z651)</f>
        <v>-0.34626043134032064</v>
      </c>
      <c r="T178" s="121">
        <f>IFERROR((VLOOKUP($A178,Hitters!$A1:$R401,18,FALSE)-AVERAGE(Rankings!AA2:AA651))/STDEV(Rankings!AA2:AA651),0)</f>
        <v>0</v>
      </c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</row>
    <row r="179" spans="1:37" ht="18.600000000000001" customHeight="1">
      <c r="A179" s="25" t="s">
        <v>539</v>
      </c>
      <c r="B179" s="26" t="s">
        <v>116</v>
      </c>
      <c r="C179" s="124" t="s">
        <v>19</v>
      </c>
      <c r="D179" s="67">
        <f>(F179*Settings!$C$2)+(G179*Settings!$C$3)+(H179*Settings!$C$4)+(I179*Settings!$C$5)+(J179*Settings!$C$6)+(M179*Settings!$C$9)+(N179*Settings!$C$10)+(O179*Settings!$C$11)+(P179*Settings!$C$12)+(Q179*Settings!$C$13)+(T179*Settings!$C$16)+(K179*Settings!$C$7)+(L179*Settings!$C$8)+(R179*Settings!$C$14)+(S179*Settings!$C$15)</f>
        <v>-3.2161898412279921</v>
      </c>
      <c r="E179" s="67"/>
      <c r="F179" s="121">
        <f>(VLOOKUP($A179,Hitters!$A1:$R401,4,FALSE)-AVERAGE(Rankings!M2:M651))/STDEV(Rankings!M2:M651)</f>
        <v>-0.62600673008796193</v>
      </c>
      <c r="G179" s="121">
        <f>(VLOOKUP($A179,Hitters!$A1:$R401,5,FALSE)-AVERAGE(Rankings!N2:N651))/STDEV(Rankings!N2:N651)</f>
        <v>-0.61196046786090785</v>
      </c>
      <c r="H179" s="121">
        <f>(VLOOKUP($A179,Hitters!$A1:$R401,6,FALSE)-AVERAGE(Rankings!O2:O651))/STDEV(Rankings!O2:O651)</f>
        <v>-0.19175656096199303</v>
      </c>
      <c r="I179" s="121">
        <f>(VLOOKUP($A179,Hitters!$A1:$R401,7,FALSE)-AVERAGE(Rankings!P2:P651))/STDEV(Rankings!P2:P651)</f>
        <v>-0.44116492467788393</v>
      </c>
      <c r="J179" s="121">
        <f>(VLOOKUP($A179,Hitters!$A1:$R401,8,FALSE)-AVERAGE(Rankings!Q2:Q651))/STDEV(Rankings!Q2:Q651)</f>
        <v>-0.81669735865626536</v>
      </c>
      <c r="K179" s="121">
        <f>(VLOOKUP($A179,Hitters!$A1:$R401,9,FALSE)-AVERAGE(Rankings!R2:R651))/STDEV(Rankings!R2:R651)</f>
        <v>-1.1546105290709419</v>
      </c>
      <c r="L179" s="121">
        <f>(VLOOKUP($A179,Hitters!$A1:$R401,10,FALSE)-AVERAGE(Rankings!S2:S651))/STDEV(Rankings!S2:S651)</f>
        <v>1.3226027298364247</v>
      </c>
      <c r="M179" s="121">
        <f>(VLOOKUP($A179,Hitters!$A1:$R401,11,FALSE)-AVERAGE(Rankings!T2:T651))/STDEV(Rankings!T2:T651)</f>
        <v>-0.774569283724035</v>
      </c>
      <c r="N179" s="121">
        <f>(VLOOKUP($A179,Hitters!$A1:$R401,12,FALSE)-AVERAGE(Rankings!U2:U651))/STDEV(Rankings!U2:U651)</f>
        <v>-1.1277934371346408</v>
      </c>
      <c r="O179" s="121">
        <f>(VLOOKUP($A179,Hitters!$A1:$R401,13,FALSE)-AVERAGE(Rankings!V2:V651))/STDEV(Rankings!V2:V651)</f>
        <v>-1.254108182259319</v>
      </c>
      <c r="P179" s="121">
        <f>(VLOOKUP($A179,Hitters!$A1:$R401,14,FALSE)-AVERAGE(Rankings!W2:W651))/STDEV(Rankings!W2:W651)</f>
        <v>1.0306277676708844</v>
      </c>
      <c r="Q179" s="121">
        <f>(VLOOKUP($A179,Hitters!$A1:$R401,15,FALSE)-AVERAGE(Rankings!X2:X651))/STDEV(Rankings!X2:X651)</f>
        <v>-0.35448662386716512</v>
      </c>
      <c r="R179" s="121">
        <f>(VLOOKUP($A179,Hitters!$A1:$R401,16,FALSE)-AVERAGE(Rankings!Y2:Y651))/STDEV(Rankings!Y2:Y651)</f>
        <v>-0.63820391512571384</v>
      </c>
      <c r="S179" s="121">
        <f>(VLOOKUP($A179,Hitters!$A1:$R401,17,FALSE)-AVERAGE(Rankings!Z2:Z651))/STDEV(Rankings!Z2:Z651)</f>
        <v>5.4598800264057612E-2</v>
      </c>
      <c r="T179" s="121">
        <f>IFERROR((VLOOKUP($A179,Hitters!$A1:$R401,18,FALSE)-AVERAGE(Rankings!AA2:AA651))/STDEV(Rankings!AA2:AA651),0)</f>
        <v>0</v>
      </c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</row>
    <row r="180" spans="1:37" ht="18.600000000000001" customHeight="1">
      <c r="A180" s="25" t="s">
        <v>523</v>
      </c>
      <c r="B180" s="26" t="s">
        <v>103</v>
      </c>
      <c r="C180" s="124" t="s">
        <v>19</v>
      </c>
      <c r="D180" s="67">
        <f>(F180*Settings!$C$2)+(G180*Settings!$C$3)+(H180*Settings!$C$4)+(I180*Settings!$C$5)+(J180*Settings!$C$6)+(M180*Settings!$C$9)+(N180*Settings!$C$10)+(O180*Settings!$C$11)+(P180*Settings!$C$12)+(Q180*Settings!$C$13)+(T180*Settings!$C$16)+(K180*Settings!$C$7)+(L180*Settings!$C$8)+(R180*Settings!$C$14)+(S180*Settings!$C$15)</f>
        <v>-3.0755873790589527</v>
      </c>
      <c r="E180" s="67"/>
      <c r="F180" s="121">
        <f>(VLOOKUP($A180,Hitters!$A1:$R401,4,FALSE)-AVERAGE(Rankings!M2:M651))/STDEV(Rankings!M2:M651)</f>
        <v>-0.90807728774947183</v>
      </c>
      <c r="G180" s="121">
        <f>(VLOOKUP($A180,Hitters!$A1:$R401,5,FALSE)-AVERAGE(Rankings!N2:N651))/STDEV(Rankings!N2:N651)</f>
        <v>-0.95347940951216081</v>
      </c>
      <c r="H180" s="121">
        <f>(VLOOKUP($A180,Hitters!$A1:$R401,6,FALSE)-AVERAGE(Rankings!O2:O651))/STDEV(Rankings!O2:O651)</f>
        <v>-0.59274942113176576</v>
      </c>
      <c r="I180" s="121">
        <f>(VLOOKUP($A180,Hitters!$A1:$R401,7,FALSE)-AVERAGE(Rankings!P2:P651))/STDEV(Rankings!P2:P651)</f>
        <v>-0.83116980326603085</v>
      </c>
      <c r="J180" s="121">
        <f>(VLOOKUP($A180,Hitters!$A1:$R401,8,FALSE)-AVERAGE(Rankings!Q2:Q651))/STDEV(Rankings!Q2:Q651)</f>
        <v>-0.46531182032131935</v>
      </c>
      <c r="K180" s="121">
        <f>(VLOOKUP($A180,Hitters!$A1:$R401,9,FALSE)-AVERAGE(Rankings!R2:R651))/STDEV(Rankings!R2:R651)</f>
        <v>-0.23287692482767569</v>
      </c>
      <c r="L180" s="121">
        <f>(VLOOKUP($A180,Hitters!$A1:$R401,10,FALSE)-AVERAGE(Rankings!S2:S651))/STDEV(Rankings!S2:S651)</f>
        <v>-1.3144390231389123</v>
      </c>
      <c r="M180" s="121">
        <f>(VLOOKUP($A180,Hitters!$A1:$R401,11,FALSE)-AVERAGE(Rankings!T2:T651))/STDEV(Rankings!T2:T651)</f>
        <v>-0.86009843521661555</v>
      </c>
      <c r="N180" s="121">
        <f>(VLOOKUP($A180,Hitters!$A1:$R401,12,FALSE)-AVERAGE(Rankings!U2:U651))/STDEV(Rankings!U2:U651)</f>
        <v>-0.75362412926211364</v>
      </c>
      <c r="O180" s="121">
        <f>(VLOOKUP($A180,Hitters!$A1:$R401,13,FALSE)-AVERAGE(Rankings!V2:V651))/STDEV(Rankings!V2:V651)</f>
        <v>-0.94990270129182863</v>
      </c>
      <c r="P180" s="121">
        <f>(VLOOKUP($A180,Hitters!$A1:$R401,14,FALSE)-AVERAGE(Rankings!W2:W651))/STDEV(Rankings!W2:W651)</f>
        <v>-1.2634532619010588</v>
      </c>
      <c r="Q180" s="121">
        <f>(VLOOKUP($A180,Hitters!$A1:$R401,15,FALSE)-AVERAGE(Rankings!X2:X651))/STDEV(Rankings!X2:X651)</f>
        <v>-0.7443587484001688</v>
      </c>
      <c r="R180" s="121">
        <f>(VLOOKUP($A180,Hitters!$A1:$R401,16,FALSE)-AVERAGE(Rankings!Y2:Y651))/STDEV(Rankings!Y2:Y651)</f>
        <v>-0.22179330872639078</v>
      </c>
      <c r="S180" s="121">
        <f>(VLOOKUP($A180,Hitters!$A1:$R401,17,FALSE)-AVERAGE(Rankings!Z2:Z651))/STDEV(Rankings!Z2:Z651)</f>
        <v>-0.67739367721145505</v>
      </c>
      <c r="T180" s="121">
        <f>IFERROR((VLOOKUP($A180,Hitters!$A1:$R401,18,FALSE)-AVERAGE(Rankings!AA2:AA651))/STDEV(Rankings!AA2:AA651),0)</f>
        <v>0</v>
      </c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</row>
    <row r="181" spans="1:37" ht="18.600000000000001" customHeight="1">
      <c r="A181" s="25" t="s">
        <v>574</v>
      </c>
      <c r="B181" s="26" t="s">
        <v>122</v>
      </c>
      <c r="C181" s="124" t="s">
        <v>19</v>
      </c>
      <c r="D181" s="67">
        <f>(F181*Settings!$C$2)+(G181*Settings!$C$3)+(H181*Settings!$C$4)+(I181*Settings!$C$5)+(J181*Settings!$C$6)+(M181*Settings!$C$9)+(N181*Settings!$C$10)+(O181*Settings!$C$11)+(P181*Settings!$C$12)+(Q181*Settings!$C$13)+(T181*Settings!$C$16)+(K181*Settings!$C$7)+(L181*Settings!$C$8)+(R181*Settings!$C$14)+(S181*Settings!$C$15)</f>
        <v>-3.6679973981134415</v>
      </c>
      <c r="E181" s="67"/>
      <c r="F181" s="121">
        <f>(VLOOKUP($A181,Hitters!$A1:$R401,4,FALSE)-AVERAGE(Rankings!M2:M651))/STDEV(Rankings!M2:M651)</f>
        <v>-0.70435966277171458</v>
      </c>
      <c r="G181" s="121">
        <f>(VLOOKUP($A181,Hitters!$A1:$R401,5,FALSE)-AVERAGE(Rankings!N2:N651))/STDEV(Rankings!N2:N651)</f>
        <v>-0.73642514881825183</v>
      </c>
      <c r="H181" s="121">
        <f>(VLOOKUP($A181,Hitters!$A1:$R401,6,FALSE)-AVERAGE(Rankings!O2:O651))/STDEV(Rankings!O2:O651)</f>
        <v>-0.57604138529135906</v>
      </c>
      <c r="I181" s="121">
        <f>(VLOOKUP($A181,Hitters!$A1:$R401,7,FALSE)-AVERAGE(Rankings!P2:P651))/STDEV(Rankings!P2:P651)</f>
        <v>-0.64310420963854498</v>
      </c>
      <c r="J181" s="121">
        <f>(VLOOKUP($A181,Hitters!$A1:$R401,8,FALSE)-AVERAGE(Rankings!Q2:Q651))/STDEV(Rankings!Q2:Q651)</f>
        <v>-0.79159839163234058</v>
      </c>
      <c r="K181" s="121">
        <f>(VLOOKUP($A181,Hitters!$A1:$R401,9,FALSE)-AVERAGE(Rankings!R2:R651))/STDEV(Rankings!R2:R651)</f>
        <v>-0.92082826273294505</v>
      </c>
      <c r="L181" s="121">
        <f>(VLOOKUP($A181,Hitters!$A1:$R401,10,FALSE)-AVERAGE(Rankings!S2:S651))/STDEV(Rankings!S2:S651)</f>
        <v>-0.47903335125496682</v>
      </c>
      <c r="M181" s="121">
        <f>(VLOOKUP($A181,Hitters!$A1:$R401,11,FALSE)-AVERAGE(Rankings!T2:T651))/STDEV(Rankings!T2:T651)</f>
        <v>-0.79822628307304522</v>
      </c>
      <c r="N181" s="121">
        <f>(VLOOKUP($A181,Hitters!$A1:$R401,12,FALSE)-AVERAGE(Rankings!U2:U651))/STDEV(Rankings!U2:U651)</f>
        <v>-0.71110488973113561</v>
      </c>
      <c r="O181" s="121">
        <f>(VLOOKUP($A181,Hitters!$A1:$R401,13,FALSE)-AVERAGE(Rankings!V2:V651))/STDEV(Rankings!V2:V651)</f>
        <v>-0.94990270129182863</v>
      </c>
      <c r="P181" s="121">
        <f>(VLOOKUP($A181,Hitters!$A1:$R401,14,FALSE)-AVERAGE(Rankings!W2:W651))/STDEV(Rankings!W2:W651)</f>
        <v>-0.36996907143619928</v>
      </c>
      <c r="Q181" s="121">
        <f>(VLOOKUP($A181,Hitters!$A1:$R401,15,FALSE)-AVERAGE(Rankings!X2:X651))/STDEV(Rankings!X2:X651)</f>
        <v>-0.78724468209880016</v>
      </c>
      <c r="R181" s="121">
        <f>(VLOOKUP($A181,Hitters!$A1:$R401,16,FALSE)-AVERAGE(Rankings!Y2:Y651))/STDEV(Rankings!Y2:Y651)</f>
        <v>-0.80864671530743615</v>
      </c>
      <c r="S181" s="121">
        <f>(VLOOKUP($A181,Hitters!$A1:$R401,17,FALSE)-AVERAGE(Rankings!Z2:Z651))/STDEV(Rankings!Z2:Z651)</f>
        <v>-0.77665278181876052</v>
      </c>
      <c r="T181" s="121">
        <f>IFERROR((VLOOKUP($A181,Hitters!$A1:$R401,18,FALSE)-AVERAGE(Rankings!AA2:AA651))/STDEV(Rankings!AA2:AA651),0)</f>
        <v>0</v>
      </c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</row>
    <row r="182" spans="1:37" ht="18.600000000000001" customHeight="1">
      <c r="A182" s="25" t="s">
        <v>569</v>
      </c>
      <c r="B182" s="26" t="s">
        <v>160</v>
      </c>
      <c r="C182" s="124" t="s">
        <v>19</v>
      </c>
      <c r="D182" s="67">
        <f>(F182*Settings!$C$2)+(G182*Settings!$C$3)+(H182*Settings!$C$4)+(I182*Settings!$C$5)+(J182*Settings!$C$6)+(M182*Settings!$C$9)+(N182*Settings!$C$10)+(O182*Settings!$C$11)+(P182*Settings!$C$12)+(Q182*Settings!$C$13)+(T182*Settings!$C$16)+(K182*Settings!$C$7)+(L182*Settings!$C$8)+(R182*Settings!$C$14)+(S182*Settings!$C$15)</f>
        <v>-3.5875344840690611</v>
      </c>
      <c r="E182" s="67"/>
      <c r="F182" s="121">
        <f>(VLOOKUP($A182,Hitters!$A1:$R401,4,FALSE)-AVERAGE(Rankings!M2:M651))/STDEV(Rankings!M2:M651)</f>
        <v>-1.0021008069699751</v>
      </c>
      <c r="G182" s="121">
        <f>(VLOOKUP($A182,Hitters!$A1:$R401,5,FALSE)-AVERAGE(Rankings!N2:N651))/STDEV(Rankings!N2:N651)</f>
        <v>-1.105265605801605</v>
      </c>
      <c r="H182" s="121">
        <f>(VLOOKUP($A182,Hitters!$A1:$R401,6,FALSE)-AVERAGE(Rankings!O2:O651))/STDEV(Rankings!O2:O651)</f>
        <v>-0.73894473473532918</v>
      </c>
      <c r="I182" s="121">
        <f>(VLOOKUP($A182,Hitters!$A1:$R401,7,FALSE)-AVERAGE(Rankings!P2:P651))/STDEV(Rankings!P2:P651)</f>
        <v>-0.91287043000583656</v>
      </c>
      <c r="J182" s="121">
        <f>(VLOOKUP($A182,Hitters!$A1:$R401,8,FALSE)-AVERAGE(Rankings!Q2:Q651))/STDEV(Rankings!Q2:Q651)</f>
        <v>-0.79159839163234058</v>
      </c>
      <c r="K182" s="121">
        <f>(VLOOKUP($A182,Hitters!$A1:$R401,9,FALSE)-AVERAGE(Rankings!R2:R651))/STDEV(Rankings!R2:R651)</f>
        <v>-3.8855321893949413E-2</v>
      </c>
      <c r="L182" s="121">
        <f>(VLOOKUP($A182,Hitters!$A1:$R401,10,FALSE)-AVERAGE(Rankings!S2:S651))/STDEV(Rankings!S2:S651)</f>
        <v>-1.2696423630216529</v>
      </c>
      <c r="M182" s="121">
        <f>(VLOOKUP($A182,Hitters!$A1:$R401,11,FALSE)-AVERAGE(Rankings!T2:T651))/STDEV(Rankings!T2:T651)</f>
        <v>-0.91287174145671834</v>
      </c>
      <c r="N182" s="121">
        <f>(VLOOKUP($A182,Hitters!$A1:$R401,12,FALSE)-AVERAGE(Rankings!U2:U651))/STDEV(Rankings!U2:U651)</f>
        <v>-1.0002357185417323</v>
      </c>
      <c r="O182" s="121">
        <f>(VLOOKUP($A182,Hitters!$A1:$R401,13,FALSE)-AVERAGE(Rankings!V2:V651))/STDEV(Rankings!V2:V651)</f>
        <v>-0.61804217660002114</v>
      </c>
      <c r="P182" s="121">
        <f>(VLOOKUP($A182,Hitters!$A1:$R401,14,FALSE)-AVERAGE(Rankings!W2:W651))/STDEV(Rankings!W2:W651)</f>
        <v>-1.3544734808881218</v>
      </c>
      <c r="Q182" s="121">
        <f>(VLOOKUP($A182,Hitters!$A1:$R401,15,FALSE)-AVERAGE(Rankings!X2:X651))/STDEV(Rankings!X2:X651)</f>
        <v>-1.2385216662457519</v>
      </c>
      <c r="R182" s="121">
        <f>(VLOOKUP($A182,Hitters!$A1:$R401,16,FALSE)-AVERAGE(Rankings!Y2:Y651))/STDEV(Rankings!Y2:Y651)</f>
        <v>-0.37352322361336543</v>
      </c>
      <c r="S182" s="121">
        <f>(VLOOKUP($A182,Hitters!$A1:$R401,17,FALSE)-AVERAGE(Rankings!Z2:Z651))/STDEV(Rankings!Z2:Z651)</f>
        <v>-0.77025542872270947</v>
      </c>
      <c r="T182" s="121">
        <f>IFERROR((VLOOKUP($A182,Hitters!$A1:$R401,18,FALSE)-AVERAGE(Rankings!AA2:AA651))/STDEV(Rankings!AA2:AA651),0)</f>
        <v>0</v>
      </c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</row>
    <row r="183" spans="1:37" ht="18.600000000000001" customHeight="1">
      <c r="A183" s="25" t="s">
        <v>592</v>
      </c>
      <c r="B183" s="26" t="s">
        <v>219</v>
      </c>
      <c r="C183" s="124" t="s">
        <v>19</v>
      </c>
      <c r="D183" s="67">
        <f>(F183*Settings!$C$2)+(G183*Settings!$C$3)+(H183*Settings!$C$4)+(I183*Settings!$C$5)+(J183*Settings!$C$6)+(M183*Settings!$C$9)+(N183*Settings!$C$10)+(O183*Settings!$C$11)+(P183*Settings!$C$12)+(Q183*Settings!$C$13)+(T183*Settings!$C$16)+(K183*Settings!$C$7)+(L183*Settings!$C$8)+(R183*Settings!$C$14)+(S183*Settings!$C$15)</f>
        <v>-3.846861816009894</v>
      </c>
      <c r="E183" s="67"/>
      <c r="F183" s="121">
        <f>(VLOOKUP($A183,Hitters!$A1:$R401,4,FALSE)-AVERAGE(Rankings!M2:M651))/STDEV(Rankings!M2:M651)</f>
        <v>-0.59727732143724976</v>
      </c>
      <c r="G183" s="121">
        <f>(VLOOKUP($A183,Hitters!$A1:$R401,5,FALSE)-AVERAGE(Rankings!N2:N651))/STDEV(Rankings!N2:N651)</f>
        <v>-0.65749632674774161</v>
      </c>
      <c r="H183" s="121">
        <f>(VLOOKUP($A183,Hitters!$A1:$R401,6,FALSE)-AVERAGE(Rankings!O2:O651))/STDEV(Rankings!O2:O651)</f>
        <v>-0.45073111648830883</v>
      </c>
      <c r="I183" s="121">
        <f>(VLOOKUP($A183,Hitters!$A1:$R401,7,FALSE)-AVERAGE(Rankings!P2:P651))/STDEV(Rankings!P2:P651)</f>
        <v>-0.8450434945992058</v>
      </c>
      <c r="J183" s="121">
        <f>(VLOOKUP($A183,Hitters!$A1:$R401,8,FALSE)-AVERAGE(Rankings!Q2:Q651))/STDEV(Rankings!Q2:Q651)</f>
        <v>-0.60084624225051264</v>
      </c>
      <c r="K183" s="121">
        <f>(VLOOKUP($A183,Hitters!$A1:$R401,9,FALSE)-AVERAGE(Rankings!R2:R651))/STDEV(Rankings!R2:R651)</f>
        <v>-1.2927446359241255</v>
      </c>
      <c r="L183" s="121">
        <f>(VLOOKUP($A183,Hitters!$A1:$R401,10,FALSE)-AVERAGE(Rankings!S2:S651))/STDEV(Rankings!S2:S651)</f>
        <v>-1.349319978886188</v>
      </c>
      <c r="M183" s="121">
        <f>(VLOOKUP($A183,Hitters!$A1:$R401,11,FALSE)-AVERAGE(Rankings!T2:T651))/STDEV(Rankings!T2:T651)</f>
        <v>-0.7754791683143808</v>
      </c>
      <c r="N183" s="121">
        <f>(VLOOKUP($A183,Hitters!$A1:$R401,12,FALSE)-AVERAGE(Rankings!U2:U651))/STDEV(Rankings!U2:U651)</f>
        <v>-1.1575569048063152</v>
      </c>
      <c r="O183" s="121">
        <f>(VLOOKUP($A183,Hitters!$A1:$R401,13,FALSE)-AVERAGE(Rankings!V2:V651))/STDEV(Rankings!V2:V651)</f>
        <v>-0.56273208915138628</v>
      </c>
      <c r="P183" s="121">
        <f>(VLOOKUP($A183,Hitters!$A1:$R401,14,FALSE)-AVERAGE(Rankings!W2:W651))/STDEV(Rankings!W2:W651)</f>
        <v>-0.65603261682411562</v>
      </c>
      <c r="Q183" s="121">
        <f>(VLOOKUP($A183,Hitters!$A1:$R401,15,FALSE)-AVERAGE(Rankings!X2:X651))/STDEV(Rankings!X2:X651)</f>
        <v>0.65333281805065313</v>
      </c>
      <c r="R183" s="121">
        <f>(VLOOKUP($A183,Hitters!$A1:$R401,16,FALSE)-AVERAGE(Rankings!Y2:Y651))/STDEV(Rankings!Y2:Y651)</f>
        <v>-1.0999913122864373</v>
      </c>
      <c r="S183" s="121">
        <f>(VLOOKUP($A183,Hitters!$A1:$R401,17,FALSE)-AVERAGE(Rankings!Z2:Z651))/STDEV(Rankings!Z2:Z651)</f>
        <v>-1.3303331061798045</v>
      </c>
      <c r="T183" s="121">
        <f>IFERROR((VLOOKUP($A183,Hitters!$A1:$R401,18,FALSE)-AVERAGE(Rankings!AA2:AA651))/STDEV(Rankings!AA2:AA651),0)</f>
        <v>0</v>
      </c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</row>
    <row r="184" spans="1:37" ht="18.600000000000001" customHeight="1">
      <c r="A184" s="25" t="s">
        <v>605</v>
      </c>
      <c r="B184" s="26" t="s">
        <v>136</v>
      </c>
      <c r="C184" s="124" t="s">
        <v>19</v>
      </c>
      <c r="D184" s="67">
        <f>(F184*Settings!$C$2)+(G184*Settings!$C$3)+(H184*Settings!$C$4)+(I184*Settings!$C$5)+(J184*Settings!$C$6)+(M184*Settings!$C$9)+(N184*Settings!$C$10)+(O184*Settings!$C$11)+(P184*Settings!$C$12)+(Q184*Settings!$C$13)+(T184*Settings!$C$16)+(K184*Settings!$C$7)+(L184*Settings!$C$8)+(R184*Settings!$C$14)+(S184*Settings!$C$15)</f>
        <v>-3.9590247318252607</v>
      </c>
      <c r="E184" s="67"/>
      <c r="F184" s="121">
        <f>(VLOOKUP($A184,Hitters!$A1:$R401,4,FALSE)-AVERAGE(Rankings!M2:M651))/STDEV(Rankings!M2:M651)</f>
        <v>-0.37788910992274199</v>
      </c>
      <c r="G184" s="121">
        <f>(VLOOKUP($A184,Hitters!$A1:$R401,5,FALSE)-AVERAGE(Rankings!N2:N651))/STDEV(Rankings!N2:N651)</f>
        <v>-0.86847913959006962</v>
      </c>
      <c r="H184" s="121">
        <f>(VLOOKUP($A184,Hitters!$A1:$R401,6,FALSE)-AVERAGE(Rankings!O2:O651))/STDEV(Rankings!O2:O651)</f>
        <v>-0.98956527234143721</v>
      </c>
      <c r="I184" s="121">
        <f>(VLOOKUP($A184,Hitters!$A1:$R401,7,FALSE)-AVERAGE(Rankings!P2:P651))/STDEV(Rankings!P2:P651)</f>
        <v>-0.64927029467551001</v>
      </c>
      <c r="J184" s="121">
        <f>(VLOOKUP($A184,Hitters!$A1:$R401,8,FALSE)-AVERAGE(Rankings!Q2:Q651))/STDEV(Rankings!Q2:Q651)</f>
        <v>-0.82673694546583509</v>
      </c>
      <c r="K184" s="121">
        <f>(VLOOKUP($A184,Hitters!$A1:$R401,9,FALSE)-AVERAGE(Rankings!R2:R651))/STDEV(Rankings!R2:R651)</f>
        <v>-0.62497307975240945</v>
      </c>
      <c r="L184" s="121">
        <f>(VLOOKUP($A184,Hitters!$A1:$R401,10,FALSE)-AVERAGE(Rankings!S2:S651))/STDEV(Rankings!S2:S651)</f>
        <v>-0.38769698236640587</v>
      </c>
      <c r="M184" s="121">
        <f>(VLOOKUP($A184,Hitters!$A1:$R401,11,FALSE)-AVERAGE(Rankings!T2:T651))/STDEV(Rankings!T2:T651)</f>
        <v>-0.48067656104207868</v>
      </c>
      <c r="N184" s="121">
        <f>(VLOOKUP($A184,Hitters!$A1:$R401,12,FALSE)-AVERAGE(Rankings!U2:U651))/STDEV(Rankings!U2:U651)</f>
        <v>-0.60055486695062332</v>
      </c>
      <c r="O184" s="121">
        <f>(VLOOKUP($A184,Hitters!$A1:$R401,13,FALSE)-AVERAGE(Rankings!V2:V651))/STDEV(Rankings!V2:V651)</f>
        <v>-0.89459261384319366</v>
      </c>
      <c r="P184" s="121">
        <f>(VLOOKUP($A184,Hitters!$A1:$R401,14,FALSE)-AVERAGE(Rankings!W2:W651))/STDEV(Rankings!W2:W651)</f>
        <v>-0.22693729874223825</v>
      </c>
      <c r="Q184" s="121">
        <f>(VLOOKUP($A184,Hitters!$A1:$R401,15,FALSE)-AVERAGE(Rankings!X2:X651))/STDEV(Rankings!X2:X651)</f>
        <v>-0.3388917388858429</v>
      </c>
      <c r="R184" s="121">
        <f>(VLOOKUP($A184,Hitters!$A1:$R401,16,FALSE)-AVERAGE(Rankings!Y2:Y651))/STDEV(Rankings!Y2:Y651)</f>
        <v>-1.6988532437484398</v>
      </c>
      <c r="S184" s="121">
        <f>(VLOOKUP($A184,Hitters!$A1:$R401,17,FALSE)-AVERAGE(Rankings!Z2:Z651))/STDEV(Rankings!Z2:Z651)</f>
        <v>-1.388790030759038</v>
      </c>
      <c r="T184" s="121">
        <f>IFERROR((VLOOKUP($A184,Hitters!$A1:$R401,18,FALSE)-AVERAGE(Rankings!AA2:AA651))/STDEV(Rankings!AA2:AA651),0)</f>
        <v>0</v>
      </c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</row>
    <row r="185" spans="1:37" ht="18.600000000000001" customHeight="1">
      <c r="A185" s="25" t="s">
        <v>599</v>
      </c>
      <c r="B185" s="26" t="s">
        <v>64</v>
      </c>
      <c r="C185" s="124" t="s">
        <v>19</v>
      </c>
      <c r="D185" s="67">
        <f>(F185*Settings!$C$2)+(G185*Settings!$C$3)+(H185*Settings!$C$4)+(I185*Settings!$C$5)+(J185*Settings!$C$6)+(M185*Settings!$C$9)+(N185*Settings!$C$10)+(O185*Settings!$C$11)+(P185*Settings!$C$12)+(Q185*Settings!$C$13)+(T185*Settings!$C$16)+(K185*Settings!$C$7)+(L185*Settings!$C$8)+(R185*Settings!$C$14)+(S185*Settings!$C$15)</f>
        <v>-3.8877689275781733</v>
      </c>
      <c r="E185" s="67"/>
      <c r="F185" s="121">
        <f>(VLOOKUP($A185,Hitters!$A1:$R401,4,FALSE)-AVERAGE(Rankings!M2:M651))/STDEV(Rankings!M2:M651)</f>
        <v>-1.1039596194588537</v>
      </c>
      <c r="G185" s="121">
        <f>(VLOOKUP($A185,Hitters!$A1:$R401,5,FALSE)-AVERAGE(Rankings!N2:N651))/STDEV(Rankings!N2:N651)</f>
        <v>-1.0035688542876779</v>
      </c>
      <c r="H185" s="121">
        <f>(VLOOKUP($A185,Hitters!$A1:$R401,6,FALSE)-AVERAGE(Rankings!O2:O651))/STDEV(Rankings!O2:O651)</f>
        <v>-0.79324585121665225</v>
      </c>
      <c r="I185" s="121">
        <f>(VLOOKUP($A185,Hitters!$A1:$R401,7,FALSE)-AVERAGE(Rankings!P2:P651))/STDEV(Rankings!P2:P651)</f>
        <v>-0.9136411906354589</v>
      </c>
      <c r="J185" s="121">
        <f>(VLOOKUP($A185,Hitters!$A1:$R401,8,FALSE)-AVERAGE(Rankings!Q2:Q651))/STDEV(Rankings!Q2:Q651)</f>
        <v>-0.8066577718466954</v>
      </c>
      <c r="K185" s="121">
        <f>(VLOOKUP($A185,Hitters!$A1:$R401,9,FALSE)-AVERAGE(Rankings!R2:R651))/STDEV(Rankings!R2:R651)</f>
        <v>-0.37065525959168871</v>
      </c>
      <c r="L185" s="121">
        <f>(VLOOKUP($A185,Hitters!$A1:$R401,10,FALSE)-AVERAGE(Rankings!S2:S651))/STDEV(Rankings!S2:S651)</f>
        <v>-0.66478093531628468</v>
      </c>
      <c r="M185" s="121">
        <f>(VLOOKUP($A185,Hitters!$A1:$R401,11,FALSE)-AVERAGE(Rankings!T2:T651))/STDEV(Rankings!T2:T651)</f>
        <v>-1.0457148916473245</v>
      </c>
      <c r="N185" s="121">
        <f>(VLOOKUP($A185,Hitters!$A1:$R401,12,FALSE)-AVERAGE(Rankings!U2:U651))/STDEV(Rankings!U2:U651)</f>
        <v>-1.0576366919085409</v>
      </c>
      <c r="O185" s="121">
        <f>(VLOOKUP($A185,Hitters!$A1:$R401,13,FALSE)-AVERAGE(Rankings!V2:V651))/STDEV(Rankings!V2:V651)</f>
        <v>-0.65952474218649715</v>
      </c>
      <c r="P185" s="121">
        <f>(VLOOKUP($A185,Hitters!$A1:$R401,14,FALSE)-AVERAGE(Rankings!W2:W651))/STDEV(Rankings!W2:W651)</f>
        <v>-0.97088827229977881</v>
      </c>
      <c r="Q185" s="121">
        <f>(VLOOKUP($A185,Hitters!$A1:$R401,15,FALSE)-AVERAGE(Rankings!X2:X651))/STDEV(Rankings!X2:X651)</f>
        <v>-1.1361802335558382</v>
      </c>
      <c r="R185" s="121">
        <f>(VLOOKUP($A185,Hitters!$A1:$R401,16,FALSE)-AVERAGE(Rankings!Y2:Y651))/STDEV(Rankings!Y2:Y651)</f>
        <v>-0.51758504561713015</v>
      </c>
      <c r="S185" s="121">
        <f>(VLOOKUP($A185,Hitters!$A1:$R401,17,FALSE)-AVERAGE(Rankings!Z2:Z651))/STDEV(Rankings!Z2:Z651)</f>
        <v>-0.6376968302344278</v>
      </c>
      <c r="T185" s="121">
        <f>IFERROR((VLOOKUP($A185,Hitters!$A1:$R401,18,FALSE)-AVERAGE(Rankings!AA2:AA651))/STDEV(Rankings!AA2:AA651),0)</f>
        <v>0</v>
      </c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</row>
    <row r="186" spans="1:37" ht="18.600000000000001" customHeight="1">
      <c r="A186" s="25" t="s">
        <v>596</v>
      </c>
      <c r="B186" s="26" t="s">
        <v>139</v>
      </c>
      <c r="C186" s="124" t="s">
        <v>19</v>
      </c>
      <c r="D186" s="67">
        <f>(F186*Settings!$C$2)+(G186*Settings!$C$3)+(H186*Settings!$C$4)+(I186*Settings!$C$5)+(J186*Settings!$C$6)+(M186*Settings!$C$9)+(N186*Settings!$C$10)+(O186*Settings!$C$11)+(P186*Settings!$C$12)+(Q186*Settings!$C$13)+(T186*Settings!$C$16)+(K186*Settings!$C$7)+(L186*Settings!$C$8)+(R186*Settings!$C$14)+(S186*Settings!$C$15)</f>
        <v>-3.8690135696359813</v>
      </c>
      <c r="E186" s="67"/>
      <c r="F186" s="121">
        <f>(VLOOKUP($A186,Hitters!$A1:$R401,4,FALSE)-AVERAGE(Rankings!M2:M651))/STDEV(Rankings!M2:M651)</f>
        <v>-1.4683007564383039</v>
      </c>
      <c r="G186" s="121">
        <f>(VLOOKUP($A186,Hitters!$A1:$R401,5,FALSE)-AVERAGE(Rankings!N2:N651))/STDEV(Rankings!N2:N651)</f>
        <v>-1.2585696640539468</v>
      </c>
      <c r="H186" s="121">
        <f>(VLOOKUP($A186,Hitters!$A1:$R401,6,FALSE)-AVERAGE(Rankings!O2:O651))/STDEV(Rankings!O2:O651)</f>
        <v>-0.89349406625909544</v>
      </c>
      <c r="I186" s="121">
        <f>(VLOOKUP($A186,Hitters!$A1:$R401,7,FALSE)-AVERAGE(Rankings!P2:P651))/STDEV(Rankings!P2:P651)</f>
        <v>-1.1818658897435104</v>
      </c>
      <c r="J186" s="121">
        <f>(VLOOKUP($A186,Hitters!$A1:$R401,8,FALSE)-AVERAGE(Rankings!Q2:Q651))/STDEV(Rankings!Q2:Q651)</f>
        <v>-0.74642025098927633</v>
      </c>
      <c r="K186" s="121">
        <f>(VLOOKUP($A186,Hitters!$A1:$R401,9,FALSE)-AVERAGE(Rankings!R2:R651))/STDEV(Rankings!R2:R651)</f>
        <v>0.21133630140984713</v>
      </c>
      <c r="L186" s="121">
        <f>(VLOOKUP($A186,Hitters!$A1:$R401,10,FALSE)-AVERAGE(Rankings!S2:S651))/STDEV(Rankings!S2:S651)</f>
        <v>-5.8014596090355683E-2</v>
      </c>
      <c r="M186" s="121">
        <f>(VLOOKUP($A186,Hitters!$A1:$R401,11,FALSE)-AVERAGE(Rankings!T2:T651))/STDEV(Rankings!T2:T651)</f>
        <v>-1.29001890415539</v>
      </c>
      <c r="N186" s="121">
        <f>(VLOOKUP($A186,Hitters!$A1:$R401,12,FALSE)-AVERAGE(Rankings!U2:U651))/STDEV(Rankings!U2:U651)</f>
        <v>-0.96834628889350516</v>
      </c>
      <c r="O186" s="121">
        <f>(VLOOKUP($A186,Hitters!$A1:$R401,13,FALSE)-AVERAGE(Rankings!V2:V651))/STDEV(Rankings!V2:V651)</f>
        <v>-0.65952474218649715</v>
      </c>
      <c r="P186" s="121">
        <f>(VLOOKUP($A186,Hitters!$A1:$R401,14,FALSE)-AVERAGE(Rankings!W2:W651))/STDEV(Rankings!W2:W651)</f>
        <v>-1.1185639337175677</v>
      </c>
      <c r="Q186" s="121">
        <f>(VLOOKUP($A186,Hitters!$A1:$R401,15,FALSE)-AVERAGE(Rankings!X2:X651))/STDEV(Rankings!X2:X651)</f>
        <v>-1.4227362450875967</v>
      </c>
      <c r="R186" s="121">
        <f>(VLOOKUP($A186,Hitters!$A1:$R401,16,FALSE)-AVERAGE(Rankings!Y2:Y651))/STDEV(Rankings!Y2:Y651)</f>
        <v>0.3720410832244217</v>
      </c>
      <c r="S186" s="121">
        <f>(VLOOKUP($A186,Hitters!$A1:$R401,17,FALSE)-AVERAGE(Rankings!Z2:Z651))/STDEV(Rankings!Z2:Z651)</f>
        <v>0.2480397799997241</v>
      </c>
      <c r="T186" s="121">
        <f>IFERROR((VLOOKUP($A186,Hitters!$A1:$R401,18,FALSE)-AVERAGE(Rankings!AA2:AA651))/STDEV(Rankings!AA2:AA651),0)</f>
        <v>0</v>
      </c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</row>
    <row r="187" spans="1:37" ht="18.600000000000001" customHeight="1">
      <c r="A187" s="25" t="s">
        <v>628</v>
      </c>
      <c r="B187" s="26" t="s">
        <v>77</v>
      </c>
      <c r="C187" s="124" t="s">
        <v>19</v>
      </c>
      <c r="D187" s="67">
        <f>(F187*Settings!$C$2)+(G187*Settings!$C$3)+(H187*Settings!$C$4)+(I187*Settings!$C$5)+(J187*Settings!$C$6)+(M187*Settings!$C$9)+(N187*Settings!$C$10)+(O187*Settings!$C$11)+(P187*Settings!$C$12)+(Q187*Settings!$C$13)+(T187*Settings!$C$16)+(K187*Settings!$C$7)+(L187*Settings!$C$8)+(R187*Settings!$C$14)+(S187*Settings!$C$15)</f>
        <v>-4.2533436584326161</v>
      </c>
      <c r="E187" s="67"/>
      <c r="F187" s="121">
        <f>(VLOOKUP($A187,Hitters!$A1:$R401,4,FALSE)-AVERAGE(Rankings!M2:M651))/STDEV(Rankings!M2:M651)</f>
        <v>-0.70697142719450357</v>
      </c>
      <c r="G187" s="121">
        <f>(VLOOKUP($A187,Hitters!$A1:$R401,5,FALSE)-AVERAGE(Rankings!N2:N651))/STDEV(Rankings!N2:N651)</f>
        <v>-0.64687129300748192</v>
      </c>
      <c r="H187" s="121">
        <f>(VLOOKUP($A187,Hitters!$A1:$R401,6,FALSE)-AVERAGE(Rankings!O2:O651))/STDEV(Rankings!O2:O651)</f>
        <v>0.42644076513306917</v>
      </c>
      <c r="I187" s="121">
        <f>(VLOOKUP($A187,Hitters!$A1:$R401,7,FALSE)-AVERAGE(Rankings!P2:P651))/STDEV(Rankings!P2:P651)</f>
        <v>-0.33634147904945305</v>
      </c>
      <c r="J187" s="121">
        <f>(VLOOKUP($A187,Hitters!$A1:$R401,8,FALSE)-AVERAGE(Rankings!Q2:Q651))/STDEV(Rankings!Q2:Q651)</f>
        <v>-0.9020338465376091</v>
      </c>
      <c r="K187" s="121">
        <f>(VLOOKUP($A187,Hitters!$A1:$R401,9,FALSE)-AVERAGE(Rankings!R2:R651))/STDEV(Rankings!R2:R651)</f>
        <v>-2.7945378049711418</v>
      </c>
      <c r="L187" s="121">
        <f>(VLOOKUP($A187,Hitters!$A1:$R401,10,FALSE)-AVERAGE(Rankings!S2:S651))/STDEV(Rankings!S2:S651)</f>
        <v>-2.5730991491859809</v>
      </c>
      <c r="M187" s="121">
        <f>(VLOOKUP($A187,Hitters!$A1:$R401,11,FALSE)-AVERAGE(Rankings!T2:T651))/STDEV(Rankings!T2:T651)</f>
        <v>-1.1048573900198553</v>
      </c>
      <c r="N187" s="121">
        <f>(VLOOKUP($A187,Hitters!$A1:$R401,12,FALSE)-AVERAGE(Rankings!U2:U651))/STDEV(Rankings!U2:U651)</f>
        <v>-1.110785741322257</v>
      </c>
      <c r="O187" s="121">
        <f>(VLOOKUP($A187,Hitters!$A1:$R401,13,FALSE)-AVERAGE(Rankings!V2:V651))/STDEV(Rankings!V2:V651)</f>
        <v>-0.5903871328757041</v>
      </c>
      <c r="P187" s="121">
        <f>(VLOOKUP($A187,Hitters!$A1:$R401,14,FALSE)-AVERAGE(Rankings!W2:W651))/STDEV(Rankings!W2:W651)</f>
        <v>-0.74333772483211846</v>
      </c>
      <c r="Q187" s="121">
        <f>(VLOOKUP($A187,Hitters!$A1:$R401,15,FALSE)-AVERAGE(Rankings!X2:X651))/STDEV(Rankings!X2:X651)</f>
        <v>0.52077629570944117</v>
      </c>
      <c r="R187" s="121">
        <f>(VLOOKUP($A187,Hitters!$A1:$R401,16,FALSE)-AVERAGE(Rankings!Y2:Y651))/STDEV(Rankings!Y2:Y651)</f>
        <v>1.82475629657077E-2</v>
      </c>
      <c r="S187" s="121">
        <f>(VLOOKUP($A187,Hitters!$A1:$R401,17,FALSE)-AVERAGE(Rankings!Z2:Z651))/STDEV(Rankings!Z2:Z651)</f>
        <v>-0.99671977208202478</v>
      </c>
      <c r="T187" s="121">
        <f>IFERROR((VLOOKUP($A187,Hitters!$A1:$R401,18,FALSE)-AVERAGE(Rankings!AA2:AA651))/STDEV(Rankings!AA2:AA651),0)</f>
        <v>0</v>
      </c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</row>
    <row r="188" spans="1:37" ht="18.600000000000001" customHeight="1">
      <c r="A188" s="25" t="s">
        <v>620</v>
      </c>
      <c r="B188" s="26" t="s">
        <v>103</v>
      </c>
      <c r="C188" s="124" t="s">
        <v>19</v>
      </c>
      <c r="D188" s="67">
        <f>(F188*Settings!$C$2)+(G188*Settings!$C$3)+(H188*Settings!$C$4)+(I188*Settings!$C$5)+(J188*Settings!$C$6)+(M188*Settings!$C$9)+(N188*Settings!$C$10)+(O188*Settings!$C$11)+(P188*Settings!$C$12)+(Q188*Settings!$C$13)+(T188*Settings!$C$16)+(K188*Settings!$C$7)+(L188*Settings!$C$8)+(R188*Settings!$C$14)+(S188*Settings!$C$15)</f>
        <v>-4.1472729834169062</v>
      </c>
      <c r="E188" s="67"/>
      <c r="F188" s="121">
        <f>(VLOOKUP($A188,Hitters!$A1:$R401,4,FALSE)-AVERAGE(Rankings!M2:M651))/STDEV(Rankings!M2:M651)</f>
        <v>-0.91330081659505813</v>
      </c>
      <c r="G188" s="121">
        <f>(VLOOKUP($A188,Hitters!$A1:$R401,5,FALSE)-AVERAGE(Rankings!N2:N651))/STDEV(Rankings!N2:N651)</f>
        <v>-1.015711749990835</v>
      </c>
      <c r="H188" s="121">
        <f>(VLOOKUP($A188,Hitters!$A1:$R401,6,FALSE)-AVERAGE(Rankings!O2:O651))/STDEV(Rankings!O2:O651)</f>
        <v>-0.92691013793991028</v>
      </c>
      <c r="I188" s="121">
        <f>(VLOOKUP($A188,Hitters!$A1:$R401,7,FALSE)-AVERAGE(Rankings!P2:P651))/STDEV(Rankings!P2:P651)</f>
        <v>-0.91132890874659633</v>
      </c>
      <c r="J188" s="121">
        <f>(VLOOKUP($A188,Hitters!$A1:$R401,8,FALSE)-AVERAGE(Rankings!Q2:Q651))/STDEV(Rankings!Q2:Q651)</f>
        <v>-0.91207343334717905</v>
      </c>
      <c r="K188" s="121">
        <f>(VLOOKUP($A188,Hitters!$A1:$R401,9,FALSE)-AVERAGE(Rankings!R2:R651))/STDEV(Rankings!R2:R651)</f>
        <v>-0.38124875339238523</v>
      </c>
      <c r="L188" s="121">
        <f>(VLOOKUP($A188,Hitters!$A1:$R401,10,FALSE)-AVERAGE(Rankings!S2:S651))/STDEV(Rankings!S2:S651)</f>
        <v>-1.5968940023061715</v>
      </c>
      <c r="M188" s="121">
        <f>(VLOOKUP($A188,Hitters!$A1:$R401,11,FALSE)-AVERAGE(Rankings!T2:T651))/STDEV(Rankings!T2:T651)</f>
        <v>-0.88648508833666839</v>
      </c>
      <c r="N188" s="121">
        <f>(VLOOKUP($A188,Hitters!$A1:$R401,12,FALSE)-AVERAGE(Rankings!U2:U651))/STDEV(Rankings!U2:U651)</f>
        <v>-0.42197406092055167</v>
      </c>
      <c r="O188" s="121">
        <f>(VLOOKUP($A188,Hitters!$A1:$R401,13,FALSE)-AVERAGE(Rankings!V2:V651))/STDEV(Rankings!V2:V651)</f>
        <v>-0.5903871328757041</v>
      </c>
      <c r="P188" s="121">
        <f>(VLOOKUP($A188,Hitters!$A1:$R401,14,FALSE)-AVERAGE(Rankings!W2:W651))/STDEV(Rankings!W2:W651)</f>
        <v>-1.3489008144195258</v>
      </c>
      <c r="Q188" s="121">
        <f>(VLOOKUP($A188,Hitters!$A1:$R401,15,FALSE)-AVERAGE(Rankings!X2:X651))/STDEV(Rankings!X2:X651)</f>
        <v>-1.0484590055359122</v>
      </c>
      <c r="R188" s="121">
        <f>(VLOOKUP($A188,Hitters!$A1:$R401,16,FALSE)-AVERAGE(Rankings!Y2:Y651))/STDEV(Rankings!Y2:Y651)</f>
        <v>-0.66925573813941486</v>
      </c>
      <c r="S188" s="121">
        <f>(VLOOKUP($A188,Hitters!$A1:$R401,17,FALSE)-AVERAGE(Rankings!Z2:Z651))/STDEV(Rankings!Z2:Z651)</f>
        <v>-1.1139756675534904</v>
      </c>
      <c r="T188" s="121">
        <f>IFERROR((VLOOKUP($A188,Hitters!$A1:$R401,18,FALSE)-AVERAGE(Rankings!AA2:AA651))/STDEV(Rankings!AA2:AA651),0)</f>
        <v>0</v>
      </c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</row>
    <row r="189" spans="1:37" ht="18.600000000000001" customHeight="1">
      <c r="A189" s="25" t="s">
        <v>625</v>
      </c>
      <c r="B189" s="26" t="s">
        <v>105</v>
      </c>
      <c r="C189" s="124" t="s">
        <v>19</v>
      </c>
      <c r="D189" s="67">
        <f>(F189*Settings!$C$2)+(G189*Settings!$C$3)+(H189*Settings!$C$4)+(I189*Settings!$C$5)+(J189*Settings!$C$6)+(M189*Settings!$C$9)+(N189*Settings!$C$10)+(O189*Settings!$C$11)+(P189*Settings!$C$12)+(Q189*Settings!$C$13)+(T189*Settings!$C$16)+(K189*Settings!$C$7)+(L189*Settings!$C$8)+(R189*Settings!$C$14)+(S189*Settings!$C$15)</f>
        <v>-4.2002815040409454</v>
      </c>
      <c r="E189" s="67"/>
      <c r="F189" s="121">
        <f>(VLOOKUP($A189,Hitters!$A1:$R401,4,FALSE)-AVERAGE(Rankings!M2:M651))/STDEV(Rankings!M2:M651)</f>
        <v>-0.8114420041061795</v>
      </c>
      <c r="G189" s="121">
        <f>(VLOOKUP($A189,Hitters!$A1:$R401,5,FALSE)-AVERAGE(Rankings!N2:N651))/STDEV(Rankings!N2:N651)</f>
        <v>-1.0066045782134685</v>
      </c>
      <c r="H189" s="121">
        <f>(VLOOKUP($A189,Hitters!$A1:$R401,6,FALSE)-AVERAGE(Rankings!O2:O651))/STDEV(Rankings!O2:O651)</f>
        <v>-1.2151237561869344</v>
      </c>
      <c r="I189" s="121">
        <f>(VLOOKUP($A189,Hitters!$A1:$R401,7,FALSE)-AVERAGE(Rankings!P2:P651))/STDEV(Rankings!P2:P651)</f>
        <v>-1.1749290440769229</v>
      </c>
      <c r="J189" s="121">
        <f>(VLOOKUP($A189,Hitters!$A1:$R401,8,FALSE)-AVERAGE(Rankings!Q2:Q651))/STDEV(Rankings!Q2:Q651)</f>
        <v>-0.69622231694142744</v>
      </c>
      <c r="K189" s="121">
        <f>(VLOOKUP($A189,Hitters!$A1:$R401,9,FALSE)-AVERAGE(Rankings!R2:R651))/STDEV(Rankings!R2:R651)</f>
        <v>-0.10740180862219144</v>
      </c>
      <c r="L189" s="121">
        <f>(VLOOKUP($A189,Hitters!$A1:$R401,10,FALSE)-AVERAGE(Rankings!S2:S651))/STDEV(Rankings!S2:S651)</f>
        <v>-0.96175690781633172</v>
      </c>
      <c r="M189" s="121">
        <f>(VLOOKUP($A189,Hitters!$A1:$R401,11,FALSE)-AVERAGE(Rankings!T2:T651))/STDEV(Rankings!T2:T651)</f>
        <v>-0.75819136109779617</v>
      </c>
      <c r="N189" s="121">
        <f>(VLOOKUP($A189,Hitters!$A1:$R401,12,FALSE)-AVERAGE(Rankings!U2:U651))/STDEV(Rankings!U2:U651)</f>
        <v>-0.46874522440460958</v>
      </c>
      <c r="O189" s="121">
        <f>(VLOOKUP($A189,Hitters!$A1:$R401,13,FALSE)-AVERAGE(Rankings!V2:V651))/STDEV(Rankings!V2:V651)</f>
        <v>-0.50742200170275464</v>
      </c>
      <c r="P189" s="121">
        <f>(VLOOKUP($A189,Hitters!$A1:$R401,14,FALSE)-AVERAGE(Rankings!W2:W651))/STDEV(Rankings!W2:W651)</f>
        <v>-1.0888430458850584</v>
      </c>
      <c r="Q189" s="121">
        <f>(VLOOKUP($A189,Hitters!$A1:$R401,15,FALSE)-AVERAGE(Rankings!X2:X651))/STDEV(Rankings!X2:X651)</f>
        <v>-0.9061556800813646</v>
      </c>
      <c r="R189" s="121">
        <f>(VLOOKUP($A189,Hitters!$A1:$R401,16,FALSE)-AVERAGE(Rankings!Y2:Y651))/STDEV(Rankings!Y2:Y651)</f>
        <v>-1.2715116848817212</v>
      </c>
      <c r="S189" s="121">
        <f>(VLOOKUP($A189,Hitters!$A1:$R401,17,FALSE)-AVERAGE(Rankings!Z2:Z651))/STDEV(Rankings!Z2:Z651)</f>
        <v>-1.3030565702932648</v>
      </c>
      <c r="T189" s="121">
        <f>IFERROR((VLOOKUP($A189,Hitters!$A1:$R401,18,FALSE)-AVERAGE(Rankings!AA2:AA651))/STDEV(Rankings!AA2:AA651),0)</f>
        <v>0</v>
      </c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</row>
    <row r="190" spans="1:37" ht="18.600000000000001" customHeight="1">
      <c r="A190" s="25" t="s">
        <v>634</v>
      </c>
      <c r="B190" s="26" t="s">
        <v>97</v>
      </c>
      <c r="C190" s="124" t="s">
        <v>19</v>
      </c>
      <c r="D190" s="67">
        <f>(F190*Settings!$C$2)+(G190*Settings!$C$3)+(H190*Settings!$C$4)+(I190*Settings!$C$5)+(J190*Settings!$C$6)+(M190*Settings!$C$9)+(N190*Settings!$C$10)+(O190*Settings!$C$11)+(P190*Settings!$C$12)+(Q190*Settings!$C$13)+(T190*Settings!$C$16)+(K190*Settings!$C$7)+(L190*Settings!$C$8)+(R190*Settings!$C$14)+(S190*Settings!$C$15)</f>
        <v>-4.4230814214386704</v>
      </c>
      <c r="E190" s="67"/>
      <c r="F190" s="121">
        <f>(VLOOKUP($A190,Hitters!$A1:$R401,4,FALSE)-AVERAGE(Rankings!M2:M651))/STDEV(Rankings!M2:M651)</f>
        <v>-0.70958319161730099</v>
      </c>
      <c r="G190" s="121">
        <f>(VLOOKUP($A190,Hitters!$A1:$R401,5,FALSE)-AVERAGE(Rankings!N2:N651))/STDEV(Rankings!N2:N651)</f>
        <v>-0.90338996473664368</v>
      </c>
      <c r="H190" s="121">
        <f>(VLOOKUP($A190,Hitters!$A1:$R401,6,FALSE)-AVERAGE(Rankings!O2:O651))/STDEV(Rankings!O2:O651)</f>
        <v>-0.94361817378031709</v>
      </c>
      <c r="I190" s="121">
        <f>(VLOOKUP($A190,Hitters!$A1:$R401,7,FALSE)-AVERAGE(Rankings!P2:P651))/STDEV(Rankings!P2:P651)</f>
        <v>-0.92982716385749653</v>
      </c>
      <c r="J190" s="121">
        <f>(VLOOKUP($A190,Hitters!$A1:$R401,8,FALSE)-AVERAGE(Rankings!Q2:Q651))/STDEV(Rankings!Q2:Q651)</f>
        <v>-0.89701405313282423</v>
      </c>
      <c r="K190" s="121">
        <f>(VLOOKUP($A190,Hitters!$A1:$R401,9,FALSE)-AVERAGE(Rankings!R2:R651))/STDEV(Rankings!R2:R651)</f>
        <v>-0.74923206593138847</v>
      </c>
      <c r="L190" s="121">
        <f>(VLOOKUP($A190,Hitters!$A1:$R401,10,FALSE)-AVERAGE(Rankings!S2:S651))/STDEV(Rankings!S2:S651)</f>
        <v>-0.25625471787950155</v>
      </c>
      <c r="M190" s="121">
        <f>(VLOOKUP($A190,Hitters!$A1:$R401,11,FALSE)-AVERAGE(Rankings!T2:T651))/STDEV(Rankings!T2:T651)</f>
        <v>-0.774569283724035</v>
      </c>
      <c r="N190" s="121">
        <f>(VLOOKUP($A190,Hitters!$A1:$R401,12,FALSE)-AVERAGE(Rankings!U2:U651))/STDEV(Rankings!U2:U651)</f>
        <v>-0.83866260832404416</v>
      </c>
      <c r="O190" s="121">
        <f>(VLOOKUP($A190,Hitters!$A1:$R401,13,FALSE)-AVERAGE(Rankings!V2:V651))/STDEV(Rankings!V2:V651)</f>
        <v>-0.64569722032433818</v>
      </c>
      <c r="P190" s="121">
        <f>(VLOOKUP($A190,Hitters!$A1:$R401,14,FALSE)-AVERAGE(Rankings!W2:W651))/STDEV(Rankings!W2:W651)</f>
        <v>-0.31795751772930131</v>
      </c>
      <c r="Q190" s="121">
        <f>(VLOOKUP($A190,Hitters!$A1:$R401,15,FALSE)-AVERAGE(Rankings!X2:X651))/STDEV(Rankings!X2:X651)</f>
        <v>-0.76287767431548548</v>
      </c>
      <c r="R190" s="121">
        <f>(VLOOKUP($A190,Hitters!$A1:$R401,16,FALSE)-AVERAGE(Rankings!Y2:Y651))/STDEV(Rankings!Y2:Y651)</f>
        <v>-1.4277231638481711</v>
      </c>
      <c r="S190" s="121">
        <f>(VLOOKUP($A190,Hitters!$A1:$R401,17,FALSE)-AVERAGE(Rankings!Z2:Z651))/STDEV(Rankings!Z2:Z651)</f>
        <v>-1.1398379292423879</v>
      </c>
      <c r="T190" s="121">
        <f>IFERROR((VLOOKUP($A190,Hitters!$A1:$R401,18,FALSE)-AVERAGE(Rankings!AA2:AA651))/STDEV(Rankings!AA2:AA651),0)</f>
        <v>0</v>
      </c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</row>
    <row r="191" spans="1:37" ht="18.600000000000001" customHeight="1">
      <c r="A191" s="25" t="s">
        <v>655</v>
      </c>
      <c r="B191" s="26" t="s">
        <v>79</v>
      </c>
      <c r="C191" s="124" t="s">
        <v>19</v>
      </c>
      <c r="D191" s="67">
        <f>(F191*Settings!$C$2)+(G191*Settings!$C$3)+(H191*Settings!$C$4)+(I191*Settings!$C$5)+(J191*Settings!$C$6)+(M191*Settings!$C$9)+(N191*Settings!$C$10)+(O191*Settings!$C$11)+(P191*Settings!$C$12)+(Q191*Settings!$C$13)+(T191*Settings!$C$16)+(K191*Settings!$C$7)+(L191*Settings!$C$8)+(R191*Settings!$C$14)+(S191*Settings!$C$15)</f>
        <v>-4.7495435130066248</v>
      </c>
      <c r="E191" s="67"/>
      <c r="F191" s="121">
        <f>(VLOOKUP($A191,Hitters!$A1:$R401,4,FALSE)-AVERAGE(Rankings!M2:M651))/STDEV(Rankings!M2:M651)</f>
        <v>-0.33087735031249038</v>
      </c>
      <c r="G191" s="121">
        <f>(VLOOKUP($A191,Hitters!$A1:$R401,5,FALSE)-AVERAGE(Rankings!N2:N651))/STDEV(Rankings!N2:N651)</f>
        <v>-0.54972812738223342</v>
      </c>
      <c r="H191" s="121">
        <f>(VLOOKUP($A191,Hitters!$A1:$R401,6,FALSE)-AVERAGE(Rankings!O2:O651))/STDEV(Rankings!O2:O651)</f>
        <v>-0.18340254304178524</v>
      </c>
      <c r="I191" s="121">
        <f>(VLOOKUP($A191,Hitters!$A1:$R401,7,FALSE)-AVERAGE(Rankings!P2:P651))/STDEV(Rankings!P2:P651)</f>
        <v>-0.46737078608499388</v>
      </c>
      <c r="J191" s="121">
        <f>(VLOOKUP($A191,Hitters!$A1:$R401,8,FALSE)-AVERAGE(Rankings!Q2:Q651))/STDEV(Rankings!Q2:Q651)</f>
        <v>-0.81167756525148038</v>
      </c>
      <c r="K191" s="121">
        <f>(VLOOKUP($A191,Hitters!$A1:$R401,9,FALSE)-AVERAGE(Rankings!R2:R651))/STDEV(Rankings!R2:R651)</f>
        <v>-2.7373644912461321</v>
      </c>
      <c r="L191" s="121">
        <f>(VLOOKUP($A191,Hitters!$A1:$R401,10,FALSE)-AVERAGE(Rankings!S2:S651))/STDEV(Rankings!S2:S651)</f>
        <v>-2.0852559216040256</v>
      </c>
      <c r="M191" s="121">
        <f>(VLOOKUP($A191,Hitters!$A1:$R401,11,FALSE)-AVERAGE(Rankings!T2:T651))/STDEV(Rankings!T2:T651)</f>
        <v>-0.84190074340968246</v>
      </c>
      <c r="N191" s="121">
        <f>(VLOOKUP($A191,Hitters!$A1:$R401,12,FALSE)-AVERAGE(Rankings!U2:U651))/STDEV(Rankings!U2:U651)</f>
        <v>-0.96196840296385966</v>
      </c>
      <c r="O191" s="121">
        <f>(VLOOKUP($A191,Hitters!$A1:$R401,13,FALSE)-AVERAGE(Rankings!V2:V651))/STDEV(Rankings!V2:V651)</f>
        <v>-0.9222476575675117</v>
      </c>
      <c r="P191" s="121">
        <f>(VLOOKUP($A191,Hitters!$A1:$R401,14,FALSE)-AVERAGE(Rankings!W2:W651))/STDEV(Rankings!W2:W651)</f>
        <v>-0.23436752070036437</v>
      </c>
      <c r="Q191" s="121">
        <f>(VLOOKUP($A191,Hitters!$A1:$R401,15,FALSE)-AVERAGE(Rankings!X2:X651))/STDEV(Rankings!X2:X651)</f>
        <v>0.60070008123869723</v>
      </c>
      <c r="R191" s="121">
        <f>(VLOOKUP($A191,Hitters!$A1:$R401,16,FALSE)-AVERAGE(Rankings!Y2:Y651))/STDEV(Rankings!Y2:Y651)</f>
        <v>-1.6238017163688008</v>
      </c>
      <c r="S191" s="121">
        <f>(VLOOKUP($A191,Hitters!$A1:$R401,17,FALSE)-AVERAGE(Rankings!Z2:Z651))/STDEV(Rankings!Z2:Z651)</f>
        <v>-2.0004914528737818</v>
      </c>
      <c r="T191" s="121">
        <f>IFERROR((VLOOKUP($A191,Hitters!$A1:$R401,18,FALSE)-AVERAGE(Rankings!AA2:AA651))/STDEV(Rankings!AA2:AA651),0)</f>
        <v>0</v>
      </c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</row>
    <row r="192" spans="1:37" ht="18.600000000000001" customHeight="1">
      <c r="A192" s="25" t="s">
        <v>639</v>
      </c>
      <c r="B192" s="26" t="s">
        <v>105</v>
      </c>
      <c r="C192" s="124" t="s">
        <v>19</v>
      </c>
      <c r="D192" s="67">
        <f>(F192*Settings!$C$2)+(G192*Settings!$C$3)+(H192*Settings!$C$4)+(I192*Settings!$C$5)+(J192*Settings!$C$6)+(M192*Settings!$C$9)+(N192*Settings!$C$10)+(O192*Settings!$C$11)+(P192*Settings!$C$12)+(Q192*Settings!$C$13)+(T192*Settings!$C$16)+(K192*Settings!$C$7)+(L192*Settings!$C$8)+(R192*Settings!$C$14)+(S192*Settings!$C$15)</f>
        <v>-4.490121521074931</v>
      </c>
      <c r="E192" s="67"/>
      <c r="F192" s="121">
        <f>(VLOOKUP($A192,Hitters!$A1:$R401,4,FALSE)-AVERAGE(Rankings!M2:M651))/STDEV(Rankings!M2:M651)</f>
        <v>-1.3677478261608238</v>
      </c>
      <c r="G192" s="121">
        <f>(VLOOKUP($A192,Hitters!$A1:$R401,5,FALSE)-AVERAGE(Rankings!N2:N651))/STDEV(Rankings!N2:N651)</f>
        <v>-1.395177240714448</v>
      </c>
      <c r="H192" s="121">
        <f>(VLOOKUP($A192,Hitters!$A1:$R401,6,FALSE)-AVERAGE(Rankings!O2:O651))/STDEV(Rankings!O2:O651)</f>
        <v>-1.0522204067429641</v>
      </c>
      <c r="I192" s="121">
        <f>(VLOOKUP($A192,Hitters!$A1:$R401,7,FALSE)-AVERAGE(Rankings!P2:P651))/STDEV(Rankings!P2:P651)</f>
        <v>-1.1225173212627075</v>
      </c>
      <c r="J192" s="121">
        <f>(VLOOKUP($A192,Hitters!$A1:$R401,8,FALSE)-AVERAGE(Rankings!Q2:Q651))/STDEV(Rankings!Q2:Q651)</f>
        <v>-0.60084624225051264</v>
      </c>
      <c r="K192" s="121">
        <f>(VLOOKUP($A192,Hitters!$A1:$R401,9,FALSE)-AVERAGE(Rankings!R2:R651))/STDEV(Rankings!R2:R651)</f>
        <v>-0.31936031010429816</v>
      </c>
      <c r="L192" s="121">
        <f>(VLOOKUP($A192,Hitters!$A1:$R401,10,FALSE)-AVERAGE(Rankings!S2:S651))/STDEV(Rankings!S2:S651)</f>
        <v>-1.5649113228940086</v>
      </c>
      <c r="M192" s="121">
        <f>(VLOOKUP($A192,Hitters!$A1:$R401,11,FALSE)-AVERAGE(Rankings!T2:T651))/STDEV(Rankings!T2:T651)</f>
        <v>-1.2622674241498173</v>
      </c>
      <c r="N192" s="121">
        <f>(VLOOKUP($A192,Hitters!$A1:$R401,12,FALSE)-AVERAGE(Rankings!U2:U651))/STDEV(Rankings!U2:U651)</f>
        <v>-1.2128319161965802</v>
      </c>
      <c r="O192" s="121">
        <f>(VLOOKUP($A192,Hitters!$A1:$R401,13,FALSE)-AVERAGE(Rankings!V2:V651))/STDEV(Rankings!V2:V651)</f>
        <v>-1.2264531385350013</v>
      </c>
      <c r="P192" s="121">
        <f>(VLOOKUP($A192,Hitters!$A1:$R401,14,FALSE)-AVERAGE(Rankings!W2:W651))/STDEV(Rankings!W2:W651)</f>
        <v>-1.5086505865192743</v>
      </c>
      <c r="Q192" s="121">
        <f>(VLOOKUP($A192,Hitters!$A1:$R401,15,FALSE)-AVERAGE(Rankings!X2:X651))/STDEV(Rankings!X2:X651)</f>
        <v>-0.61667562761560868</v>
      </c>
      <c r="R192" s="121">
        <f>(VLOOKUP($A192,Hitters!$A1:$R401,16,FALSE)-AVERAGE(Rankings!Y2:Y651))/STDEV(Rankings!Y2:Y651)</f>
        <v>-0.90075242634595354</v>
      </c>
      <c r="S192" s="121">
        <f>(VLOOKUP($A192,Hitters!$A1:$R401,17,FALSE)-AVERAGE(Rankings!Z2:Z651))/STDEV(Rankings!Z2:Z651)</f>
        <v>-1.2699301254805058</v>
      </c>
      <c r="T192" s="121">
        <f>IFERROR((VLOOKUP($A192,Hitters!$A1:$R401,18,FALSE)-AVERAGE(Rankings!AA2:AA651))/STDEV(Rankings!AA2:AA651),0)</f>
        <v>0</v>
      </c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</row>
    <row r="193" spans="1:37" ht="18.600000000000001" customHeight="1">
      <c r="A193" s="25" t="s">
        <v>652</v>
      </c>
      <c r="B193" s="26" t="s">
        <v>99</v>
      </c>
      <c r="C193" s="124" t="s">
        <v>19</v>
      </c>
      <c r="D193" s="67">
        <f>(F193*Settings!$C$2)+(G193*Settings!$C$3)+(H193*Settings!$C$4)+(I193*Settings!$C$5)+(J193*Settings!$C$6)+(M193*Settings!$C$9)+(N193*Settings!$C$10)+(O193*Settings!$C$11)+(P193*Settings!$C$12)+(Q193*Settings!$C$13)+(T193*Settings!$C$16)+(K193*Settings!$C$7)+(L193*Settings!$C$8)+(R193*Settings!$C$14)+(S193*Settings!$C$15)</f>
        <v>-4.6944853670317261</v>
      </c>
      <c r="E193" s="67"/>
      <c r="F193" s="121">
        <f>(VLOOKUP($A193,Hitters!$A1:$R401,4,FALSE)-AVERAGE(Rankings!M2:M651))/STDEV(Rankings!M2:M651)</f>
        <v>-1.0151596290839364</v>
      </c>
      <c r="G193" s="121">
        <f>(VLOOKUP($A193,Hitters!$A1:$R401,5,FALSE)-AVERAGE(Rankings!N2:N651))/STDEV(Rankings!N2:N651)</f>
        <v>-1.105265605801605</v>
      </c>
      <c r="H193" s="121">
        <f>(VLOOKUP($A193,Hitters!$A1:$R401,6,FALSE)-AVERAGE(Rankings!O2:O651))/STDEV(Rankings!O2:O651)</f>
        <v>-0.8600779945782806</v>
      </c>
      <c r="I193" s="121">
        <f>(VLOOKUP($A193,Hitters!$A1:$R401,7,FALSE)-AVERAGE(Rankings!P2:P651))/STDEV(Rankings!P2:P651)</f>
        <v>-0.863541749710106</v>
      </c>
      <c r="J193" s="121">
        <f>(VLOOKUP($A193,Hitters!$A1:$R401,8,FALSE)-AVERAGE(Rankings!Q2:Q651))/STDEV(Rankings!Q2:Q651)</f>
        <v>-0.8066577718466954</v>
      </c>
      <c r="K193" s="121">
        <f>(VLOOKUP($A193,Hitters!$A1:$R401,9,FALSE)-AVERAGE(Rankings!R2:R651))/STDEV(Rankings!R2:R651)</f>
        <v>-1.0589422450950388</v>
      </c>
      <c r="L193" s="121">
        <f>(VLOOKUP($A193,Hitters!$A1:$R401,10,FALSE)-AVERAGE(Rankings!S2:S651))/STDEV(Rankings!S2:S651)</f>
        <v>-0.48482002617688535</v>
      </c>
      <c r="M193" s="121">
        <f>(VLOOKUP($A193,Hitters!$A1:$R401,11,FALSE)-AVERAGE(Rankings!T2:T651))/STDEV(Rankings!T2:T651)</f>
        <v>-1.0675521218156434</v>
      </c>
      <c r="N193" s="121">
        <f>(VLOOKUP($A193,Hitters!$A1:$R401,12,FALSE)-AVERAGE(Rankings!U2:U651))/STDEV(Rankings!U2:U651)</f>
        <v>-1.0725184257443847</v>
      </c>
      <c r="O193" s="121">
        <f>(VLOOKUP($A193,Hitters!$A1:$R401,13,FALSE)-AVERAGE(Rankings!V2:V651))/STDEV(Rankings!V2:V651)</f>
        <v>-1.254108182259319</v>
      </c>
      <c r="P193" s="121">
        <f>(VLOOKUP($A193,Hitters!$A1:$R401,14,FALSE)-AVERAGE(Rankings!W2:W651))/STDEV(Rankings!W2:W651)</f>
        <v>-0.54457928745219952</v>
      </c>
      <c r="Q193" s="121">
        <f>(VLOOKUP($A193,Hitters!$A1:$R401,15,FALSE)-AVERAGE(Rankings!X2:X651))/STDEV(Rankings!X2:X651)</f>
        <v>-0.85352294326940892</v>
      </c>
      <c r="R193" s="121">
        <f>(VLOOKUP($A193,Hitters!$A1:$R401,16,FALSE)-AVERAGE(Rankings!Y2:Y651))/STDEV(Rankings!Y2:Y651)</f>
        <v>-1.2735739842099525</v>
      </c>
      <c r="S193" s="121">
        <f>(VLOOKUP($A193,Hitters!$A1:$R401,17,FALSE)-AVERAGE(Rankings!Z2:Z651))/STDEV(Rankings!Z2:Z651)</f>
        <v>-1.117348719019849</v>
      </c>
      <c r="T193" s="121">
        <f>IFERROR((VLOOKUP($A193,Hitters!$A1:$R401,18,FALSE)-AVERAGE(Rankings!AA2:AA651))/STDEV(Rankings!AA2:AA651),0)</f>
        <v>0</v>
      </c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</row>
    <row r="194" spans="1:37" ht="18.600000000000001" customHeight="1">
      <c r="A194" s="25" t="s">
        <v>650</v>
      </c>
      <c r="B194" s="26" t="s">
        <v>72</v>
      </c>
      <c r="C194" s="124" t="s">
        <v>19</v>
      </c>
      <c r="D194" s="67">
        <f>(F194*Settings!$C$2)+(G194*Settings!$C$3)+(H194*Settings!$C$4)+(I194*Settings!$C$5)+(J194*Settings!$C$6)+(M194*Settings!$C$9)+(N194*Settings!$C$10)+(O194*Settings!$C$11)+(P194*Settings!$C$12)+(Q194*Settings!$C$13)+(T194*Settings!$C$16)+(K194*Settings!$C$7)+(L194*Settings!$C$8)+(R194*Settings!$C$14)+(S194*Settings!$C$15)</f>
        <v>-4.6551339276489943</v>
      </c>
      <c r="E194" s="67"/>
      <c r="F194" s="121">
        <f>(VLOOKUP($A194,Hitters!$A1:$R401,4,FALSE)-AVERAGE(Rankings!M2:M651))/STDEV(Rankings!M2:M651)</f>
        <v>-1.3625242973152378</v>
      </c>
      <c r="G194" s="121">
        <f>(VLOOKUP($A194,Hitters!$A1:$R401,5,FALSE)-AVERAGE(Rankings!N2:N651))/STDEV(Rankings!N2:N651)</f>
        <v>-1.1599086364658056</v>
      </c>
      <c r="H194" s="121">
        <f>(VLOOKUP($A194,Hitters!$A1:$R401,6,FALSE)-AVERAGE(Rankings!O2:O651))/STDEV(Rankings!O2:O651)</f>
        <v>-0.59274942113176576</v>
      </c>
      <c r="I194" s="121">
        <f>(VLOOKUP($A194,Hitters!$A1:$R401,7,FALSE)-AVERAGE(Rankings!P2:P651))/STDEV(Rankings!P2:P651)</f>
        <v>-1.0886038535593874</v>
      </c>
      <c r="J194" s="121">
        <f>(VLOOKUP($A194,Hitters!$A1:$R401,8,FALSE)-AVERAGE(Rankings!Q2:Q651))/STDEV(Rankings!Q2:Q651)</f>
        <v>-0.81167756525148038</v>
      </c>
      <c r="K194" s="121">
        <f>(VLOOKUP($A194,Hitters!$A1:$R401,9,FALSE)-AVERAGE(Rankings!R2:R651))/STDEV(Rankings!R2:R651)</f>
        <v>-1.0021944512405547</v>
      </c>
      <c r="L194" s="121">
        <f>(VLOOKUP($A194,Hitters!$A1:$R401,10,FALSE)-AVERAGE(Rankings!S2:S651))/STDEV(Rankings!S2:S651)</f>
        <v>-0.32602766542387057</v>
      </c>
      <c r="M194" s="121">
        <f>(VLOOKUP($A194,Hitters!$A1:$R401,11,FALSE)-AVERAGE(Rankings!T2:T651))/STDEV(Rankings!T2:T651)</f>
        <v>-1.3368779605582413</v>
      </c>
      <c r="N194" s="121">
        <f>(VLOOKUP($A194,Hitters!$A1:$R401,12,FALSE)-AVERAGE(Rankings!U2:U651))/STDEV(Rankings!U2:U651)</f>
        <v>-1.3573973306018761</v>
      </c>
      <c r="O194" s="121">
        <f>(VLOOKUP($A194,Hitters!$A1:$R401,13,FALSE)-AVERAGE(Rankings!V2:V651))/STDEV(Rankings!V2:V651)</f>
        <v>-0.97755774501614567</v>
      </c>
      <c r="P194" s="121">
        <f>(VLOOKUP($A194,Hitters!$A1:$R401,14,FALSE)-AVERAGE(Rankings!W2:W651))/STDEV(Rankings!W2:W651)</f>
        <v>-0.75819816874837032</v>
      </c>
      <c r="Q194" s="121">
        <f>(VLOOKUP($A194,Hitters!$A1:$R401,15,FALSE)-AVERAGE(Rankings!X2:X651))/STDEV(Rankings!X2:X651)</f>
        <v>-0.67418176598422774</v>
      </c>
      <c r="R194" s="121">
        <f>(VLOOKUP($A194,Hitters!$A1:$R401,16,FALSE)-AVERAGE(Rankings!Y2:Y651))/STDEV(Rankings!Y2:Y651)</f>
        <v>-8.3143925135094304E-2</v>
      </c>
      <c r="S194" s="121">
        <f>(VLOOKUP($A194,Hitters!$A1:$R401,17,FALSE)-AVERAGE(Rankings!Z2:Z651))/STDEV(Rankings!Z2:Z651)</f>
        <v>-0.18849475002841151</v>
      </c>
      <c r="T194" s="121">
        <f>IFERROR((VLOOKUP($A194,Hitters!$A1:$R401,18,FALSE)-AVERAGE(Rankings!AA2:AA651))/STDEV(Rankings!AA2:AA651),0)</f>
        <v>0</v>
      </c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</row>
    <row r="195" spans="1:37" ht="18.600000000000001" customHeight="1">
      <c r="A195" s="25" t="s">
        <v>651</v>
      </c>
      <c r="B195" s="26" t="s">
        <v>77</v>
      </c>
      <c r="C195" s="124" t="s">
        <v>19</v>
      </c>
      <c r="D195" s="67">
        <f>(F195*Settings!$C$2)+(G195*Settings!$C$3)+(H195*Settings!$C$4)+(I195*Settings!$C$5)+(J195*Settings!$C$6)+(M195*Settings!$C$9)+(N195*Settings!$C$10)+(O195*Settings!$C$11)+(P195*Settings!$C$12)+(Q195*Settings!$C$13)+(T195*Settings!$C$16)+(K195*Settings!$C$7)+(L195*Settings!$C$8)+(R195*Settings!$C$14)+(S195*Settings!$C$15)</f>
        <v>-4.6727361278490713</v>
      </c>
      <c r="E195" s="67"/>
      <c r="F195" s="121">
        <f>(VLOOKUP($A195,Hitters!$A1:$R401,4,FALSE)-AVERAGE(Rankings!M2:M651))/STDEV(Rankings!M2:M651)</f>
        <v>-1.3494654752012762</v>
      </c>
      <c r="G195" s="121">
        <f>(VLOOKUP($A195,Hitters!$A1:$R401,5,FALSE)-AVERAGE(Rankings!N2:N651))/STDEV(Rankings!N2:N651)</f>
        <v>-1.2099980812413227</v>
      </c>
      <c r="H195" s="121">
        <f>(VLOOKUP($A195,Hitters!$A1:$R401,6,FALSE)-AVERAGE(Rankings!O2:O651))/STDEV(Rankings!O2:O651)</f>
        <v>-0.84336995873787379</v>
      </c>
      <c r="I195" s="121">
        <f>(VLOOKUP($A195,Hitters!$A1:$R401,7,FALSE)-AVERAGE(Rankings!P2:P651))/STDEV(Rankings!P2:P651)</f>
        <v>-1.1271418850404324</v>
      </c>
      <c r="J195" s="121">
        <f>(VLOOKUP($A195,Hitters!$A1:$R401,8,FALSE)-AVERAGE(Rankings!Q2:Q651))/STDEV(Rankings!Q2:Q651)</f>
        <v>-0.4552722335117505</v>
      </c>
      <c r="K195" s="121">
        <f>(VLOOKUP($A195,Hitters!$A1:$R401,9,FALSE)-AVERAGE(Rankings!R2:R651))/STDEV(Rankings!R2:R651)</f>
        <v>-1.0369539693176912</v>
      </c>
      <c r="L195" s="121">
        <f>(VLOOKUP($A195,Hitters!$A1:$R401,10,FALSE)-AVERAGE(Rankings!S2:S651))/STDEV(Rankings!S2:S651)</f>
        <v>-0.32591589454478831</v>
      </c>
      <c r="M195" s="121">
        <f>(VLOOKUP($A195,Hitters!$A1:$R401,11,FALSE)-AVERAGE(Rankings!T2:T651))/STDEV(Rankings!T2:T651)</f>
        <v>-1.3305087684258132</v>
      </c>
      <c r="N195" s="121">
        <f>(VLOOKUP($A195,Hitters!$A1:$R401,12,FALSE)-AVERAGE(Rankings!U2:U651))/STDEV(Rankings!U2:U651)</f>
        <v>-1.2553511557275492</v>
      </c>
      <c r="O195" s="121">
        <f>(VLOOKUP($A195,Hitters!$A1:$R401,13,FALSE)-AVERAGE(Rankings!V2:V651))/STDEV(Rankings!V2:V651)</f>
        <v>-0.56273208915138628</v>
      </c>
      <c r="P195" s="121">
        <f>(VLOOKUP($A195,Hitters!$A1:$R401,14,FALSE)-AVERAGE(Rankings!W2:W651))/STDEV(Rankings!W2:W651)</f>
        <v>-0.73590750287398699</v>
      </c>
      <c r="Q195" s="121">
        <f>(VLOOKUP($A195,Hitters!$A1:$R401,15,FALSE)-AVERAGE(Rankings!X2:X651))/STDEV(Rankings!X2:X651)</f>
        <v>-0.9695099003179789</v>
      </c>
      <c r="R195" s="121">
        <f>(VLOOKUP($A195,Hitters!$A1:$R401,16,FALSE)-AVERAGE(Rankings!Y2:Y651))/STDEV(Rankings!Y2:Y651)</f>
        <v>-0.58751294576457602</v>
      </c>
      <c r="S195" s="121">
        <f>(VLOOKUP($A195,Hitters!$A1:$R401,17,FALSE)-AVERAGE(Rankings!Z2:Z651))/STDEV(Rankings!Z2:Z651)</f>
        <v>-0.55558539560061537</v>
      </c>
      <c r="T195" s="121">
        <f>IFERROR((VLOOKUP($A195,Hitters!$A1:$R401,18,FALSE)-AVERAGE(Rankings!AA2:AA651))/STDEV(Rankings!AA2:AA651),0)</f>
        <v>0</v>
      </c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</row>
    <row r="196" spans="1:37" ht="18.600000000000001" customHeight="1">
      <c r="A196" s="25" t="s">
        <v>671</v>
      </c>
      <c r="B196" s="26" t="s">
        <v>85</v>
      </c>
      <c r="C196" s="124" t="s">
        <v>19</v>
      </c>
      <c r="D196" s="67">
        <f>(F196*Settings!$C$2)+(G196*Settings!$C$3)+(H196*Settings!$C$4)+(I196*Settings!$C$5)+(J196*Settings!$C$6)+(M196*Settings!$C$9)+(N196*Settings!$C$10)+(O196*Settings!$C$11)+(P196*Settings!$C$12)+(Q196*Settings!$C$13)+(T196*Settings!$C$16)+(K196*Settings!$C$7)+(L196*Settings!$C$8)+(R196*Settings!$C$14)+(S196*Settings!$C$15)</f>
        <v>-5.0806545423948801</v>
      </c>
      <c r="E196" s="67"/>
      <c r="F196" s="121">
        <f>(VLOOKUP($A196,Hitters!$A1:$R401,4,FALSE)-AVERAGE(Rankings!M2:M651))/STDEV(Rankings!M2:M651)</f>
        <v>-0.91330081659505813</v>
      </c>
      <c r="G196" s="121">
        <f>(VLOOKUP($A196,Hitters!$A1:$R401,5,FALSE)-AVERAGE(Rankings!N2:N651))/STDEV(Rankings!N2:N651)</f>
        <v>-0.92464003221716784</v>
      </c>
      <c r="H196" s="121">
        <f>(VLOOKUP($A196,Hitters!$A1:$R401,6,FALSE)-AVERAGE(Rankings!O2:O651))/STDEV(Rankings!O2:O651)</f>
        <v>-0.56351035841105368</v>
      </c>
      <c r="I196" s="121">
        <f>(VLOOKUP($A196,Hitters!$A1:$R401,7,FALSE)-AVERAGE(Rankings!P2:P651))/STDEV(Rankings!P2:P651)</f>
        <v>-0.91132890874659633</v>
      </c>
      <c r="J196" s="121">
        <f>(VLOOKUP($A196,Hitters!$A1:$R401,8,FALSE)-AVERAGE(Rankings!Q2:Q651))/STDEV(Rankings!Q2:Q651)</f>
        <v>-0.92713281356153388</v>
      </c>
      <c r="K196" s="121">
        <f>(VLOOKUP($A196,Hitters!$A1:$R401,9,FALSE)-AVERAGE(Rankings!R2:R651))/STDEV(Rankings!R2:R651)</f>
        <v>-1.7540424294585288</v>
      </c>
      <c r="L196" s="121">
        <f>(VLOOKUP($A196,Hitters!$A1:$R401,10,FALSE)-AVERAGE(Rankings!S2:S651))/STDEV(Rankings!S2:S651)</f>
        <v>-1.0998206855401329</v>
      </c>
      <c r="M196" s="121">
        <f>(VLOOKUP($A196,Hitters!$A1:$R401,11,FALSE)-AVERAGE(Rankings!T2:T651))/STDEV(Rankings!T2:T651)</f>
        <v>-1.0893893519839619</v>
      </c>
      <c r="N196" s="121">
        <f>(VLOOKUP($A196,Hitters!$A1:$R401,12,FALSE)-AVERAGE(Rankings!U2:U651))/STDEV(Rankings!U2:U651)</f>
        <v>-1.170312676665606</v>
      </c>
      <c r="O196" s="121">
        <f>(VLOOKUP($A196,Hitters!$A1:$R401,13,FALSE)-AVERAGE(Rankings!V2:V651))/STDEV(Rankings!V2:V651)</f>
        <v>-0.5903871328757041</v>
      </c>
      <c r="P196" s="121">
        <f>(VLOOKUP($A196,Hitters!$A1:$R401,14,FALSE)-AVERAGE(Rankings!W2:W651))/STDEV(Rankings!W2:W651)</f>
        <v>-0.51114328864062453</v>
      </c>
      <c r="Q196" s="121">
        <f>(VLOOKUP($A196,Hitters!$A1:$R401,15,FALSE)-AVERAGE(Rankings!X2:X651))/STDEV(Rankings!X2:X651)</f>
        <v>-0.19463905280863192</v>
      </c>
      <c r="R196" s="121">
        <f>(VLOOKUP($A196,Hitters!$A1:$R401,16,FALSE)-AVERAGE(Rankings!Y2:Y651))/STDEV(Rankings!Y2:Y651)</f>
        <v>-1.0628567831022642</v>
      </c>
      <c r="S196" s="121">
        <f>(VLOOKUP($A196,Hitters!$A1:$R401,17,FALSE)-AVERAGE(Rankings!Z2:Z651))/STDEV(Rankings!Z2:Z651)</f>
        <v>-1.2053681861594452</v>
      </c>
      <c r="T196" s="121">
        <f>IFERROR((VLOOKUP($A196,Hitters!$A1:$R401,18,FALSE)-AVERAGE(Rankings!AA2:AA651))/STDEV(Rankings!AA2:AA651),0)</f>
        <v>0</v>
      </c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</row>
    <row r="197" spans="1:37" ht="18.600000000000001" customHeight="1">
      <c r="A197" s="25" t="s">
        <v>665</v>
      </c>
      <c r="B197" s="26" t="s">
        <v>101</v>
      </c>
      <c r="C197" s="124" t="s">
        <v>19</v>
      </c>
      <c r="D197" s="67">
        <f>(F197*Settings!$C$2)+(G197*Settings!$C$3)+(H197*Settings!$C$4)+(I197*Settings!$C$5)+(J197*Settings!$C$6)+(M197*Settings!$C$9)+(N197*Settings!$C$10)+(O197*Settings!$C$11)+(P197*Settings!$C$12)+(Q197*Settings!$C$13)+(T197*Settings!$C$16)+(K197*Settings!$C$7)+(L197*Settings!$C$8)+(R197*Settings!$C$14)+(S197*Settings!$C$15)</f>
        <v>-5.0183110501721115</v>
      </c>
      <c r="E197" s="67"/>
      <c r="F197" s="121">
        <f>(VLOOKUP($A197,Hitters!$A1:$R401,4,FALSE)-AVERAGE(Rankings!M2:M651))/STDEV(Rankings!M2:M651)</f>
        <v>-1.2763360713631098</v>
      </c>
      <c r="G197" s="121">
        <f>(VLOOKUP($A197,Hitters!$A1:$R401,5,FALSE)-AVERAGE(Rankings!N2:N651))/STDEV(Rankings!N2:N651)</f>
        <v>-1.2752661456457874</v>
      </c>
      <c r="H197" s="121">
        <f>(VLOOKUP($A197,Hitters!$A1:$R401,6,FALSE)-AVERAGE(Rankings!O2:O651))/STDEV(Rankings!O2:O651)</f>
        <v>-0.99791929026164006</v>
      </c>
      <c r="I197" s="121">
        <f>(VLOOKUP($A197,Hitters!$A1:$R401,7,FALSE)-AVERAGE(Rankings!P2:P651))/STDEV(Rankings!P2:P651)</f>
        <v>-1.1841781716323729</v>
      </c>
      <c r="J197" s="121">
        <f>(VLOOKUP($A197,Hitters!$A1:$R401,8,FALSE)-AVERAGE(Rankings!Q2:Q651))/STDEV(Rankings!Q2:Q651)</f>
        <v>-0.6661035565127178</v>
      </c>
      <c r="K197" s="121">
        <f>(VLOOKUP($A197,Hitters!$A1:$R401,9,FALSE)-AVERAGE(Rankings!R2:R651))/STDEV(Rankings!R2:R651)</f>
        <v>-0.89484388611959353</v>
      </c>
      <c r="L197" s="121">
        <f>(VLOOKUP($A197,Hitters!$A1:$R401,10,FALSE)-AVERAGE(Rankings!S2:S651))/STDEV(Rankings!S2:S651)</f>
        <v>-1.2535417825872759</v>
      </c>
      <c r="M197" s="121">
        <f>(VLOOKUP($A197,Hitters!$A1:$R401,11,FALSE)-AVERAGE(Rankings!T2:T651))/STDEV(Rankings!T2:T651)</f>
        <v>-1.2549883474270462</v>
      </c>
      <c r="N197" s="121">
        <f>(VLOOKUP($A197,Hitters!$A1:$R401,12,FALSE)-AVERAGE(Rankings!U2:U651))/STDEV(Rankings!U2:U651)</f>
        <v>-1.4594435054762027</v>
      </c>
      <c r="O197" s="121">
        <f>(VLOOKUP($A197,Hitters!$A1:$R401,13,FALSE)-AVERAGE(Rankings!V2:V651))/STDEV(Rankings!V2:V651)</f>
        <v>-0.97755774501614567</v>
      </c>
      <c r="P197" s="121">
        <f>(VLOOKUP($A197,Hitters!$A1:$R401,14,FALSE)-AVERAGE(Rankings!W2:W651))/STDEV(Rankings!W2:W651)</f>
        <v>-1.1464272660605466</v>
      </c>
      <c r="Q197" s="121">
        <f>(VLOOKUP($A197,Hitters!$A1:$R401,15,FALSE)-AVERAGE(Rankings!X2:X651))/STDEV(Rankings!X2:X651)</f>
        <v>-0.8778899510527236</v>
      </c>
      <c r="R197" s="121">
        <f>(VLOOKUP($A197,Hitters!$A1:$R401,16,FALSE)-AVERAGE(Rankings!Y2:Y651))/STDEV(Rankings!Y2:Y651)</f>
        <v>-1.3313848726903006</v>
      </c>
      <c r="S197" s="121">
        <f>(VLOOKUP($A197,Hitters!$A1:$R401,17,FALSE)-AVERAGE(Rankings!Z2:Z651))/STDEV(Rankings!Z2:Z651)</f>
        <v>-1.4611712458890669</v>
      </c>
      <c r="T197" s="121">
        <f>IFERROR((VLOOKUP($A197,Hitters!$A1:$R401,18,FALSE)-AVERAGE(Rankings!AA2:AA651))/STDEV(Rankings!AA2:AA651),0)</f>
        <v>0</v>
      </c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</row>
    <row r="198" spans="1:37" ht="18.600000000000001" customHeight="1">
      <c r="A198" s="25" t="s">
        <v>681</v>
      </c>
      <c r="B198" s="26" t="s">
        <v>160</v>
      </c>
      <c r="C198" s="124" t="s">
        <v>19</v>
      </c>
      <c r="D198" s="67">
        <f>(F198*Settings!$C$2)+(G198*Settings!$C$3)+(H198*Settings!$C$4)+(I198*Settings!$C$5)+(J198*Settings!$C$6)+(M198*Settings!$C$9)+(N198*Settings!$C$10)+(O198*Settings!$C$11)+(P198*Settings!$C$12)+(Q198*Settings!$C$13)+(T198*Settings!$C$16)+(K198*Settings!$C$7)+(L198*Settings!$C$8)+(R198*Settings!$C$14)+(S198*Settings!$C$15)</f>
        <v>-5.1927075651899193</v>
      </c>
      <c r="E198" s="67"/>
      <c r="F198" s="121">
        <f>(VLOOKUP($A198,Hitters!$A1:$R401,4,FALSE)-AVERAGE(Rankings!M2:M651))/STDEV(Rankings!M2:M651)</f>
        <v>-0.69913613392612828</v>
      </c>
      <c r="G198" s="121">
        <f>(VLOOKUP($A198,Hitters!$A1:$R401,5,FALSE)-AVERAGE(Rankings!N2:N651))/STDEV(Rankings!N2:N651)</f>
        <v>-1.0779440904695048</v>
      </c>
      <c r="H198" s="121">
        <f>(VLOOKUP($A198,Hitters!$A1:$R401,6,FALSE)-AVERAGE(Rankings!O2:O651))/STDEV(Rankings!O2:O651)</f>
        <v>-1.139937594905102</v>
      </c>
      <c r="I198" s="121">
        <f>(VLOOKUP($A198,Hitters!$A1:$R401,7,FALSE)-AVERAGE(Rankings!P2:P651))/STDEV(Rankings!P2:P651)</f>
        <v>-1.0469827795598623</v>
      </c>
      <c r="J198" s="121">
        <f>(VLOOKUP($A198,Hitters!$A1:$R401,8,FALSE)-AVERAGE(Rankings!Q2:Q651))/STDEV(Rankings!Q2:Q651)</f>
        <v>-0.89199425972803947</v>
      </c>
      <c r="K198" s="121">
        <f>(VLOOKUP($A198,Hitters!$A1:$R401,9,FALSE)-AVERAGE(Rankings!R2:R651))/STDEV(Rankings!R2:R651)</f>
        <v>-1.0358488405274102</v>
      </c>
      <c r="L198" s="121">
        <f>(VLOOKUP($A198,Hitters!$A1:$R401,10,FALSE)-AVERAGE(Rankings!S2:S651))/STDEV(Rankings!S2:S651)</f>
        <v>-0.90434639213080947</v>
      </c>
      <c r="M198" s="121">
        <f>(VLOOKUP($A198,Hitters!$A1:$R401,11,FALSE)-AVERAGE(Rankings!T2:T651))/STDEV(Rankings!T2:T651)</f>
        <v>-0.81278443651859289</v>
      </c>
      <c r="N198" s="121">
        <f>(VLOOKUP($A198,Hitters!$A1:$R401,12,FALSE)-AVERAGE(Rankings!U2:U651))/STDEV(Rankings!U2:U651)</f>
        <v>-0.85992222808953311</v>
      </c>
      <c r="O198" s="121">
        <f>(VLOOKUP($A198,Hitters!$A1:$R401,13,FALSE)-AVERAGE(Rankings!V2:V651))/STDEV(Rankings!V2:V651)</f>
        <v>-0.94990270129182863</v>
      </c>
      <c r="P198" s="121">
        <f>(VLOOKUP($A198,Hitters!$A1:$R401,14,FALSE)-AVERAGE(Rankings!W2:W651))/STDEV(Rankings!W2:W651)</f>
        <v>-0.57058506430564826</v>
      </c>
      <c r="Q198" s="121">
        <f>(VLOOKUP($A198,Hitters!$A1:$R401,15,FALSE)-AVERAGE(Rankings!X2:X651))/STDEV(Rankings!X2:X651)</f>
        <v>-0.40224595912245714</v>
      </c>
      <c r="R198" s="121">
        <f>(VLOOKUP($A198,Hitters!$A1:$R401,16,FALSE)-AVERAGE(Rankings!Y2:Y651))/STDEV(Rankings!Y2:Y651)</f>
        <v>-2.006994047435736</v>
      </c>
      <c r="S198" s="121">
        <f>(VLOOKUP($A198,Hitters!$A1:$R401,17,FALSE)-AVERAGE(Rankings!Z2:Z651))/STDEV(Rankings!Z2:Z651)</f>
        <v>-1.8158854777849283</v>
      </c>
      <c r="T198" s="121">
        <f>IFERROR((VLOOKUP($A198,Hitters!$A1:$R401,18,FALSE)-AVERAGE(Rankings!AA2:AA651))/STDEV(Rankings!AA2:AA651),0)</f>
        <v>0</v>
      </c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</row>
    <row r="199" spans="1:37" ht="18.600000000000001" customHeight="1">
      <c r="A199" s="25" t="s">
        <v>673</v>
      </c>
      <c r="B199" s="26" t="s">
        <v>82</v>
      </c>
      <c r="C199" s="124" t="s">
        <v>19</v>
      </c>
      <c r="D199" s="67">
        <f>(F199*Settings!$C$2)+(G199*Settings!$C$3)+(H199*Settings!$C$4)+(I199*Settings!$C$5)+(J199*Settings!$C$6)+(M199*Settings!$C$9)+(N199*Settings!$C$10)+(O199*Settings!$C$11)+(P199*Settings!$C$12)+(Q199*Settings!$C$13)+(T199*Settings!$C$16)+(K199*Settings!$C$7)+(L199*Settings!$C$8)+(R199*Settings!$C$14)+(S199*Settings!$C$15)</f>
        <v>-5.1209815221155113</v>
      </c>
      <c r="E199" s="67"/>
      <c r="F199" s="121">
        <f>(VLOOKUP($A199,Hitters!$A1:$R401,4,FALSE)-AVERAGE(Rankings!M2:M651))/STDEV(Rankings!M2:M651)</f>
        <v>-1.5636301578702057</v>
      </c>
      <c r="G199" s="121">
        <f>(VLOOKUP($A199,Hitters!$A1:$R401,5,FALSE)-AVERAGE(Rankings!N2:N651))/STDEV(Rankings!N2:N651)</f>
        <v>-1.1811587039463296</v>
      </c>
      <c r="H199" s="121">
        <f>(VLOOKUP($A199,Hitters!$A1:$R401,6,FALSE)-AVERAGE(Rankings!O2:O651))/STDEV(Rankings!O2:O651)</f>
        <v>-1.0020962992217426</v>
      </c>
      <c r="I199" s="121">
        <f>(VLOOKUP($A199,Hitters!$A1:$R401,7,FALSE)-AVERAGE(Rankings!P2:P651))/STDEV(Rankings!P2:P651)</f>
        <v>-1.2489220645205232</v>
      </c>
      <c r="J199" s="121">
        <f>(VLOOKUP($A199,Hitters!$A1:$R401,8,FALSE)-AVERAGE(Rankings!Q2:Q651))/STDEV(Rankings!Q2:Q651)</f>
        <v>-0.60084624225051264</v>
      </c>
      <c r="K199" s="121">
        <f>(VLOOKUP($A199,Hitters!$A1:$R401,9,FALSE)-AVERAGE(Rankings!R2:R651))/STDEV(Rankings!R2:R651)</f>
        <v>-1.0879582121764033</v>
      </c>
      <c r="L199" s="121">
        <f>(VLOOKUP($A199,Hitters!$A1:$R401,10,FALSE)-AVERAGE(Rankings!S2:S651))/STDEV(Rankings!S2:S651)</f>
        <v>-0.19252687655234987</v>
      </c>
      <c r="M199" s="121">
        <f>(VLOOKUP($A199,Hitters!$A1:$R401,11,FALSE)-AVERAGE(Rankings!T2:T651))/STDEV(Rankings!T2:T651)</f>
        <v>-1.5061164943627112</v>
      </c>
      <c r="N199" s="121">
        <f>(VLOOKUP($A199,Hitters!$A1:$R401,12,FALSE)-AVERAGE(Rankings!U2:U651))/STDEV(Rankings!U2:U651)</f>
        <v>-1.5402300605850443</v>
      </c>
      <c r="O199" s="121">
        <f>(VLOOKUP($A199,Hitters!$A1:$R401,13,FALSE)-AVERAGE(Rankings!V2:V651))/STDEV(Rankings!V2:V651)</f>
        <v>-1.281763225983636</v>
      </c>
      <c r="P199" s="121">
        <f>(VLOOKUP($A199,Hitters!$A1:$R401,14,FALSE)-AVERAGE(Rankings!W2:W651))/STDEV(Rankings!W2:W651)</f>
        <v>-0.83993061028777716</v>
      </c>
      <c r="Q199" s="121">
        <f>(VLOOKUP($A199,Hitters!$A1:$R401,15,FALSE)-AVERAGE(Rankings!X2:X651))/STDEV(Rankings!X2:X651)</f>
        <v>-1.4412551710029133</v>
      </c>
      <c r="R199" s="121">
        <f>(VLOOKUP($A199,Hitters!$A1:$R401,16,FALSE)-AVERAGE(Rankings!Y2:Y651))/STDEV(Rankings!Y2:Y651)</f>
        <v>-1.0303660318816557</v>
      </c>
      <c r="S199" s="121">
        <f>(VLOOKUP($A199,Hitters!$A1:$R401,17,FALSE)-AVERAGE(Rankings!Z2:Z651))/STDEV(Rankings!Z2:Z651)</f>
        <v>-0.82558359242602186</v>
      </c>
      <c r="T199" s="121">
        <f>IFERROR((VLOOKUP($A199,Hitters!$A1:$R401,18,FALSE)-AVERAGE(Rankings!AA2:AA651))/STDEV(Rankings!AA2:AA651),0)</f>
        <v>0</v>
      </c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</row>
    <row r="200" spans="1:37" ht="18.600000000000001" customHeight="1">
      <c r="A200" s="25" t="s">
        <v>684</v>
      </c>
      <c r="B200" s="26" t="s">
        <v>69</v>
      </c>
      <c r="C200" s="124" t="s">
        <v>19</v>
      </c>
      <c r="D200" s="67">
        <f>(F200*Settings!$C$2)+(G200*Settings!$C$3)+(H200*Settings!$C$4)+(I200*Settings!$C$5)+(J200*Settings!$C$6)+(M200*Settings!$C$9)+(N200*Settings!$C$10)+(O200*Settings!$C$11)+(P200*Settings!$C$12)+(Q200*Settings!$C$13)+(T200*Settings!$C$16)+(K200*Settings!$C$7)+(L200*Settings!$C$8)+(R200*Settings!$C$14)+(S200*Settings!$C$15)</f>
        <v>-5.264422642824039</v>
      </c>
      <c r="E200" s="67"/>
      <c r="F200" s="121">
        <f>(VLOOKUP($A200,Hitters!$A1:$R401,4,FALSE)-AVERAGE(Rankings!M2:M651))/STDEV(Rankings!M2:M651)</f>
        <v>-1.4722184030724916</v>
      </c>
      <c r="G200" s="121">
        <f>(VLOOKUP($A200,Hitters!$A1:$R401,5,FALSE)-AVERAGE(Rankings!N2:N651))/STDEV(Rankings!N2:N651)</f>
        <v>-1.3329449002357738</v>
      </c>
      <c r="H200" s="121">
        <f>(VLOOKUP($A200,Hitters!$A1:$R401,6,FALSE)-AVERAGE(Rankings!O2:O651))/STDEV(Rankings!O2:O651)</f>
        <v>-0.6386965196928861</v>
      </c>
      <c r="I200" s="121">
        <f>(VLOOKUP($A200,Hitters!$A1:$R401,7,FALSE)-AVERAGE(Rankings!P2:P651))/STDEV(Rankings!P2:P651)</f>
        <v>-1.0870623323001474</v>
      </c>
      <c r="J200" s="121">
        <f>(VLOOKUP($A200,Hitters!$A1:$R401,8,FALSE)-AVERAGE(Rankings!Q2:Q651))/STDEV(Rankings!Q2:Q651)</f>
        <v>-0.9020338465376091</v>
      </c>
      <c r="K200" s="121">
        <f>(VLOOKUP($A200,Hitters!$A1:$R401,9,FALSE)-AVERAGE(Rankings!R2:R651))/STDEV(Rankings!R2:R651)</f>
        <v>-1.3036850440576229</v>
      </c>
      <c r="L200" s="121">
        <f>(VLOOKUP($A200,Hitters!$A1:$R401,10,FALSE)-AVERAGE(Rankings!S2:S651))/STDEV(Rankings!S2:S651)</f>
        <v>-1.8746611263953838</v>
      </c>
      <c r="M200" s="121">
        <f>(VLOOKUP($A200,Hitters!$A1:$R401,11,FALSE)-AVERAGE(Rankings!T2:T651))/STDEV(Rankings!T2:T651)</f>
        <v>-1.4569827264839941</v>
      </c>
      <c r="N200" s="121">
        <f>(VLOOKUP($A200,Hitters!$A1:$R401,12,FALSE)-AVERAGE(Rankings!U2:U651))/STDEV(Rankings!U2:U651)</f>
        <v>-1.5019627450071718</v>
      </c>
      <c r="O200" s="121">
        <f>(VLOOKUP($A200,Hitters!$A1:$R401,13,FALSE)-AVERAGE(Rankings!V2:V651))/STDEV(Rankings!V2:V651)</f>
        <v>-1.254108182259319</v>
      </c>
      <c r="P200" s="121">
        <f>(VLOOKUP($A200,Hitters!$A1:$R401,14,FALSE)-AVERAGE(Rankings!W2:W651))/STDEV(Rankings!W2:W651)</f>
        <v>-1.3619037028462533</v>
      </c>
      <c r="Q200" s="121">
        <f>(VLOOKUP($A200,Hitters!$A1:$R401,15,FALSE)-AVERAGE(Rankings!X2:X651))/STDEV(Rankings!X2:X651)</f>
        <v>-1.2970024849257027</v>
      </c>
      <c r="R200" s="121">
        <f>(VLOOKUP($A200,Hitters!$A1:$R401,16,FALSE)-AVERAGE(Rankings!Y2:Y651))/STDEV(Rankings!Y2:Y651)</f>
        <v>-0.26281741346925602</v>
      </c>
      <c r="S200" s="121">
        <f>(VLOOKUP($A200,Hitters!$A1:$R401,17,FALSE)-AVERAGE(Rankings!Z2:Z651))/STDEV(Rankings!Z2:Z651)</f>
        <v>-0.92715591113529383</v>
      </c>
      <c r="T200" s="121">
        <f>IFERROR((VLOOKUP($A200,Hitters!$A1:$R401,18,FALSE)-AVERAGE(Rankings!AA2:AA651))/STDEV(Rankings!AA2:AA651),0)</f>
        <v>0</v>
      </c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</row>
    <row r="201" spans="1:37" ht="18.600000000000001" customHeight="1">
      <c r="A201" s="25" t="s">
        <v>688</v>
      </c>
      <c r="B201" s="26" t="s">
        <v>158</v>
      </c>
      <c r="C201" s="124" t="s">
        <v>19</v>
      </c>
      <c r="D201" s="67">
        <f>(F201*Settings!$C$2)+(G201*Settings!$C$3)+(H201*Settings!$C$4)+(I201*Settings!$C$5)+(J201*Settings!$C$6)+(M201*Settings!$C$9)+(N201*Settings!$C$10)+(O201*Settings!$C$11)+(P201*Settings!$C$12)+(Q201*Settings!$C$13)+(T201*Settings!$C$16)+(K201*Settings!$C$7)+(L201*Settings!$C$8)+(R201*Settings!$C$14)+(S201*Settings!$C$15)</f>
        <v>-5.504131789312158</v>
      </c>
      <c r="E201" s="67"/>
      <c r="F201" s="121">
        <f>(VLOOKUP($A201,Hitters!$A1:$R401,4,FALSE)-AVERAGE(Rankings!M2:M651))/STDEV(Rankings!M2:M651)</f>
        <v>-1.2867831290542742</v>
      </c>
      <c r="G201" s="121">
        <f>(VLOOKUP($A201,Hitters!$A1:$R401,5,FALSE)-AVERAGE(Rankings!N2:N651))/STDEV(Rankings!N2:N651)</f>
        <v>-1.2191052530186894</v>
      </c>
      <c r="H201" s="121">
        <f>(VLOOKUP($A201,Hitters!$A1:$R401,6,FALSE)-AVERAGE(Rankings!O2:O651))/STDEV(Rankings!O2:O651)</f>
        <v>-0.68464361825400499</v>
      </c>
      <c r="I201" s="121">
        <f>(VLOOKUP($A201,Hitters!$A1:$R401,7,FALSE)-AVERAGE(Rankings!P2:P651))/STDEV(Rankings!P2:P651)</f>
        <v>-1.0670225559300073</v>
      </c>
      <c r="J201" s="121">
        <f>(VLOOKUP($A201,Hitters!$A1:$R401,8,FALSE)-AVERAGE(Rankings!Q2:Q651))/STDEV(Rankings!Q2:Q651)</f>
        <v>-0.85183591248975987</v>
      </c>
      <c r="K201" s="121">
        <f>(VLOOKUP($A201,Hitters!$A1:$R401,9,FALSE)-AVERAGE(Rankings!R2:R651))/STDEV(Rankings!R2:R651)</f>
        <v>-1.6815244496196968</v>
      </c>
      <c r="L201" s="121">
        <f>(VLOOKUP($A201,Hitters!$A1:$R401,10,FALSE)-AVERAGE(Rankings!S2:S651))/STDEV(Rankings!S2:S651)</f>
        <v>-1.2277845143401949</v>
      </c>
      <c r="M201" s="121">
        <f>(VLOOKUP($A201,Hitters!$A1:$R401,11,FALSE)-AVERAGE(Rankings!T2:T651))/STDEV(Rankings!T2:T651)</f>
        <v>-1.35871519072656</v>
      </c>
      <c r="N201" s="121">
        <f>(VLOOKUP($A201,Hitters!$A1:$R401,12,FALSE)-AVERAGE(Rankings!U2:U651))/STDEV(Rankings!U2:U651)</f>
        <v>-1.3318857868832943</v>
      </c>
      <c r="O201" s="121">
        <f>(VLOOKUP($A201,Hitters!$A1:$R401,13,FALSE)-AVERAGE(Rankings!V2:V651))/STDEV(Rankings!V2:V651)</f>
        <v>-0.61804217660002114</v>
      </c>
      <c r="P201" s="121">
        <f>(VLOOKUP($A201,Hitters!$A1:$R401,14,FALSE)-AVERAGE(Rankings!W2:W651))/STDEV(Rankings!W2:W651)</f>
        <v>-0.86965149812028641</v>
      </c>
      <c r="Q201" s="121">
        <f>(VLOOKUP($A201,Hitters!$A1:$R401,15,FALSE)-AVERAGE(Rankings!X2:X651))/STDEV(Rankings!X2:X651)</f>
        <v>-0.71121961781486409</v>
      </c>
      <c r="R201" s="121">
        <f>(VLOOKUP($A201,Hitters!$A1:$R401,16,FALSE)-AVERAGE(Rankings!Y2:Y651))/STDEV(Rankings!Y2:Y651)</f>
        <v>-0.70062973447702781</v>
      </c>
      <c r="S201" s="121">
        <f>(VLOOKUP($A201,Hitters!$A1:$R401,17,FALSE)-AVERAGE(Rankings!Z2:Z651))/STDEV(Rankings!Z2:Z651)</f>
        <v>-0.99192885551977028</v>
      </c>
      <c r="T201" s="121">
        <f>IFERROR((VLOOKUP($A201,Hitters!$A1:$R401,18,FALSE)-AVERAGE(Rankings!AA2:AA651))/STDEV(Rankings!AA2:AA651),0)</f>
        <v>0</v>
      </c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</row>
    <row r="202" spans="1:37" ht="18.600000000000001" customHeight="1">
      <c r="A202" s="25" t="s">
        <v>690</v>
      </c>
      <c r="B202" s="26" t="s">
        <v>178</v>
      </c>
      <c r="C202" s="124" t="s">
        <v>19</v>
      </c>
      <c r="D202" s="67">
        <f>(F202*Settings!$C$2)+(G202*Settings!$C$3)+(H202*Settings!$C$4)+(I202*Settings!$C$5)+(J202*Settings!$C$6)+(M202*Settings!$C$9)+(N202*Settings!$C$10)+(O202*Settings!$C$11)+(P202*Settings!$C$12)+(Q202*Settings!$C$13)+(T202*Settings!$C$16)+(K202*Settings!$C$7)+(L202*Settings!$C$8)+(R202*Settings!$C$14)+(S202*Settings!$C$15)</f>
        <v>-5.5437503939554595</v>
      </c>
      <c r="E202" s="67"/>
      <c r="F202" s="121">
        <f>(VLOOKUP($A202,Hitters!$A1:$R401,4,FALSE)-AVERAGE(Rankings!M2:M651))/STDEV(Rankings!M2:M651)</f>
        <v>-1.3468537107784873</v>
      </c>
      <c r="G202" s="121">
        <f>(VLOOKUP($A202,Hitters!$A1:$R401,5,FALSE)-AVERAGE(Rankings!N2:N651))/STDEV(Rankings!N2:N651)</f>
        <v>-1.2707125597571041</v>
      </c>
      <c r="H202" s="121">
        <f>(VLOOKUP($A202,Hitters!$A1:$R401,6,FALSE)-AVERAGE(Rankings!O2:O651))/STDEV(Rankings!O2:O651)</f>
        <v>-0.8141308960171616</v>
      </c>
      <c r="I202" s="121">
        <f>(VLOOKUP($A202,Hitters!$A1:$R401,7,FALSE)-AVERAGE(Rankings!P2:P651))/STDEV(Rankings!P2:P651)</f>
        <v>-1.238131415705833</v>
      </c>
      <c r="J202" s="121">
        <f>(VLOOKUP($A202,Hitters!$A1:$R401,8,FALSE)-AVERAGE(Rankings!Q2:Q651))/STDEV(Rankings!Q2:Q651)</f>
        <v>-0.84681611908497489</v>
      </c>
      <c r="K202" s="121">
        <f>(VLOOKUP($A202,Hitters!$A1:$R401,9,FALSE)-AVERAGE(Rankings!R2:R651))/STDEV(Rankings!R2:R651)</f>
        <v>-1.3739594033903857</v>
      </c>
      <c r="L202" s="121">
        <f>(VLOOKUP($A202,Hitters!$A1:$R401,10,FALSE)-AVERAGE(Rankings!S2:S651))/STDEV(Rankings!S2:S651)</f>
        <v>-1.5798268733372662</v>
      </c>
      <c r="M202" s="121">
        <f>(VLOOKUP($A202,Hitters!$A1:$R401,11,FALSE)-AVERAGE(Rankings!T2:T651))/STDEV(Rankings!T2:T651)</f>
        <v>-1.3678140366300253</v>
      </c>
      <c r="N202" s="121">
        <f>(VLOOKUP($A202,Hitters!$A1:$R401,12,FALSE)-AVERAGE(Rankings!U2:U651))/STDEV(Rankings!U2:U651)</f>
        <v>-1.5657416043036261</v>
      </c>
      <c r="O202" s="121">
        <f>(VLOOKUP($A202,Hitters!$A1:$R401,13,FALSE)-AVERAGE(Rankings!V2:V651))/STDEV(Rankings!V2:V651)</f>
        <v>-0.53507704542706924</v>
      </c>
      <c r="P202" s="121">
        <f>(VLOOKUP($A202,Hitters!$A1:$R401,14,FALSE)-AVERAGE(Rankings!W2:W651))/STDEV(Rankings!W2:W651)</f>
        <v>-1.161287709976804</v>
      </c>
      <c r="Q202" s="121">
        <f>(VLOOKUP($A202,Hitters!$A1:$R401,15,FALSE)-AVERAGE(Rankings!X2:X651))/STDEV(Rankings!X2:X651)</f>
        <v>-1.2687367558970588</v>
      </c>
      <c r="R202" s="121">
        <f>(VLOOKUP($A202,Hitters!$A1:$R401,16,FALSE)-AVERAGE(Rankings!Y2:Y651))/STDEV(Rankings!Y2:Y651)</f>
        <v>-0.92983231233222929</v>
      </c>
      <c r="S202" s="121">
        <f>(VLOOKUP($A202,Hitters!$A1:$R401,17,FALSE)-AVERAGE(Rankings!Z2:Z651))/STDEV(Rankings!Z2:Z651)</f>
        <v>-1.2969523295265546</v>
      </c>
      <c r="T202" s="121">
        <f>IFERROR((VLOOKUP($A202,Hitters!$A1:$R401,18,FALSE)-AVERAGE(Rankings!AA2:AA651))/STDEV(Rankings!AA2:AA651),0)</f>
        <v>0</v>
      </c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</row>
    <row r="203" spans="1:37" ht="18.600000000000001" customHeight="1">
      <c r="A203" s="25" t="s">
        <v>701</v>
      </c>
      <c r="B203" s="26" t="s">
        <v>97</v>
      </c>
      <c r="C203" s="124" t="s">
        <v>19</v>
      </c>
      <c r="D203" s="67">
        <f>(F203*Settings!$C$2)+(G203*Settings!$C$3)+(H203*Settings!$C$4)+(I203*Settings!$C$5)+(J203*Settings!$C$6)+(M203*Settings!$C$9)+(N203*Settings!$C$10)+(O203*Settings!$C$11)+(P203*Settings!$C$12)+(Q203*Settings!$C$13)+(T203*Settings!$C$16)+(K203*Settings!$C$7)+(L203*Settings!$C$8)+(R203*Settings!$C$14)+(S203*Settings!$C$15)</f>
        <v>-5.8334964652865633</v>
      </c>
      <c r="E203" s="67"/>
      <c r="F203" s="121">
        <f>(VLOOKUP($A203,Hitters!$A1:$R401,4,FALSE)-AVERAGE(Rankings!M2:M651))/STDEV(Rankings!M2:M651)</f>
        <v>-1.3938654703887388</v>
      </c>
      <c r="G203" s="121">
        <f>(VLOOKUP($A203,Hitters!$A1:$R401,5,FALSE)-AVERAGE(Rankings!N2:N651))/STDEV(Rankings!N2:N651)</f>
        <v>-1.3936593787515552</v>
      </c>
      <c r="H203" s="121">
        <f>(VLOOKUP($A203,Hitters!$A1:$R401,6,FALSE)-AVERAGE(Rankings!O2:O651))/STDEV(Rankings!O2:O651)</f>
        <v>-1.3153719712293777</v>
      </c>
      <c r="I203" s="121">
        <f>(VLOOKUP($A203,Hitters!$A1:$R401,7,FALSE)-AVERAGE(Rankings!P2:P651))/STDEV(Rankings!P2:P651)</f>
        <v>-1.4076987542224142</v>
      </c>
      <c r="J203" s="121">
        <f>(VLOOKUP($A203,Hitters!$A1:$R401,8,FALSE)-AVERAGE(Rankings!Q2:Q651))/STDEV(Rankings!Q2:Q651)</f>
        <v>-0.84681611908497489</v>
      </c>
      <c r="K203" s="121">
        <f>(VLOOKUP($A203,Hitters!$A1:$R401,9,FALSE)-AVERAGE(Rankings!R2:R651))/STDEV(Rankings!R2:R651)</f>
        <v>-0.869950241998241</v>
      </c>
      <c r="L203" s="121">
        <f>(VLOOKUP($A203,Hitters!$A1:$R401,10,FALSE)-AVERAGE(Rankings!S2:S651))/STDEV(Rankings!S2:S651)</f>
        <v>-1.8329376780105258</v>
      </c>
      <c r="M203" s="121">
        <f>(VLOOKUP($A203,Hitters!$A1:$R401,11,FALSE)-AVERAGE(Rankings!T2:T651))/STDEV(Rankings!T2:T651)</f>
        <v>-1.3468866910520523</v>
      </c>
      <c r="N203" s="121">
        <f>(VLOOKUP($A203,Hitters!$A1:$R401,12,FALSE)-AVERAGE(Rankings!U2:U651))/STDEV(Rankings!U2:U651)</f>
        <v>-1.2936184713054217</v>
      </c>
      <c r="O203" s="121">
        <f>(VLOOKUP($A203,Hitters!$A1:$R401,13,FALSE)-AVERAGE(Rankings!V2:V651))/STDEV(Rankings!V2:V651)</f>
        <v>-0.94990270129182863</v>
      </c>
      <c r="P203" s="121">
        <f>(VLOOKUP($A203,Hitters!$A1:$R401,14,FALSE)-AVERAGE(Rankings!W2:W651))/STDEV(Rankings!W2:W651)</f>
        <v>-1.4473512553647203</v>
      </c>
      <c r="Q203" s="121">
        <f>(VLOOKUP($A203,Hitters!$A1:$R401,15,FALSE)-AVERAGE(Rankings!X2:X651))/STDEV(Rankings!X2:X651)</f>
        <v>-1.1371549138671699</v>
      </c>
      <c r="R203" s="121">
        <f>(VLOOKUP($A203,Hitters!$A1:$R401,16,FALSE)-AVERAGE(Rankings!Y2:Y651))/STDEV(Rankings!Y2:Y651)</f>
        <v>-1.804808006836909</v>
      </c>
      <c r="S203" s="121">
        <f>(VLOOKUP($A203,Hitters!$A1:$R401,17,FALSE)-AVERAGE(Rankings!Z2:Z651))/STDEV(Rankings!Z2:Z651)</f>
        <v>-2.0332065940680142</v>
      </c>
      <c r="T203" s="121">
        <f>IFERROR((VLOOKUP($A203,Hitters!$A1:$R401,18,FALSE)-AVERAGE(Rankings!AA2:AA651))/STDEV(Rankings!AA2:AA651),0)</f>
        <v>0</v>
      </c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</row>
    <row r="204" spans="1:37" ht="18.600000000000001" customHeight="1">
      <c r="A204" s="25" t="s">
        <v>704</v>
      </c>
      <c r="B204" s="26" t="s">
        <v>225</v>
      </c>
      <c r="C204" s="124" t="s">
        <v>19</v>
      </c>
      <c r="D204" s="67">
        <f>(F204*Settings!$C$2)+(G204*Settings!$C$3)+(H204*Settings!$C$4)+(I204*Settings!$C$5)+(J204*Settings!$C$6)+(M204*Settings!$C$9)+(N204*Settings!$C$10)+(O204*Settings!$C$11)+(P204*Settings!$C$12)+(Q204*Settings!$C$13)+(T204*Settings!$C$16)+(K204*Settings!$C$7)+(L204*Settings!$C$8)+(R204*Settings!$C$14)+(S204*Settings!$C$15)</f>
        <v>-5.8997476292715882</v>
      </c>
      <c r="E204" s="67"/>
      <c r="F204" s="121">
        <f>(VLOOKUP($A204,Hitters!$A1:$R401,4,FALSE)-AVERAGE(Rankings!M2:M651))/STDEV(Rankings!M2:M651)</f>
        <v>-1.4173713501938647</v>
      </c>
      <c r="G204" s="121">
        <f>(VLOOKUP($A204,Hitters!$A1:$R401,5,FALSE)-AVERAGE(Rankings!N2:N651))/STDEV(Rankings!N2:N651)</f>
        <v>-1.2661589738684207</v>
      </c>
      <c r="H204" s="121">
        <f>(VLOOKUP($A204,Hitters!$A1:$R401,6,FALSE)-AVERAGE(Rankings!O2:O651))/STDEV(Rankings!O2:O651)</f>
        <v>-0.88514004833889137</v>
      </c>
      <c r="I204" s="121">
        <f>(VLOOKUP($A204,Hitters!$A1:$R401,7,FALSE)-AVERAGE(Rankings!P2:P651))/STDEV(Rankings!P2:P651)</f>
        <v>-1.2088425117802382</v>
      </c>
      <c r="J204" s="121">
        <f>(VLOOKUP($A204,Hitters!$A1:$R401,8,FALSE)-AVERAGE(Rankings!Q2:Q651))/STDEV(Rankings!Q2:Q651)</f>
        <v>-0.84681611908497489</v>
      </c>
      <c r="K204" s="121">
        <f>(VLOOKUP($A204,Hitters!$A1:$R401,9,FALSE)-AVERAGE(Rankings!R2:R651))/STDEV(Rankings!R2:R651)</f>
        <v>-1.6927899761990626</v>
      </c>
      <c r="L204" s="121">
        <f>(VLOOKUP($A204,Hitters!$A1:$R401,10,FALSE)-AVERAGE(Rankings!S2:S651))/STDEV(Rankings!S2:S651)</f>
        <v>-0.27283255296442915</v>
      </c>
      <c r="M204" s="121">
        <f>(VLOOKUP($A204,Hitters!$A1:$R401,11,FALSE)-AVERAGE(Rankings!T2:T651))/STDEV(Rankings!T2:T651)</f>
        <v>-1.4578926110743398</v>
      </c>
      <c r="N204" s="121">
        <f>(VLOOKUP($A204,Hitters!$A1:$R401,12,FALSE)-AVERAGE(Rankings!U2:U651))/STDEV(Rankings!U2:U651)</f>
        <v>-1.3914127222266519</v>
      </c>
      <c r="O204" s="121">
        <f>(VLOOKUP($A204,Hitters!$A1:$R401,13,FALSE)-AVERAGE(Rankings!V2:V651))/STDEV(Rankings!V2:V651)</f>
        <v>-1.254108182259319</v>
      </c>
      <c r="P204" s="121">
        <f>(VLOOKUP($A204,Hitters!$A1:$R401,14,FALSE)-AVERAGE(Rankings!W2:W651))/STDEV(Rankings!W2:W651)</f>
        <v>-0.55200950941032523</v>
      </c>
      <c r="Q204" s="121">
        <f>(VLOOKUP($A204,Hitters!$A1:$R401,15,FALSE)-AVERAGE(Rankings!X2:X651))/STDEV(Rankings!X2:X651)</f>
        <v>-0.76092831369282221</v>
      </c>
      <c r="R204" s="121">
        <f>(VLOOKUP($A204,Hitters!$A1:$R401,16,FALSE)-AVERAGE(Rankings!Y2:Y651))/STDEV(Rankings!Y2:Y651)</f>
        <v>-1.1555954640947894</v>
      </c>
      <c r="S204" s="121">
        <f>(VLOOKUP($A204,Hitters!$A1:$R401,17,FALSE)-AVERAGE(Rankings!Z2:Z651))/STDEV(Rankings!Z2:Z651)</f>
        <v>-0.94826104487494978</v>
      </c>
      <c r="T204" s="121">
        <f>IFERROR((VLOOKUP($A204,Hitters!$A1:$R401,18,FALSE)-AVERAGE(Rankings!AA2:AA651))/STDEV(Rankings!AA2:AA651),0)</f>
        <v>0</v>
      </c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</row>
    <row r="205" spans="1:37" ht="18.600000000000001" customHeight="1">
      <c r="A205" s="25" t="s">
        <v>708</v>
      </c>
      <c r="B205" s="26" t="s">
        <v>116</v>
      </c>
      <c r="C205" s="124" t="s">
        <v>19</v>
      </c>
      <c r="D205" s="67">
        <f>(F205*Settings!$C$2)+(G205*Settings!$C$3)+(H205*Settings!$C$4)+(I205*Settings!$C$5)+(J205*Settings!$C$6)+(M205*Settings!$C$9)+(N205*Settings!$C$10)+(O205*Settings!$C$11)+(P205*Settings!$C$12)+(Q205*Settings!$C$13)+(T205*Settings!$C$16)+(K205*Settings!$C$7)+(L205*Settings!$C$8)+(R205*Settings!$C$14)+(S205*Settings!$C$15)</f>
        <v>-6.0915596417547562</v>
      </c>
      <c r="E205" s="67"/>
      <c r="F205" s="121">
        <f>(VLOOKUP($A205,Hitters!$A1:$R401,4,FALSE)-AVERAGE(Rankings!M2:M651))/STDEV(Rankings!M2:M651)</f>
        <v>-1.511394869414368</v>
      </c>
      <c r="G205" s="121">
        <f>(VLOOKUP($A205,Hitters!$A1:$R401,5,FALSE)-AVERAGE(Rankings!N2:N651))/STDEV(Rankings!N2:N651)</f>
        <v>-1.3344627621986713</v>
      </c>
      <c r="H205" s="121">
        <f>(VLOOKUP($A205,Hitters!$A1:$R401,6,FALSE)-AVERAGE(Rankings!O2:O651))/STDEV(Rankings!O2:O651)</f>
        <v>-1.0814594694636763</v>
      </c>
      <c r="I205" s="121">
        <f>(VLOOKUP($A205,Hitters!$A1:$R401,7,FALSE)-AVERAGE(Rankings!P2:P651))/STDEV(Rankings!P2:P651)</f>
        <v>-1.3152074786679138</v>
      </c>
      <c r="J205" s="121">
        <f>(VLOOKUP($A205,Hitters!$A1:$R401,8,FALSE)-AVERAGE(Rankings!Q2:Q651))/STDEV(Rankings!Q2:Q651)</f>
        <v>-0.9221130201567489</v>
      </c>
      <c r="K205" s="121">
        <f>(VLOOKUP($A205,Hitters!$A1:$R401,9,FALSE)-AVERAGE(Rankings!R2:R651))/STDEV(Rankings!R2:R651)</f>
        <v>-1.4383169112677459</v>
      </c>
      <c r="L205" s="121">
        <f>(VLOOKUP($A205,Hitters!$A1:$R401,10,FALSE)-AVERAGE(Rankings!S2:S651))/STDEV(Rankings!S2:S651)</f>
        <v>-1.0792697263980042</v>
      </c>
      <c r="M205" s="121">
        <f>(VLOOKUP($A205,Hitters!$A1:$R401,11,FALSE)-AVERAGE(Rankings!T2:T651))/STDEV(Rankings!T2:T651)</f>
        <v>-1.5015670714109772</v>
      </c>
      <c r="N205" s="121">
        <f>(VLOOKUP($A205,Hitters!$A1:$R401,12,FALSE)-AVERAGE(Rankings!U2:U651))/STDEV(Rankings!U2:U651)</f>
        <v>-1.1277934371346408</v>
      </c>
      <c r="O205" s="121">
        <f>(VLOOKUP($A205,Hitters!$A1:$R401,13,FALSE)-AVERAGE(Rankings!V2:V651))/STDEV(Rankings!V2:V651)</f>
        <v>-1.3094182697079535</v>
      </c>
      <c r="P205" s="121">
        <f>(VLOOKUP($A205,Hitters!$A1:$R401,14,FALSE)-AVERAGE(Rankings!W2:W651))/STDEV(Rankings!W2:W651)</f>
        <v>-1.0405466031572264</v>
      </c>
      <c r="Q205" s="121">
        <f>(VLOOKUP($A205,Hitters!$A1:$R401,15,FALSE)-AVERAGE(Rankings!X2:X651))/STDEV(Rankings!X2:X651)</f>
        <v>-0.56794161204898508</v>
      </c>
      <c r="R205" s="121">
        <f>(VLOOKUP($A205,Hitters!$A1:$R401,16,FALSE)-AVERAGE(Rankings!Y2:Y651))/STDEV(Rankings!Y2:Y651)</f>
        <v>-1.1547132095169168</v>
      </c>
      <c r="S205" s="121">
        <f>(VLOOKUP($A205,Hitters!$A1:$R401,17,FALSE)-AVERAGE(Rankings!Z2:Z651))/STDEV(Rankings!Z2:Z651)</f>
        <v>-1.2641645255911667</v>
      </c>
      <c r="T205" s="121">
        <f>IFERROR((VLOOKUP($A205,Hitters!$A1:$R401,18,FALSE)-AVERAGE(Rankings!AA2:AA651))/STDEV(Rankings!AA2:AA651),0)</f>
        <v>0</v>
      </c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</row>
    <row r="206" spans="1:37" ht="18.600000000000001" customHeight="1">
      <c r="A206" s="25" t="s">
        <v>705</v>
      </c>
      <c r="B206" s="26" t="s">
        <v>105</v>
      </c>
      <c r="C206" s="124" t="s">
        <v>19</v>
      </c>
      <c r="D206" s="67">
        <f>(F206*Settings!$C$2)+(G206*Settings!$C$3)+(H206*Settings!$C$4)+(I206*Settings!$C$5)+(J206*Settings!$C$6)+(M206*Settings!$C$9)+(N206*Settings!$C$10)+(O206*Settings!$C$11)+(P206*Settings!$C$12)+(Q206*Settings!$C$13)+(T206*Settings!$C$16)+(K206*Settings!$C$7)+(L206*Settings!$C$8)+(R206*Settings!$C$14)+(S206*Settings!$C$15)</f>
        <v>-5.9917561162269788</v>
      </c>
      <c r="E206" s="67"/>
      <c r="F206" s="121">
        <f>(VLOOKUP($A206,Hitters!$A1:$R401,4,FALSE)-AVERAGE(Rankings!M2:M651))/STDEV(Rankings!M2:M651)</f>
        <v>-2.1408300953071793</v>
      </c>
      <c r="G206" s="121">
        <f>(VLOOKUP($A206,Hitters!$A1:$R401,5,FALSE)-AVERAGE(Rankings!N2:N651))/STDEV(Rankings!N2:N651)</f>
        <v>-1.7458033541430678</v>
      </c>
      <c r="H206" s="121">
        <f>(VLOOKUP($A206,Hitters!$A1:$R401,6,FALSE)-AVERAGE(Rankings!O2:O651))/STDEV(Rankings!O2:O651)</f>
        <v>-1.2861329085086641</v>
      </c>
      <c r="I206" s="121">
        <f>(VLOOKUP($A206,Hitters!$A1:$R401,7,FALSE)-AVERAGE(Rankings!P2:P651))/STDEV(Rankings!P2:P651)</f>
        <v>-1.7129199635522658</v>
      </c>
      <c r="J206" s="121">
        <f>(VLOOKUP($A206,Hitters!$A1:$R401,8,FALSE)-AVERAGE(Rankings!Q2:Q651))/STDEV(Rankings!Q2:Q651)</f>
        <v>-0.77151921801320145</v>
      </c>
      <c r="K206" s="121">
        <f>(VLOOKUP($A206,Hitters!$A1:$R401,9,FALSE)-AVERAGE(Rankings!R2:R651))/STDEV(Rankings!R2:R651)</f>
        <v>-0.4753806720097784</v>
      </c>
      <c r="L206" s="121">
        <f>(VLOOKUP($A206,Hitters!$A1:$R401,10,FALSE)-AVERAGE(Rankings!S2:S651))/STDEV(Rankings!S2:S651)</f>
        <v>-1.0539471979850095</v>
      </c>
      <c r="M206" s="121">
        <f>(VLOOKUP($A206,Hitters!$A1:$R401,11,FALSE)-AVERAGE(Rankings!T2:T651))/STDEV(Rankings!T2:T651)</f>
        <v>-1.9264831751028457</v>
      </c>
      <c r="N206" s="121">
        <f>(VLOOKUP($A206,Hitters!$A1:$R401,12,FALSE)-AVERAGE(Rankings!U2:U651))/STDEV(Rankings!U2:U651)</f>
        <v>-1.7060550947558253</v>
      </c>
      <c r="O206" s="121">
        <f>(VLOOKUP($A206,Hitters!$A1:$R401,13,FALSE)-AVERAGE(Rankings!V2:V651))/STDEV(Rankings!V2:V651)</f>
        <v>-1.0052127887404636</v>
      </c>
      <c r="P206" s="121">
        <f>(VLOOKUP($A206,Hitters!$A1:$R401,14,FALSE)-AVERAGE(Rankings!W2:W651))/STDEV(Rankings!W2:W651)</f>
        <v>-1.6293916933388504</v>
      </c>
      <c r="Q206" s="121">
        <f>(VLOOKUP($A206,Hitters!$A1:$R401,15,FALSE)-AVERAGE(Rankings!X2:X651))/STDEV(Rankings!X2:X651)</f>
        <v>-1.7901907224599545</v>
      </c>
      <c r="R206" s="121">
        <f>(VLOOKUP($A206,Hitters!$A1:$R401,16,FALSE)-AVERAGE(Rankings!Y2:Y651))/STDEV(Rankings!Y2:Y651)</f>
        <v>-0.10057666745577988</v>
      </c>
      <c r="S206" s="121">
        <f>(VLOOKUP($A206,Hitters!$A1:$R401,17,FALSE)-AVERAGE(Rankings!Z2:Z651))/STDEV(Rankings!Z2:Z651)</f>
        <v>-0.48690984063789949</v>
      </c>
      <c r="T206" s="121">
        <f>IFERROR((VLOOKUP($A206,Hitters!$A1:$R401,18,FALSE)-AVERAGE(Rankings!AA2:AA651))/STDEV(Rankings!AA2:AA651),0)</f>
        <v>0</v>
      </c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</row>
    <row r="207" spans="1:37" ht="18.600000000000001" customHeight="1">
      <c r="A207" s="25" t="s">
        <v>84</v>
      </c>
      <c r="B207" s="26" t="s">
        <v>85</v>
      </c>
      <c r="C207" s="125" t="s">
        <v>114</v>
      </c>
      <c r="D207" s="67">
        <f>(F207*Settings!$C$2)+(G207*Settings!$C$3)+(H207*Settings!$C$4)+(I207*Settings!$C$5)+(J207*Settings!$C$6)+(M207*Settings!$C$9)+(N207*Settings!$C$10)+(O207*Settings!$C$11)+(P207*Settings!$C$12)+(Q207*Settings!$C$13)+(T207*Settings!$C$16)+(K207*Settings!$C$7)+(L207*Settings!$C$8)+(R207*Settings!$C$14)+(S207*Settings!$C$15)</f>
        <v>8.4858455675376554</v>
      </c>
      <c r="E207" s="67"/>
      <c r="F207" s="121">
        <f>(VLOOKUP($A207,Hitters!$A1:$R401,4,FALSE)-AVERAGE(Rankings!M2:M651))/STDEV(Rankings!M2:M651)</f>
        <v>1.2387930677853536</v>
      </c>
      <c r="G207" s="121">
        <f>(VLOOKUP($A207,Hitters!$A1:$R401,5,FALSE)-AVERAGE(Rankings!N2:N651))/STDEV(Rankings!N2:N651)</f>
        <v>1.857600945768374</v>
      </c>
      <c r="H207" s="121">
        <f>(VLOOKUP($A207,Hitters!$A1:$R401,6,FALSE)-AVERAGE(Rankings!O2:O651))/STDEV(Rankings!O2:O651)</f>
        <v>2.5232992631041813</v>
      </c>
      <c r="I207" s="121">
        <f>(VLOOKUP($A207,Hitters!$A1:$R401,7,FALSE)-AVERAGE(Rankings!P2:P651))/STDEV(Rankings!P2:P651)</f>
        <v>1.9605251972206443</v>
      </c>
      <c r="J207" s="121">
        <f>(VLOOKUP($A207,Hitters!$A1:$R401,8,FALSE)-AVERAGE(Rankings!Q2:Q651))/STDEV(Rankings!Q2:Q651)</f>
        <v>1.6229222360692082</v>
      </c>
      <c r="K207" s="121">
        <f>(VLOOKUP($A207,Hitters!$A1:$R401,9,FALSE)-AVERAGE(Rankings!R2:R651))/STDEV(Rankings!R2:R651)</f>
        <v>0.52149792537524919</v>
      </c>
      <c r="L207" s="121">
        <f>(VLOOKUP($A207,Hitters!$A1:$R401,10,FALSE)-AVERAGE(Rankings!S2:S651))/STDEV(Rankings!S2:S651)</f>
        <v>1.543999619735819</v>
      </c>
      <c r="M207" s="121">
        <f>(VLOOKUP($A207,Hitters!$A1:$R401,11,FALSE)-AVERAGE(Rankings!T2:T651))/STDEV(Rankings!T2:T651)</f>
        <v>1.198970392737758</v>
      </c>
      <c r="N207" s="121">
        <f>(VLOOKUP($A207,Hitters!$A1:$R401,12,FALSE)-AVERAGE(Rankings!U2:U651))/STDEV(Rankings!U2:U651)</f>
        <v>0.99816853941383754</v>
      </c>
      <c r="O207" s="121">
        <f>(VLOOKUP($A207,Hitters!$A1:$R401,13,FALSE)-AVERAGE(Rankings!V2:V651))/STDEV(Rankings!V2:V651)</f>
        <v>2.6452529828694167</v>
      </c>
      <c r="P207" s="121">
        <f>(VLOOKUP($A207,Hitters!$A1:$R401,14,FALSE)-AVERAGE(Rankings!W2:W651))/STDEV(Rankings!W2:W651)</f>
        <v>2.1693092827539591</v>
      </c>
      <c r="Q207" s="121">
        <f>(VLOOKUP($A207,Hitters!$A1:$R401,15,FALSE)-AVERAGE(Rankings!X2:X651))/STDEV(Rankings!X2:X651)</f>
        <v>2.0032650492461914</v>
      </c>
      <c r="R207" s="121">
        <f>(VLOOKUP($A207,Hitters!$A1:$R401,16,FALSE)-AVERAGE(Rankings!Y2:Y651))/STDEV(Rankings!Y2:Y651)</f>
        <v>2.3483240512859105</v>
      </c>
      <c r="S207" s="121">
        <f>(VLOOKUP($A207,Hitters!$A1:$R401,17,FALSE)-AVERAGE(Rankings!Z2:Z651))/STDEV(Rankings!Z2:Z651)</f>
        <v>2.3154215374734988</v>
      </c>
      <c r="T207" s="121">
        <f>IFERROR((VLOOKUP($A207,Hitters!$A1:$R401,18,FALSE)-AVERAGE(Rankings!AA2:AA651))/STDEV(Rankings!AA2:AA651),0)</f>
        <v>0</v>
      </c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</row>
    <row r="208" spans="1:37" ht="18.600000000000001" customHeight="1">
      <c r="A208" s="25" t="s">
        <v>315</v>
      </c>
      <c r="B208" s="26" t="s">
        <v>82</v>
      </c>
      <c r="C208" s="125" t="s">
        <v>114</v>
      </c>
      <c r="D208" s="67">
        <f>(F208*Settings!$C$2)+(G208*Settings!$C$3)+(H208*Settings!$C$4)+(I208*Settings!$C$5)+(J208*Settings!$C$6)+(M208*Settings!$C$9)+(N208*Settings!$C$10)+(O208*Settings!$C$11)+(P208*Settings!$C$12)+(Q208*Settings!$C$13)+(T208*Settings!$C$16)+(K208*Settings!$C$7)+(L208*Settings!$C$8)+(R208*Settings!$C$14)+(S208*Settings!$C$15)</f>
        <v>2.8019364260973769</v>
      </c>
      <c r="E208" s="67"/>
      <c r="F208" s="121">
        <f>(VLOOKUP($A208,Hitters!$A1:$R401,4,FALSE)-AVERAGE(Rankings!M2:M651))/STDEV(Rankings!M2:M651)</f>
        <v>1.1160401399141386</v>
      </c>
      <c r="G208" s="121">
        <f>(VLOOKUP($A208,Hitters!$A1:$R401,5,FALSE)-AVERAGE(Rankings!N2:N651))/STDEV(Rankings!N2:N651)</f>
        <v>0.97420528336379919</v>
      </c>
      <c r="H208" s="121">
        <f>(VLOOKUP($A208,Hitters!$A1:$R401,6,FALSE)-AVERAGE(Rankings!O2:O651))/STDEV(Rankings!O2:O651)</f>
        <v>0.82743362530284192</v>
      </c>
      <c r="I208" s="121">
        <f>(VLOOKUP($A208,Hitters!$A1:$R401,7,FALSE)-AVERAGE(Rankings!P2:P651))/STDEV(Rankings!P2:P651)</f>
        <v>1.2699236730803749</v>
      </c>
      <c r="J208" s="121">
        <f>(VLOOKUP($A208,Hitters!$A1:$R401,8,FALSE)-AVERAGE(Rankings!Q2:Q651))/STDEV(Rankings!Q2:Q651)</f>
        <v>-0.86689529270411469</v>
      </c>
      <c r="K208" s="121">
        <f>(VLOOKUP($A208,Hitters!$A1:$R401,9,FALSE)-AVERAGE(Rankings!R2:R651))/STDEV(Rankings!R2:R651)</f>
        <v>0.59726913705447571</v>
      </c>
      <c r="L208" s="121">
        <f>(VLOOKUP($A208,Hitters!$A1:$R401,10,FALSE)-AVERAGE(Rankings!S2:S651))/STDEV(Rankings!S2:S651)</f>
        <v>0.53965707120869222</v>
      </c>
      <c r="M208" s="121">
        <f>(VLOOKUP($A208,Hitters!$A1:$R401,11,FALSE)-AVERAGE(Rankings!T2:T651))/STDEV(Rankings!T2:T651)</f>
        <v>1.1098017028838083</v>
      </c>
      <c r="N208" s="121">
        <f>(VLOOKUP($A208,Hitters!$A1:$R401,12,FALSE)-AVERAGE(Rankings!U2:U651))/STDEV(Rankings!U2:U651)</f>
        <v>2.0271341360632902</v>
      </c>
      <c r="O208" s="121">
        <f>(VLOOKUP($A208,Hitters!$A1:$R401,13,FALSE)-AVERAGE(Rankings!V2:V651))/STDEV(Rankings!V2:V651)</f>
        <v>-0.25852660818389916</v>
      </c>
      <c r="P208" s="121">
        <f>(VLOOKUP($A208,Hitters!$A1:$R401,14,FALSE)-AVERAGE(Rankings!W2:W651))/STDEV(Rankings!W2:W651)</f>
        <v>0.79100310952126474</v>
      </c>
      <c r="Q208" s="121">
        <f>(VLOOKUP($A208,Hitters!$A1:$R401,15,FALSE)-AVERAGE(Rankings!X2:X651))/STDEV(Rankings!X2:X651)</f>
        <v>1.4642668370792933</v>
      </c>
      <c r="R208" s="121">
        <f>(VLOOKUP($A208,Hitters!$A1:$R401,16,FALSE)-AVERAGE(Rankings!Y2:Y651))/STDEV(Rankings!Y2:Y651)</f>
        <v>0.85025757319195383</v>
      </c>
      <c r="S208" s="121">
        <f>(VLOOKUP($A208,Hitters!$A1:$R401,17,FALSE)-AVERAGE(Rankings!Z2:Z651))/STDEV(Rankings!Z2:Z651)</f>
        <v>0.83073792592774509</v>
      </c>
      <c r="T208" s="121">
        <f>IFERROR((VLOOKUP($A208,Hitters!$A1:$R401,18,FALSE)-AVERAGE(Rankings!AA2:AA651))/STDEV(Rankings!AA2:AA651),0)</f>
        <v>0</v>
      </c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</row>
    <row r="209" spans="1:37" ht="18.600000000000001" customHeight="1">
      <c r="A209" s="25" t="s">
        <v>370</v>
      </c>
      <c r="B209" s="26" t="s">
        <v>92</v>
      </c>
      <c r="C209" s="125" t="s">
        <v>114</v>
      </c>
      <c r="D209" s="67">
        <f>(F209*Settings!$C$2)+(G209*Settings!$C$3)+(H209*Settings!$C$4)+(I209*Settings!$C$5)+(J209*Settings!$C$6)+(M209*Settings!$C$9)+(N209*Settings!$C$10)+(O209*Settings!$C$11)+(P209*Settings!$C$12)+(Q209*Settings!$C$13)+(T209*Settings!$C$16)+(K209*Settings!$C$7)+(L209*Settings!$C$8)+(R209*Settings!$C$14)+(S209*Settings!$C$15)</f>
        <v>2.0064653456399428</v>
      </c>
      <c r="E209" s="67"/>
      <c r="F209" s="121">
        <f>(VLOOKUP($A209,Hitters!$A1:$R401,4,FALSE)-AVERAGE(Rankings!M2:M651))/STDEV(Rankings!M2:M651)</f>
        <v>-0.76965377334150575</v>
      </c>
      <c r="G209" s="121">
        <f>(VLOOKUP($A209,Hitters!$A1:$R401,5,FALSE)-AVERAGE(Rankings!N2:N651))/STDEV(Rankings!N2:N651)</f>
        <v>-7.1601609070479175E-2</v>
      </c>
      <c r="H209" s="121">
        <f>(VLOOKUP($A209,Hitters!$A1:$R401,6,FALSE)-AVERAGE(Rankings!O2:O651))/STDEV(Rankings!O2:O651)</f>
        <v>0.29695348736991761</v>
      </c>
      <c r="I209" s="121">
        <f>(VLOOKUP($A209,Hitters!$A1:$R401,7,FALSE)-AVERAGE(Rankings!P2:P651))/STDEV(Rankings!P2:P651)</f>
        <v>-6.8116779941401709E-2</v>
      </c>
      <c r="J209" s="121">
        <f>(VLOOKUP($A209,Hitters!$A1:$R401,8,FALSE)-AVERAGE(Rankings!Q2:Q651))/STDEV(Rankings!Q2:Q651)</f>
        <v>0.26757801677727999</v>
      </c>
      <c r="K209" s="121">
        <f>(VLOOKUP($A209,Hitters!$A1:$R401,9,FALSE)-AVERAGE(Rankings!R2:R651))/STDEV(Rankings!R2:R651)</f>
        <v>1.5816522305046261</v>
      </c>
      <c r="L209" s="121">
        <f>(VLOOKUP($A209,Hitters!$A1:$R401,10,FALSE)-AVERAGE(Rankings!S2:S651))/STDEV(Rankings!S2:S651)</f>
        <v>2.9644636377410798</v>
      </c>
      <c r="M209" s="121">
        <f>(VLOOKUP($A209,Hitters!$A1:$R401,11,FALSE)-AVERAGE(Rankings!T2:T651))/STDEV(Rankings!T2:T651)</f>
        <v>-0.45519979251237419</v>
      </c>
      <c r="N209" s="121">
        <f>(VLOOKUP($A209,Hitters!$A1:$R401,12,FALSE)-AVERAGE(Rankings!U2:U651))/STDEV(Rankings!U2:U651)</f>
        <v>-2.2293209329429998E-2</v>
      </c>
      <c r="O209" s="121">
        <f>(VLOOKUP($A209,Hitters!$A1:$R401,13,FALSE)-AVERAGE(Rankings!V2:V651))/STDEV(Rankings!V2:V651)</f>
        <v>-0.61804217660002114</v>
      </c>
      <c r="P209" s="121">
        <f>(VLOOKUP($A209,Hitters!$A1:$R401,14,FALSE)-AVERAGE(Rankings!W2:W651))/STDEV(Rankings!W2:W651)</f>
        <v>0.60524756056806739</v>
      </c>
      <c r="Q209" s="121">
        <f>(VLOOKUP($A209,Hitters!$A1:$R401,15,FALSE)-AVERAGE(Rankings!X2:X651))/STDEV(Rankings!X2:X651)</f>
        <v>-0.66930836442756425</v>
      </c>
      <c r="R209" s="121">
        <f>(VLOOKUP($A209,Hitters!$A1:$R401,16,FALSE)-AVERAGE(Rankings!Y2:Y651))/STDEV(Rankings!Y2:Y651)</f>
        <v>2.6185897421256525</v>
      </c>
      <c r="S209" s="121">
        <f>(VLOOKUP($A209,Hitters!$A1:$R401,17,FALSE)-AVERAGE(Rankings!Z2:Z651))/STDEV(Rankings!Z2:Z651)</f>
        <v>3.0697159960767895</v>
      </c>
      <c r="T209" s="121">
        <f>IFERROR((VLOOKUP($A209,Hitters!$A1:$R401,18,FALSE)-AVERAGE(Rankings!AA2:AA651))/STDEV(Rankings!AA2:AA651),0)</f>
        <v>0</v>
      </c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</row>
    <row r="210" spans="1:37" ht="18.600000000000001" customHeight="1">
      <c r="A210" s="25" t="s">
        <v>582</v>
      </c>
      <c r="B210" s="26" t="s">
        <v>64</v>
      </c>
      <c r="C210" s="125" t="s">
        <v>114</v>
      </c>
      <c r="D210" s="67">
        <f>(F210*Settings!$C$2)+(G210*Settings!$C$3)+(H210*Settings!$C$4)+(I210*Settings!$C$5)+(J210*Settings!$C$6)+(M210*Settings!$C$9)+(N210*Settings!$C$10)+(O210*Settings!$C$11)+(P210*Settings!$C$12)+(Q210*Settings!$C$13)+(T210*Settings!$C$16)+(K210*Settings!$C$7)+(L210*Settings!$C$8)+(R210*Settings!$C$14)+(S210*Settings!$C$15)</f>
        <v>-0.87581500990964445</v>
      </c>
      <c r="E210" s="67"/>
      <c r="F210" s="121">
        <f>(VLOOKUP($A210,Hitters!$A1:$R401,4,FALSE)-AVERAGE(Rankings!M2:M651))/STDEV(Rankings!M2:M651)</f>
        <v>-0.32565382146691246</v>
      </c>
      <c r="G210" s="121">
        <f>(VLOOKUP($A210,Hitters!$A1:$R401,5,FALSE)-AVERAGE(Rankings!N2:N651))/STDEV(Rankings!N2:N651)</f>
        <v>-0.33722745257701231</v>
      </c>
      <c r="H210" s="121">
        <f>(VLOOKUP($A210,Hitters!$A1:$R401,6,FALSE)-AVERAGE(Rankings!O2:O651))/STDEV(Rankings!O2:O651)</f>
        <v>4.6332949763809604E-2</v>
      </c>
      <c r="I210" s="121">
        <f>(VLOOKUP($A210,Hitters!$A1:$R401,7,FALSE)-AVERAGE(Rankings!P2:P651))/STDEV(Rankings!P2:P651)</f>
        <v>-1.5705057127181826E-2</v>
      </c>
      <c r="J210" s="121">
        <f>(VLOOKUP($A210,Hitters!$A1:$R401,8,FALSE)-AVERAGE(Rankings!Q2:Q651))/STDEV(Rankings!Q2:Q651)</f>
        <v>-0.67614314332228664</v>
      </c>
      <c r="K210" s="121">
        <f>(VLOOKUP($A210,Hitters!$A1:$R401,9,FALSE)-AVERAGE(Rankings!R2:R651))/STDEV(Rankings!R2:R651)</f>
        <v>0.10692769335302678</v>
      </c>
      <c r="L210" s="121">
        <f>(VLOOKUP($A210,Hitters!$A1:$R401,10,FALSE)-AVERAGE(Rankings!S2:S651))/STDEV(Rankings!S2:S651)</f>
        <v>0.28480424205177013</v>
      </c>
      <c r="M210" s="121">
        <f>(VLOOKUP($A210,Hitters!$A1:$R401,11,FALSE)-AVERAGE(Rankings!T2:T651))/STDEV(Rankings!T2:T651)</f>
        <v>-0.29869964297275536</v>
      </c>
      <c r="N210" s="121">
        <f>(VLOOKUP($A210,Hitters!$A1:$R401,12,FALSE)-AVERAGE(Rankings!U2:U651))/STDEV(Rankings!U2:U651)</f>
        <v>-0.7068529657780428</v>
      </c>
      <c r="O210" s="121">
        <f>(VLOOKUP($A210,Hitters!$A1:$R401,13,FALSE)-AVERAGE(Rankings!V2:V651))/STDEV(Rankings!V2:V651)</f>
        <v>-1.254108182259319</v>
      </c>
      <c r="P210" s="121">
        <f>(VLOOKUP($A210,Hitters!$A1:$R401,14,FALSE)-AVERAGE(Rankings!W2:W651))/STDEV(Rankings!W2:W651)</f>
        <v>-0.11362641388079223</v>
      </c>
      <c r="Q210" s="121">
        <f>(VLOOKUP($A210,Hitters!$A1:$R401,15,FALSE)-AVERAGE(Rankings!X2:X651))/STDEV(Rankings!X2:X651)</f>
        <v>-7.4753374514733156E-2</v>
      </c>
      <c r="R210" s="121">
        <f>(VLOOKUP($A210,Hitters!$A1:$R401,16,FALSE)-AVERAGE(Rankings!Y2:Y651))/STDEV(Rankings!Y2:Y651)</f>
        <v>0.13390792145366653</v>
      </c>
      <c r="S210" s="121">
        <f>(VLOOKUP($A210,Hitters!$A1:$R401,17,FALSE)-AVERAGE(Rankings!Z2:Z651))/STDEV(Rankings!Z2:Z651)</f>
        <v>0.20926512700423186</v>
      </c>
      <c r="T210" s="121">
        <f>IFERROR((VLOOKUP($A210,Hitters!$A1:$R401,18,FALSE)-AVERAGE(Rankings!AA2:AA651))/STDEV(Rankings!AA2:AA651),0)</f>
        <v>0</v>
      </c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</row>
    <row r="211" spans="1:37" ht="18.600000000000001" customHeight="1">
      <c r="A211" s="25" t="s">
        <v>666</v>
      </c>
      <c r="B211" s="26" t="s">
        <v>160</v>
      </c>
      <c r="C211" s="125" t="s">
        <v>114</v>
      </c>
      <c r="D211" s="67">
        <f>(F211*Settings!$C$2)+(G211*Settings!$C$3)+(H211*Settings!$C$4)+(I211*Settings!$C$5)+(J211*Settings!$C$6)+(M211*Settings!$C$9)+(N211*Settings!$C$10)+(O211*Settings!$C$11)+(P211*Settings!$C$12)+(Q211*Settings!$C$13)+(T211*Settings!$C$16)+(K211*Settings!$C$7)+(L211*Settings!$C$8)+(R211*Settings!$C$14)+(S211*Settings!$C$15)</f>
        <v>-2.1241639171563298</v>
      </c>
      <c r="E211" s="67"/>
      <c r="F211" s="121">
        <f>(VLOOKUP($A211,Hitters!$A1:$R401,4,FALSE)-AVERAGE(Rankings!M2:M651))/STDEV(Rankings!M2:M651)</f>
        <v>-0.67824201854379984</v>
      </c>
      <c r="G211" s="121">
        <f>(VLOOKUP($A211,Hitters!$A1:$R401,5,FALSE)-AVERAGE(Rankings!N2:N651))/STDEV(Rankings!N2:N651)</f>
        <v>-0.71972866722641593</v>
      </c>
      <c r="H211" s="121">
        <f>(VLOOKUP($A211,Hitters!$A1:$R401,6,FALSE)-AVERAGE(Rankings!O2:O651))/STDEV(Rankings!O2:O651)</f>
        <v>4.2155940803712051E-2</v>
      </c>
      <c r="I211" s="121">
        <f>(VLOOKUP($A211,Hitters!$A1:$R401,7,FALSE)-AVERAGE(Rankings!P2:P651))/STDEV(Rankings!P2:P651)</f>
        <v>-0.28701279875371793</v>
      </c>
      <c r="J211" s="121">
        <f>(VLOOKUP($A211,Hitters!$A1:$R401,8,FALSE)-AVERAGE(Rankings!Q2:Q651))/STDEV(Rankings!Q2:Q651)</f>
        <v>-0.7414004575844918</v>
      </c>
      <c r="K211" s="121">
        <f>(VLOOKUP($A211,Hitters!$A1:$R401,9,FALSE)-AVERAGE(Rankings!R2:R651))/STDEV(Rankings!R2:R651)</f>
        <v>-0.41817793439541612</v>
      </c>
      <c r="L211" s="121">
        <f>(VLOOKUP($A211,Hitters!$A1:$R401,10,FALSE)-AVERAGE(Rankings!S2:S651))/STDEV(Rankings!S2:S651)</f>
        <v>-0.49546891024056189</v>
      </c>
      <c r="M211" s="121">
        <f>(VLOOKUP($A211,Hitters!$A1:$R401,11,FALSE)-AVERAGE(Rankings!T2:T651))/STDEV(Rankings!T2:T651)</f>
        <v>-0.69449943977353157</v>
      </c>
      <c r="N211" s="121">
        <f>(VLOOKUP($A211,Hitters!$A1:$R401,12,FALSE)-AVERAGE(Rankings!U2:U651))/STDEV(Rankings!U2:U651)</f>
        <v>-0.9407087831983707</v>
      </c>
      <c r="O211" s="121">
        <f>(VLOOKUP($A211,Hitters!$A1:$R401,13,FALSE)-AVERAGE(Rankings!V2:V651))/STDEV(Rankings!V2:V651)</f>
        <v>-0.34149173935685095</v>
      </c>
      <c r="P211" s="121">
        <f>(VLOOKUP($A211,Hitters!$A1:$R401,14,FALSE)-AVERAGE(Rankings!W2:W651))/STDEV(Rankings!W2:W651)</f>
        <v>-0.60216350762768767</v>
      </c>
      <c r="Q211" s="121">
        <f>(VLOOKUP($A211,Hitters!$A1:$R401,15,FALSE)-AVERAGE(Rankings!X2:X651))/STDEV(Rankings!X2:X651)</f>
        <v>0.232270923555008</v>
      </c>
      <c r="R211" s="121">
        <f>(VLOOKUP($A211,Hitters!$A1:$R401,16,FALSE)-AVERAGE(Rankings!Y2:Y651))/STDEV(Rankings!Y2:Y651)</f>
        <v>0.49774516403519131</v>
      </c>
      <c r="S211" s="121">
        <f>(VLOOKUP($A211,Hitters!$A1:$R401,17,FALSE)-AVERAGE(Rankings!Z2:Z651))/STDEV(Rankings!Z2:Z651)</f>
        <v>0.16782967998954459</v>
      </c>
      <c r="T211" s="121">
        <f>IFERROR((VLOOKUP($A211,Hitters!$A1:$R401,18,FALSE)-AVERAGE(Rankings!AA2:AA651))/STDEV(Rankings!AA2:AA651),0)</f>
        <v>0</v>
      </c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</row>
    <row r="212" spans="1:37" ht="18.600000000000001" customHeight="1">
      <c r="A212" s="25" t="s">
        <v>697</v>
      </c>
      <c r="B212" s="26" t="s">
        <v>122</v>
      </c>
      <c r="C212" s="125" t="s">
        <v>114</v>
      </c>
      <c r="D212" s="67">
        <f>(F212*Settings!$C$2)+(G212*Settings!$C$3)+(H212*Settings!$C$4)+(I212*Settings!$C$5)+(J212*Settings!$C$6)+(M212*Settings!$C$9)+(N212*Settings!$C$10)+(O212*Settings!$C$11)+(P212*Settings!$C$12)+(Q212*Settings!$C$13)+(T212*Settings!$C$16)+(K212*Settings!$C$7)+(L212*Settings!$C$8)+(R212*Settings!$C$14)+(S212*Settings!$C$15)</f>
        <v>-2.8486068946244076</v>
      </c>
      <c r="E212" s="67"/>
      <c r="F212" s="121">
        <f>(VLOOKUP($A212,Hitters!$A1:$R401,4,FALSE)-AVERAGE(Rankings!M2:M651))/STDEV(Rankings!M2:M651)</f>
        <v>-0.91591258101784701</v>
      </c>
      <c r="G212" s="121">
        <f>(VLOOKUP($A212,Hitters!$A1:$R401,5,FALSE)-AVERAGE(Rankings!N2:N651))/STDEV(Rankings!N2:N651)</f>
        <v>-0.7409787347069352</v>
      </c>
      <c r="H212" s="121">
        <f>(VLOOKUP($A212,Hitters!$A1:$R401,6,FALSE)-AVERAGE(Rankings!O2:O651))/STDEV(Rankings!O2:O651)</f>
        <v>-0.27947374912413075</v>
      </c>
      <c r="I212" s="121">
        <f>(VLOOKUP($A212,Hitters!$A1:$R401,7,FALSE)-AVERAGE(Rankings!P2:P651))/STDEV(Rankings!P2:P651)</f>
        <v>-0.72326331511911046</v>
      </c>
      <c r="J212" s="121">
        <f>(VLOOKUP($A212,Hitters!$A1:$R401,8,FALSE)-AVERAGE(Rankings!Q2:Q651))/STDEV(Rankings!Q2:Q651)</f>
        <v>-0.51048996096438382</v>
      </c>
      <c r="K212" s="121">
        <f>(VLOOKUP($A212,Hitters!$A1:$R401,9,FALSE)-AVERAGE(Rankings!R2:R651))/STDEV(Rankings!R2:R651)</f>
        <v>-0.59440113470984712</v>
      </c>
      <c r="L212" s="121">
        <f>(VLOOKUP($A212,Hitters!$A1:$R401,10,FALSE)-AVERAGE(Rankings!S2:S651))/STDEV(Rankings!S2:S651)</f>
        <v>0.25853196864366434</v>
      </c>
      <c r="M212" s="121">
        <f>(VLOOKUP($A212,Hitters!$A1:$R401,11,FALSE)-AVERAGE(Rankings!T2:T651))/STDEV(Rankings!T2:T651)</f>
        <v>-0.92015081817949207</v>
      </c>
      <c r="N212" s="121">
        <f>(VLOOKUP($A212,Hitters!$A1:$R401,12,FALSE)-AVERAGE(Rankings!U2:U651))/STDEV(Rankings!U2:U651)</f>
        <v>-1.3914127222266519</v>
      </c>
      <c r="O212" s="121">
        <f>(VLOOKUP($A212,Hitters!$A1:$R401,13,FALSE)-AVERAGE(Rankings!V2:V651))/STDEV(Rankings!V2:V651)</f>
        <v>-1.1434880073620495</v>
      </c>
      <c r="P212" s="121">
        <f>(VLOOKUP($A212,Hitters!$A1:$R401,14,FALSE)-AVERAGE(Rankings!W2:W651))/STDEV(Rankings!W2:W651)</f>
        <v>-0.24737040912709155</v>
      </c>
      <c r="Q212" s="121">
        <f>(VLOOKUP($A212,Hitters!$A1:$R401,15,FALSE)-AVERAGE(Rankings!X2:X651))/STDEV(Rankings!X2:X651)</f>
        <v>-0.33791705857451132</v>
      </c>
      <c r="R212" s="121">
        <f>(VLOOKUP($A212,Hitters!$A1:$R401,16,FALSE)-AVERAGE(Rankings!Y2:Y651))/STDEV(Rankings!Y2:Y651)</f>
        <v>-0.20130710888017883</v>
      </c>
      <c r="S212" s="121">
        <f>(VLOOKUP($A212,Hitters!$A1:$R401,17,FALSE)-AVERAGE(Rankings!Z2:Z651))/STDEV(Rankings!Z2:Z651)</f>
        <v>-4.5053246140291547E-2</v>
      </c>
      <c r="T212" s="121">
        <f>IFERROR((VLOOKUP($A212,Hitters!$A1:$R401,18,FALSE)-AVERAGE(Rankings!AA2:AA651))/STDEV(Rankings!AA2:AA651),0)</f>
        <v>0</v>
      </c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</row>
    <row r="213" spans="1:37" ht="18.600000000000001" customHeight="1">
      <c r="A213" s="25" t="s">
        <v>707</v>
      </c>
      <c r="B213" s="26" t="s">
        <v>64</v>
      </c>
      <c r="C213" s="125" t="s">
        <v>114</v>
      </c>
      <c r="D213" s="67">
        <f>(F213*Settings!$C$2)+(G213*Settings!$C$3)+(H213*Settings!$C$4)+(I213*Settings!$C$5)+(J213*Settings!$C$6)+(M213*Settings!$C$9)+(N213*Settings!$C$10)+(O213*Settings!$C$11)+(P213*Settings!$C$12)+(Q213*Settings!$C$13)+(T213*Settings!$C$16)+(K213*Settings!$C$7)+(L213*Settings!$C$8)+(R213*Settings!$C$14)+(S213*Settings!$C$15)</f>
        <v>-3.1535442675986722</v>
      </c>
      <c r="E213" s="67"/>
      <c r="F213" s="121">
        <f>(VLOOKUP($A213,Hitters!$A1:$R401,4,FALSE)-AVERAGE(Rankings!M2:M651))/STDEV(Rankings!M2:M651)</f>
        <v>-0.86890082140759539</v>
      </c>
      <c r="G213" s="121">
        <f>(VLOOKUP($A213,Hitters!$A1:$R401,5,FALSE)-AVERAGE(Rankings!N2:N651))/STDEV(Rankings!N2:N651)</f>
        <v>-0.64079984515590094</v>
      </c>
      <c r="H213" s="121">
        <f>(VLOOKUP($A213,Hitters!$A1:$R401,6,FALSE)-AVERAGE(Rankings!O2:O651))/STDEV(Rankings!O2:O651)</f>
        <v>-0.18757955200189527</v>
      </c>
      <c r="I213" s="121">
        <f>(VLOOKUP($A213,Hitters!$A1:$R401,7,FALSE)-AVERAGE(Rankings!P2:P651))/STDEV(Rankings!P2:P651)</f>
        <v>-0.38412863808594355</v>
      </c>
      <c r="J213" s="121">
        <f>(VLOOKUP($A213,Hitters!$A1:$R401,8,FALSE)-AVERAGE(Rankings!Q2:Q651))/STDEV(Rankings!Q2:Q651)</f>
        <v>-0.66108376310793193</v>
      </c>
      <c r="K213" s="121">
        <f>(VLOOKUP($A213,Hitters!$A1:$R401,9,FALSE)-AVERAGE(Rankings!R2:R651))/STDEV(Rankings!R2:R651)</f>
        <v>-1.2799524692470006</v>
      </c>
      <c r="L213" s="121">
        <f>(VLOOKUP($A213,Hitters!$A1:$R401,10,FALSE)-AVERAGE(Rankings!S2:S651))/STDEV(Rankings!S2:S651)</f>
        <v>0.21654377664552904</v>
      </c>
      <c r="M213" s="121">
        <f>(VLOOKUP($A213,Hitters!$A1:$R401,11,FALSE)-AVERAGE(Rankings!T2:T651))/STDEV(Rankings!T2:T651)</f>
        <v>-0.98475262409410247</v>
      </c>
      <c r="N213" s="121">
        <f>(VLOOKUP($A213,Hitters!$A1:$R401,12,FALSE)-AVERAGE(Rankings!U2:U651))/STDEV(Rankings!U2:U651)</f>
        <v>-0.67708949810636854</v>
      </c>
      <c r="O213" s="121">
        <f>(VLOOKUP($A213,Hitters!$A1:$R401,13,FALSE)-AVERAGE(Rankings!V2:V651))/STDEV(Rankings!V2:V651)</f>
        <v>-0.83928252639455969</v>
      </c>
      <c r="P213" s="121">
        <f>(VLOOKUP($A213,Hitters!$A1:$R401,14,FALSE)-AVERAGE(Rankings!W2:W651))/STDEV(Rankings!W2:W651)</f>
        <v>7.7701801541000981E-2</v>
      </c>
      <c r="Q213" s="121">
        <f>(VLOOKUP($A213,Hitters!$A1:$R401,15,FALSE)-AVERAGE(Rankings!X2:X651))/STDEV(Rankings!X2:X651)</f>
        <v>-0.23655030619592921</v>
      </c>
      <c r="R213" s="121">
        <f>(VLOOKUP($A213,Hitters!$A1:$R401,16,FALSE)-AVERAGE(Rankings!Y2:Y651))/STDEV(Rankings!Y2:Y651)</f>
        <v>0.1108616738254322</v>
      </c>
      <c r="S213" s="121">
        <f>(VLOOKUP($A213,Hitters!$A1:$R401,17,FALSE)-AVERAGE(Rankings!Z2:Z651))/STDEV(Rankings!Z2:Z651)</f>
        <v>0.16569571789944251</v>
      </c>
      <c r="T213" s="121">
        <f>IFERROR((VLOOKUP($A213,Hitters!$A1:$R401,18,FALSE)-AVERAGE(Rankings!AA2:AA651))/STDEV(Rankings!AA2:AA651),0)</f>
        <v>0</v>
      </c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</row>
    <row r="214" spans="1:37" ht="18.600000000000001" customHeight="1">
      <c r="A214" s="25" t="s">
        <v>711</v>
      </c>
      <c r="B214" s="26" t="s">
        <v>97</v>
      </c>
      <c r="C214" s="125" t="s">
        <v>114</v>
      </c>
      <c r="D214" s="67">
        <f>(F214*Settings!$C$2)+(G214*Settings!$C$3)+(H214*Settings!$C$4)+(I214*Settings!$C$5)+(J214*Settings!$C$6)+(M214*Settings!$C$9)+(N214*Settings!$C$10)+(O214*Settings!$C$11)+(P214*Settings!$C$12)+(Q214*Settings!$C$13)+(T214*Settings!$C$16)+(K214*Settings!$C$7)+(L214*Settings!$C$8)+(R214*Settings!$C$14)+(S214*Settings!$C$15)</f>
        <v>-3.3651396914081353</v>
      </c>
      <c r="E214" s="67"/>
      <c r="F214" s="121">
        <f>(VLOOKUP($A214,Hitters!$A1:$R401,4,FALSE)-AVERAGE(Rankings!M2:M651))/STDEV(Rankings!M2:M651)</f>
        <v>-0.73961848247940332</v>
      </c>
      <c r="G214" s="121">
        <f>(VLOOKUP($A214,Hitters!$A1:$R401,5,FALSE)-AVERAGE(Rankings!N2:N651))/STDEV(Rankings!N2:N651)</f>
        <v>-0.53910309364197384</v>
      </c>
      <c r="H214" s="121">
        <f>(VLOOKUP($A214,Hitters!$A1:$R401,6,FALSE)-AVERAGE(Rankings!O2:O651))/STDEV(Rankings!O2:O651)</f>
        <v>-0.19175656096199303</v>
      </c>
      <c r="I214" s="121">
        <f>(VLOOKUP($A214,Hitters!$A1:$R401,7,FALSE)-AVERAGE(Rankings!P2:P651))/STDEV(Rankings!P2:P651)</f>
        <v>-0.4974304506402068</v>
      </c>
      <c r="J214" s="121">
        <f>(VLOOKUP($A214,Hitters!$A1:$R401,8,FALSE)-AVERAGE(Rankings!Q2:Q651))/STDEV(Rankings!Q2:Q651)</f>
        <v>-0.90454374324000175</v>
      </c>
      <c r="K214" s="121">
        <f>(VLOOKUP($A214,Hitters!$A1:$R401,9,FALSE)-AVERAGE(Rankings!R2:R651))/STDEV(Rankings!R2:R651)</f>
        <v>-1.2323058429239595</v>
      </c>
      <c r="L214" s="121">
        <f>(VLOOKUP($A214,Hitters!$A1:$R401,10,FALSE)-AVERAGE(Rankings!S2:S651))/STDEV(Rankings!S2:S651)</f>
        <v>1.1808507012417644</v>
      </c>
      <c r="M214" s="121">
        <f>(VLOOKUP($A214,Hitters!$A1:$R401,11,FALSE)-AVERAGE(Rankings!T2:T651))/STDEV(Rankings!T2:T651)</f>
        <v>-0.87647635784285483</v>
      </c>
      <c r="N214" s="121">
        <f>(VLOOKUP($A214,Hitters!$A1:$R401,12,FALSE)-AVERAGE(Rankings!U2:U651))/STDEV(Rankings!U2:U651)</f>
        <v>-1.0831482356271229</v>
      </c>
      <c r="O214" s="121">
        <f>(VLOOKUP($A214,Hitters!$A1:$R401,13,FALSE)-AVERAGE(Rankings!V2:V651))/STDEV(Rankings!V2:V651)</f>
        <v>-0.70100730777297304</v>
      </c>
      <c r="P214" s="121">
        <f>(VLOOKUP($A214,Hitters!$A1:$R401,14,FALSE)-AVERAGE(Rankings!W2:W651))/STDEV(Rankings!W2:W651)</f>
        <v>0.82351033058807177</v>
      </c>
      <c r="Q214" s="121">
        <f>(VLOOKUP($A214,Hitters!$A1:$R401,15,FALSE)-AVERAGE(Rankings!X2:X651))/STDEV(Rankings!X2:X651)</f>
        <v>-0.26189199429057558</v>
      </c>
      <c r="R214" s="121">
        <f>(VLOOKUP($A214,Hitters!$A1:$R401,16,FALSE)-AVERAGE(Rankings!Y2:Y651))/STDEV(Rankings!Y2:Y651)</f>
        <v>-0.35661085316942814</v>
      </c>
      <c r="S214" s="121">
        <f>(VLOOKUP($A214,Hitters!$A1:$R401,17,FALSE)-AVERAGE(Rankings!Z2:Z651))/STDEV(Rankings!Z2:Z651)</f>
        <v>0.20393176842815511</v>
      </c>
      <c r="T214" s="121">
        <f>IFERROR((VLOOKUP($A214,Hitters!$A1:$R401,18,FALSE)-AVERAGE(Rankings!AA2:AA651))/STDEV(Rankings!AA2:AA651),0)</f>
        <v>0</v>
      </c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</row>
    <row r="215" spans="1:37" ht="18.600000000000001" customHeight="1">
      <c r="A215" s="25" t="s">
        <v>709</v>
      </c>
      <c r="B215" s="26" t="s">
        <v>87</v>
      </c>
      <c r="C215" s="125" t="s">
        <v>114</v>
      </c>
      <c r="D215" s="67">
        <f>(F215*Settings!$C$2)+(G215*Settings!$C$3)+(H215*Settings!$C$4)+(I215*Settings!$C$5)+(J215*Settings!$C$6)+(M215*Settings!$C$9)+(N215*Settings!$C$10)+(O215*Settings!$C$11)+(P215*Settings!$C$12)+(Q215*Settings!$C$13)+(T215*Settings!$C$16)+(K215*Settings!$C$7)+(L215*Settings!$C$8)+(R215*Settings!$C$14)+(S215*Settings!$C$15)</f>
        <v>-3.3035002212859208</v>
      </c>
      <c r="E215" s="67"/>
      <c r="F215" s="121">
        <f>(VLOOKUP($A215,Hitters!$A1:$R401,4,FALSE)-AVERAGE(Rankings!M2:M651))/STDEV(Rankings!M2:M651)</f>
        <v>-0.80360671083780422</v>
      </c>
      <c r="G215" s="121">
        <f>(VLOOKUP($A215,Hitters!$A1:$R401,5,FALSE)-AVERAGE(Rankings!N2:N651))/STDEV(Rankings!N2:N651)</f>
        <v>-0.73187156292956834</v>
      </c>
      <c r="H215" s="121">
        <f>(VLOOKUP($A215,Hitters!$A1:$R401,6,FALSE)-AVERAGE(Rankings!O2:O651))/STDEV(Rankings!O2:O651)</f>
        <v>-0.10821638175995288</v>
      </c>
      <c r="I215" s="121">
        <f>(VLOOKUP($A215,Hitters!$A1:$R401,7,FALSE)-AVERAGE(Rankings!P2:P651))/STDEV(Rankings!P2:P651)</f>
        <v>-0.53982228526935438</v>
      </c>
      <c r="J215" s="121">
        <f>(VLOOKUP($A215,Hitters!$A1:$R401,8,FALSE)-AVERAGE(Rankings!Q2:Q651))/STDEV(Rankings!Q2:Q651)</f>
        <v>-0.69120252353664136</v>
      </c>
      <c r="K215" s="121">
        <f>(VLOOKUP($A215,Hitters!$A1:$R401,9,FALSE)-AVERAGE(Rankings!R2:R651))/STDEV(Rankings!R2:R651)</f>
        <v>-1.2323874677904039</v>
      </c>
      <c r="L215" s="121">
        <f>(VLOOKUP($A215,Hitters!$A1:$R401,10,FALSE)-AVERAGE(Rankings!S2:S651))/STDEV(Rankings!S2:S651)</f>
        <v>-0.30129051821356195</v>
      </c>
      <c r="M215" s="121">
        <f>(VLOOKUP($A215,Hitters!$A1:$R401,11,FALSE)-AVERAGE(Rankings!T2:T651))/STDEV(Rankings!T2:T651)</f>
        <v>-0.92652001031191755</v>
      </c>
      <c r="N215" s="121">
        <f>(VLOOKUP($A215,Hitters!$A1:$R401,12,FALSE)-AVERAGE(Rankings!U2:U651))/STDEV(Rankings!U2:U651)</f>
        <v>-0.90244146762049837</v>
      </c>
      <c r="O215" s="121">
        <f>(VLOOKUP($A215,Hitters!$A1:$R401,13,FALSE)-AVERAGE(Rankings!V2:V651))/STDEV(Rankings!V2:V651)</f>
        <v>-0.9222476575675117</v>
      </c>
      <c r="P215" s="121">
        <f>(VLOOKUP($A215,Hitters!$A1:$R401,14,FALSE)-AVERAGE(Rankings!W2:W651))/STDEV(Rankings!W2:W651)</f>
        <v>-0.19535885542019357</v>
      </c>
      <c r="Q215" s="121">
        <f>(VLOOKUP($A215,Hitters!$A1:$R401,15,FALSE)-AVERAGE(Rankings!X2:X651))/STDEV(Rankings!X2:X651)</f>
        <v>-0.17027204502532009</v>
      </c>
      <c r="R215" s="121">
        <f>(VLOOKUP($A215,Hitters!$A1:$R401,16,FALSE)-AVERAGE(Rankings!Y2:Y651))/STDEV(Rankings!Y2:Y651)</f>
        <v>-5.9476298317632965E-3</v>
      </c>
      <c r="S215" s="121">
        <f>(VLOOKUP($A215,Hitters!$A1:$R401,17,FALSE)-AVERAGE(Rankings!Z2:Z651))/STDEV(Rankings!Z2:Z651)</f>
        <v>-0.12259299140652388</v>
      </c>
      <c r="T215" s="121">
        <f>IFERROR((VLOOKUP($A215,Hitters!$A1:$R401,18,FALSE)-AVERAGE(Rankings!AA2:AA651))/STDEV(Rankings!AA2:AA651),0)</f>
        <v>0</v>
      </c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</row>
    <row r="216" spans="1:37" ht="18.600000000000001" customHeight="1">
      <c r="A216" s="25" t="s">
        <v>714</v>
      </c>
      <c r="B216" s="26" t="s">
        <v>260</v>
      </c>
      <c r="C216" s="125" t="s">
        <v>114</v>
      </c>
      <c r="D216" s="67">
        <f>(F216*Settings!$C$2)+(G216*Settings!$C$3)+(H216*Settings!$C$4)+(I216*Settings!$C$5)+(J216*Settings!$C$6)+(M216*Settings!$C$9)+(N216*Settings!$C$10)+(O216*Settings!$C$11)+(P216*Settings!$C$12)+(Q216*Settings!$C$13)+(T216*Settings!$C$16)+(K216*Settings!$C$7)+(L216*Settings!$C$8)+(R216*Settings!$C$14)+(S216*Settings!$C$15)</f>
        <v>-3.4875196407153184</v>
      </c>
      <c r="E216" s="67"/>
      <c r="F216" s="121">
        <f>(VLOOKUP($A216,Hitters!$A1:$R401,4,FALSE)-AVERAGE(Rankings!M2:M651))/STDEV(Rankings!M2:M651)</f>
        <v>-0.65473613873867409</v>
      </c>
      <c r="G216" s="121">
        <f>(VLOOKUP($A216,Hitters!$A1:$R401,5,FALSE)-AVERAGE(Rankings!N2:N651))/STDEV(Rankings!N2:N651)</f>
        <v>-1.0582118849518785</v>
      </c>
      <c r="H216" s="121">
        <f>(VLOOKUP($A216,Hitters!$A1:$R401,6,FALSE)-AVERAGE(Rankings!O2:O651))/STDEV(Rankings!O2:O651)</f>
        <v>-0.89767107521919676</v>
      </c>
      <c r="I216" s="121">
        <f>(VLOOKUP($A216,Hitters!$A1:$R401,7,FALSE)-AVERAGE(Rankings!P2:P651))/STDEV(Rankings!P2:P651)</f>
        <v>-0.66006094349020472</v>
      </c>
      <c r="J216" s="121">
        <f>(VLOOKUP($A216,Hitters!$A1:$R401,8,FALSE)-AVERAGE(Rankings!Q2:Q651))/STDEV(Rankings!Q2:Q651)</f>
        <v>-0.82171715206105023</v>
      </c>
      <c r="K216" s="121">
        <f>(VLOOKUP($A216,Hitters!$A1:$R401,9,FALSE)-AVERAGE(Rankings!R2:R651))/STDEV(Rankings!R2:R651)</f>
        <v>-4.985858499298837E-2</v>
      </c>
      <c r="L216" s="121">
        <f>(VLOOKUP($A216,Hitters!$A1:$R401,10,FALSE)-AVERAGE(Rankings!S2:S651))/STDEV(Rankings!S2:S651)</f>
        <v>-0.4676656497477068</v>
      </c>
      <c r="M216" s="121">
        <f>(VLOOKUP($A216,Hitters!$A1:$R401,11,FALSE)-AVERAGE(Rankings!T2:T651))/STDEV(Rankings!T2:T651)</f>
        <v>-0.61351971123268501</v>
      </c>
      <c r="N216" s="121">
        <f>(VLOOKUP($A216,Hitters!$A1:$R401,12,FALSE)-AVERAGE(Rankings!U2:U651))/STDEV(Rankings!U2:U651)</f>
        <v>-1.2383434599151619</v>
      </c>
      <c r="O216" s="121">
        <f>(VLOOKUP($A216,Hitters!$A1:$R401,13,FALSE)-AVERAGE(Rankings!V2:V651))/STDEV(Rankings!V2:V651)</f>
        <v>-0.94990270129182863</v>
      </c>
      <c r="P216" s="121">
        <f>(VLOOKUP($A216,Hitters!$A1:$R401,14,FALSE)-AVERAGE(Rankings!W2:W651))/STDEV(Rankings!W2:W651)</f>
        <v>-0.74891039130071435</v>
      </c>
      <c r="Q216" s="121">
        <f>(VLOOKUP($A216,Hitters!$A1:$R401,15,FALSE)-AVERAGE(Rankings!X2:X651))/STDEV(Rankings!X2:X651)</f>
        <v>-0.52408099803902208</v>
      </c>
      <c r="R216" s="121">
        <f>(VLOOKUP($A216,Hitters!$A1:$R401,16,FALSE)-AVERAGE(Rankings!Y2:Y651))/STDEV(Rankings!Y2:Y651)</f>
        <v>-1.3770571883325855</v>
      </c>
      <c r="S216" s="121">
        <f>(VLOOKUP($A216,Hitters!$A1:$R401,17,FALSE)-AVERAGE(Rankings!Z2:Z651))/STDEV(Rankings!Z2:Z651)</f>
        <v>-1.1859415283798458</v>
      </c>
      <c r="T216" s="121">
        <f>IFERROR((VLOOKUP($A216,Hitters!$A1:$R401,18,FALSE)-AVERAGE(Rankings!AA2:AA651))/STDEV(Rankings!AA2:AA651),0)</f>
        <v>0</v>
      </c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</row>
    <row r="217" spans="1:37" ht="18.600000000000001" customHeight="1">
      <c r="A217" s="25" t="s">
        <v>715</v>
      </c>
      <c r="B217" s="26" t="s">
        <v>92</v>
      </c>
      <c r="C217" s="125" t="s">
        <v>114</v>
      </c>
      <c r="D217" s="67">
        <f>(F217*Settings!$C$2)+(G217*Settings!$C$3)+(H217*Settings!$C$4)+(I217*Settings!$C$5)+(J217*Settings!$C$6)+(M217*Settings!$C$9)+(N217*Settings!$C$10)+(O217*Settings!$C$11)+(P217*Settings!$C$12)+(Q217*Settings!$C$13)+(T217*Settings!$C$16)+(K217*Settings!$C$7)+(L217*Settings!$C$8)+(R217*Settings!$C$14)+(S217*Settings!$C$15)</f>
        <v>-3.4924318087933486</v>
      </c>
      <c r="E217" s="67"/>
      <c r="F217" s="121">
        <f>(VLOOKUP($A217,Hitters!$A1:$R401,4,FALSE)-AVERAGE(Rankings!M2:M651))/STDEV(Rankings!M2:M651)</f>
        <v>-1.3416301819329011</v>
      </c>
      <c r="G217" s="121">
        <f>(VLOOKUP($A217,Hitters!$A1:$R401,5,FALSE)-AVERAGE(Rankings!N2:N651))/STDEV(Rankings!N2:N651)</f>
        <v>-1.0779440904695048</v>
      </c>
      <c r="H217" s="121">
        <f>(VLOOKUP($A217,Hitters!$A1:$R401,6,FALSE)-AVERAGE(Rankings!O2:O651))/STDEV(Rankings!O2:O651)</f>
        <v>-0.25441169536352004</v>
      </c>
      <c r="I217" s="121">
        <f>(VLOOKUP($A217,Hitters!$A1:$R401,7,FALSE)-AVERAGE(Rankings!P2:P651))/STDEV(Rankings!P2:P651)</f>
        <v>-0.94215933393143136</v>
      </c>
      <c r="J217" s="121">
        <f>(VLOOKUP($A217,Hitters!$A1:$R401,8,FALSE)-AVERAGE(Rankings!Q2:Q651))/STDEV(Rankings!Q2:Q651)</f>
        <v>-0.84179632568019003</v>
      </c>
      <c r="K217" s="121">
        <f>(VLOOKUP($A217,Hitters!$A1:$R401,9,FALSE)-AVERAGE(Rankings!R2:R651))/STDEV(Rankings!R2:R651)</f>
        <v>-0.37612036334870225</v>
      </c>
      <c r="L217" s="121">
        <f>(VLOOKUP($A217,Hitters!$A1:$R401,10,FALSE)-AVERAGE(Rankings!S2:S651))/STDEV(Rankings!S2:S651)</f>
        <v>-0.85340482168595977</v>
      </c>
      <c r="M217" s="121">
        <f>(VLOOKUP($A217,Hitters!$A1:$R401,11,FALSE)-AVERAGE(Rankings!T2:T651))/STDEV(Rankings!T2:T651)</f>
        <v>-1.2467993861139268</v>
      </c>
      <c r="N217" s="121">
        <f>(VLOOKUP($A217,Hitters!$A1:$R401,12,FALSE)-AVERAGE(Rankings!U2:U651))/STDEV(Rankings!U2:U651)</f>
        <v>-1.004487642494825</v>
      </c>
      <c r="O217" s="121">
        <f>(VLOOKUP($A217,Hitters!$A1:$R401,13,FALSE)-AVERAGE(Rankings!V2:V651))/STDEV(Rankings!V2:V651)</f>
        <v>-0.673352264048656</v>
      </c>
      <c r="P217" s="121">
        <f>(VLOOKUP($A217,Hitters!$A1:$R401,14,FALSE)-AVERAGE(Rankings!W2:W651))/STDEV(Rankings!W2:W651)</f>
        <v>-1.1854359313407175</v>
      </c>
      <c r="Q217" s="121">
        <f>(VLOOKUP($A217,Hitters!$A1:$R401,15,FALSE)-AVERAGE(Rankings!X2:X651))/STDEV(Rankings!X2:X651)</f>
        <v>-0.87983931167538687</v>
      </c>
      <c r="R217" s="121">
        <f>(VLOOKUP($A217,Hitters!$A1:$R401,16,FALSE)-AVERAGE(Rankings!Y2:Y651))/STDEV(Rankings!Y2:Y651)</f>
        <v>1.405699490666638</v>
      </c>
      <c r="S217" s="121">
        <f>(VLOOKUP($A217,Hitters!$A1:$R401,17,FALSE)-AVERAGE(Rankings!Z2:Z651))/STDEV(Rankings!Z2:Z651)</f>
        <v>0.68823907116475513</v>
      </c>
      <c r="T217" s="121">
        <f>IFERROR((VLOOKUP($A217,Hitters!$A1:$R401,18,FALSE)-AVERAGE(Rankings!AA2:AA651))/STDEV(Rankings!AA2:AA651),0)</f>
        <v>0</v>
      </c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</row>
    <row r="218" spans="1:37" ht="18.600000000000001" customHeight="1">
      <c r="A218" s="25" t="s">
        <v>734</v>
      </c>
      <c r="B218" s="26" t="s">
        <v>72</v>
      </c>
      <c r="C218" s="125" t="s">
        <v>114</v>
      </c>
      <c r="D218" s="67">
        <f>(F218*Settings!$C$2)+(G218*Settings!$C$3)+(H218*Settings!$C$4)+(I218*Settings!$C$5)+(J218*Settings!$C$6)+(M218*Settings!$C$9)+(N218*Settings!$C$10)+(O218*Settings!$C$11)+(P218*Settings!$C$12)+(Q218*Settings!$C$13)+(T218*Settings!$C$16)+(K218*Settings!$C$7)+(L218*Settings!$C$8)+(R218*Settings!$C$14)+(S218*Settings!$C$15)</f>
        <v>-5.0029957391585782</v>
      </c>
      <c r="E218" s="67"/>
      <c r="F218" s="121">
        <f>(VLOOKUP($A218,Hitters!$A1:$R401,4,FALSE)-AVERAGE(Rankings!M2:M651))/STDEV(Rankings!M2:M651)</f>
        <v>-1.5936654487323083</v>
      </c>
      <c r="G218" s="121">
        <f>(VLOOKUP($A218,Hitters!$A1:$R401,5,FALSE)-AVERAGE(Rankings!N2:N651))/STDEV(Rankings!N2:N651)</f>
        <v>-1.3792396901040564</v>
      </c>
      <c r="H218" s="121">
        <f>(VLOOKUP($A218,Hitters!$A1:$R401,6,FALSE)-AVERAGE(Rankings!O2:O651))/STDEV(Rankings!O2:O651)</f>
        <v>-1.2882214129887155</v>
      </c>
      <c r="I218" s="121">
        <f>(VLOOKUP($A218,Hitters!$A1:$R401,7,FALSE)-AVERAGE(Rankings!P2:P651))/STDEV(Rankings!P2:P651)</f>
        <v>-1.4477783069626993</v>
      </c>
      <c r="J218" s="121">
        <f>(VLOOKUP($A218,Hitters!$A1:$R401,8,FALSE)-AVERAGE(Rankings!Q2:Q651))/STDEV(Rankings!Q2:Q651)</f>
        <v>-0.81418746195387282</v>
      </c>
      <c r="K218" s="121">
        <f>(VLOOKUP($A218,Hitters!$A1:$R401,9,FALSE)-AVERAGE(Rankings!R2:R651))/STDEV(Rankings!R2:R651)</f>
        <v>-7.3568867149234343E-2</v>
      </c>
      <c r="L218" s="121">
        <f>(VLOOKUP($A218,Hitters!$A1:$R401,10,FALSE)-AVERAGE(Rankings!S2:S651))/STDEV(Rankings!S2:S651)</f>
        <v>-0.30802258055735476</v>
      </c>
      <c r="M218" s="121">
        <f>(VLOOKUP($A218,Hitters!$A1:$R401,11,FALSE)-AVERAGE(Rankings!T2:T651))/STDEV(Rankings!T2:T651)</f>
        <v>-1.4292312464784216</v>
      </c>
      <c r="N218" s="121">
        <f>(VLOOKUP($A218,Hitters!$A1:$R401,12,FALSE)-AVERAGE(Rankings!U2:U651))/STDEV(Rankings!U2:U651)</f>
        <v>-1.312752129094358</v>
      </c>
      <c r="O218" s="121">
        <f>(VLOOKUP($A218,Hitters!$A1:$R401,13,FALSE)-AVERAGE(Rankings!V2:V651))/STDEV(Rankings!V2:V651)</f>
        <v>-1.2402806603971603</v>
      </c>
      <c r="P218" s="121">
        <f>(VLOOKUP($A218,Hitters!$A1:$R401,14,FALSE)-AVERAGE(Rankings!W2:W651))/STDEV(Rankings!W2:W651)</f>
        <v>-1.2049402639808027</v>
      </c>
      <c r="Q218" s="121">
        <f>(VLOOKUP($A218,Hitters!$A1:$R401,15,FALSE)-AVERAGE(Rankings!X2:X651))/STDEV(Rankings!X2:X651)</f>
        <v>-1.8949688559281985</v>
      </c>
      <c r="R218" s="121">
        <f>(VLOOKUP($A218,Hitters!$A1:$R401,16,FALSE)-AVERAGE(Rankings!Y2:Y651))/STDEV(Rankings!Y2:Y651)</f>
        <v>-1.123580128638682</v>
      </c>
      <c r="S218" s="121">
        <f>(VLOOKUP($A218,Hitters!$A1:$R401,17,FALSE)-AVERAGE(Rankings!Z2:Z651))/STDEV(Rankings!Z2:Z651)</f>
        <v>-0.93876972761460098</v>
      </c>
      <c r="T218" s="121">
        <f>IFERROR((VLOOKUP($A218,Hitters!$A1:$R401,18,FALSE)-AVERAGE(Rankings!AA2:AA651))/STDEV(Rankings!AA2:AA651),0)</f>
        <v>0</v>
      </c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</row>
    <row r="219" spans="1:37" ht="18.600000000000001" customHeight="1">
      <c r="A219" s="25" t="s">
        <v>736</v>
      </c>
      <c r="B219" s="26" t="s">
        <v>77</v>
      </c>
      <c r="C219" s="125" t="s">
        <v>114</v>
      </c>
      <c r="D219" s="67">
        <f>(F219*Settings!$C$2)+(G219*Settings!$C$3)+(H219*Settings!$C$4)+(I219*Settings!$C$5)+(J219*Settings!$C$6)+(M219*Settings!$C$9)+(N219*Settings!$C$10)+(O219*Settings!$C$11)+(P219*Settings!$C$12)+(Q219*Settings!$C$13)+(T219*Settings!$C$16)+(K219*Settings!$C$7)+(L219*Settings!$C$8)+(R219*Settings!$C$14)+(S219*Settings!$C$15)</f>
        <v>-5.1575623358624707</v>
      </c>
      <c r="E219" s="67"/>
      <c r="F219" s="121">
        <f>(VLOOKUP($A219,Hitters!$A1:$R401,4,FALSE)-AVERAGE(Rankings!M2:M651))/STDEV(Rankings!M2:M651)</f>
        <v>-1.8757360063938182</v>
      </c>
      <c r="G219" s="121">
        <f>(VLOOKUP($A219,Hitters!$A1:$R401,5,FALSE)-AVERAGE(Rankings!N2:N651))/STDEV(Rankings!N2:N651)</f>
        <v>-1.5727670903730997</v>
      </c>
      <c r="H219" s="121">
        <f>(VLOOKUP($A219,Hitters!$A1:$R401,6,FALSE)-AVERAGE(Rankings!O2:O651))/STDEV(Rankings!O2:O651)</f>
        <v>-1.2005042248265776</v>
      </c>
      <c r="I219" s="121">
        <f>(VLOOKUP($A219,Hitters!$A1:$R401,7,FALSE)-AVERAGE(Rankings!P2:P651))/STDEV(Rankings!P2:P651)</f>
        <v>-1.5102099179619872</v>
      </c>
      <c r="J219" s="121">
        <f>(VLOOKUP($A219,Hitters!$A1:$R401,8,FALSE)-AVERAGE(Rankings!Q2:Q651))/STDEV(Rankings!Q2:Q651)</f>
        <v>-0.70877180045338928</v>
      </c>
      <c r="K219" s="121">
        <f>(VLOOKUP($A219,Hitters!$A1:$R401,9,FALSE)-AVERAGE(Rankings!R2:R651))/STDEV(Rankings!R2:R651)</f>
        <v>-0.16530930224741661</v>
      </c>
      <c r="L219" s="121">
        <f>(VLOOKUP($A219,Hitters!$A1:$R401,10,FALSE)-AVERAGE(Rankings!S2:S651))/STDEV(Rankings!S2:S651)</f>
        <v>-0.53144706480062909</v>
      </c>
      <c r="M219" s="121">
        <f>(VLOOKUP($A219,Hitters!$A1:$R401,11,FALSE)-AVERAGE(Rankings!T2:T651))/STDEV(Rankings!T2:T651)</f>
        <v>-1.6803593934140864</v>
      </c>
      <c r="N219" s="121">
        <f>(VLOOKUP($A219,Hitters!$A1:$R401,12,FALSE)-AVERAGE(Rankings!U2:U651))/STDEV(Rankings!U2:U651)</f>
        <v>-1.5806233381394659</v>
      </c>
      <c r="O219" s="121">
        <f>(VLOOKUP($A219,Hitters!$A1:$R401,13,FALSE)-AVERAGE(Rankings!V2:V651))/STDEV(Rankings!V2:V651)</f>
        <v>-0.70100730777297304</v>
      </c>
      <c r="P219" s="121">
        <f>(VLOOKUP($A219,Hitters!$A1:$R401,14,FALSE)-AVERAGE(Rankings!W2:W651))/STDEV(Rankings!W2:W651)</f>
        <v>-1.4194879230217414</v>
      </c>
      <c r="Q219" s="121">
        <f>(VLOOKUP($A219,Hitters!$A1:$R401,15,FALSE)-AVERAGE(Rankings!X2:X651))/STDEV(Rankings!X2:X651)</f>
        <v>-1.665431642609392</v>
      </c>
      <c r="R219" s="121">
        <f>(VLOOKUP($A219,Hitters!$A1:$R401,16,FALSE)-AVERAGE(Rankings!Y2:Y651))/STDEV(Rankings!Y2:Y651)</f>
        <v>-0.28073419659904286</v>
      </c>
      <c r="S219" s="121">
        <f>(VLOOKUP($A219,Hitters!$A1:$R401,17,FALSE)-AVERAGE(Rankings!Z2:Z651))/STDEV(Rankings!Z2:Z651)</f>
        <v>-0.4129543735337462</v>
      </c>
      <c r="T219" s="121">
        <f>IFERROR((VLOOKUP($A219,Hitters!$A1:$R401,18,FALSE)-AVERAGE(Rankings!AA2:AA651))/STDEV(Rankings!AA2:AA651),0)</f>
        <v>0</v>
      </c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</row>
    <row r="220" spans="1:37" ht="18.600000000000001" customHeight="1">
      <c r="A220" s="25" t="s">
        <v>68</v>
      </c>
      <c r="B220" s="26" t="s">
        <v>69</v>
      </c>
      <c r="C220" s="126" t="s">
        <v>23</v>
      </c>
      <c r="D220" s="67">
        <f>(F220*Settings!$C$2)+(G220*Settings!$C$3)+(H220*Settings!$C$4)+(I220*Settings!$C$5)+(J220*Settings!$C$6)+(M220*Settings!$C$9)+(N220*Settings!$C$10)+(O220*Settings!$C$11)+(P220*Settings!$C$12)+(Q220*Settings!$C$13)+(T220*Settings!$C$16)+(K220*Settings!$C$7)+(L220*Settings!$C$8)+(R220*Settings!$C$14)+(S220*Settings!$C$15)</f>
        <v>11.328384419477226</v>
      </c>
      <c r="E220" s="67"/>
      <c r="F220" s="121">
        <f>(VLOOKUP($A220,Hitters!$A1:$R401,4,FALSE)-AVERAGE(Rankings!M2:M651))/STDEV(Rankings!M2:M651)</f>
        <v>1.2022283658662667</v>
      </c>
      <c r="G220" s="121">
        <f>(VLOOKUP($A220,Hitters!$A1:$R401,5,FALSE)-AVERAGE(Rankings!N2:N651))/STDEV(Rankings!N2:N651)</f>
        <v>2.5634067585142826</v>
      </c>
      <c r="H220" s="121">
        <f>(VLOOKUP($A220,Hitters!$A1:$R401,6,FALSE)-AVERAGE(Rankings!O2:O651))/STDEV(Rankings!O2:O651)</f>
        <v>3.8432340944963457</v>
      </c>
      <c r="I220" s="121">
        <f>(VLOOKUP($A220,Hitters!$A1:$R401,7,FALSE)-AVERAGE(Rankings!P2:P651))/STDEV(Rankings!P2:P651)</f>
        <v>2.520097414325372</v>
      </c>
      <c r="J220" s="121">
        <f>(VLOOKUP($A220,Hitters!$A1:$R401,8,FALSE)-AVERAGE(Rankings!Q2:Q651))/STDEV(Rankings!Q2:Q651)</f>
        <v>0.52358748042131187</v>
      </c>
      <c r="K220" s="121">
        <f>(VLOOKUP($A220,Hitters!$A1:$R401,9,FALSE)-AVERAGE(Rankings!R2:R651))/STDEV(Rankings!R2:R651)</f>
        <v>1.878058671719913</v>
      </c>
      <c r="L220" s="121">
        <f>(VLOOKUP($A220,Hitters!$A1:$R401,10,FALSE)-AVERAGE(Rankings!S2:S651))/STDEV(Rankings!S2:S651)</f>
        <v>3.1033585474310765</v>
      </c>
      <c r="M220" s="121">
        <f>(VLOOKUP($A220,Hitters!$A1:$R401,11,FALSE)-AVERAGE(Rankings!T2:T651))/STDEV(Rankings!T2:T651)</f>
        <v>1.5711131901895405</v>
      </c>
      <c r="N220" s="121">
        <f>(VLOOKUP($A220,Hitters!$A1:$R401,12,FALSE)-AVERAGE(Rankings!U2:U651))/STDEV(Rankings!U2:U651)</f>
        <v>0.56872422015104163</v>
      </c>
      <c r="O220" s="121">
        <f>(VLOOKUP($A220,Hitters!$A1:$R401,13,FALSE)-AVERAGE(Rankings!V2:V651))/STDEV(Rankings!V2:V651)</f>
        <v>-0.9222476575675117</v>
      </c>
      <c r="P220" s="121">
        <f>(VLOOKUP($A220,Hitters!$A1:$R401,14,FALSE)-AVERAGE(Rankings!W2:W651))/STDEV(Rankings!W2:W651)</f>
        <v>2.8584623693703093</v>
      </c>
      <c r="Q220" s="121">
        <f>(VLOOKUP($A220,Hitters!$A1:$R401,15,FALSE)-AVERAGE(Rankings!X2:X651))/STDEV(Rankings!X2:X651)</f>
        <v>1.9379614683868935</v>
      </c>
      <c r="R220" s="121">
        <f>(VLOOKUP($A220,Hitters!$A1:$R401,16,FALSE)-AVERAGE(Rankings!Y2:Y651))/STDEV(Rankings!Y2:Y651)</f>
        <v>3.8590725605675886</v>
      </c>
      <c r="S220" s="121">
        <f>(VLOOKUP($A220,Hitters!$A1:$R401,17,FALSE)-AVERAGE(Rankings!Z2:Z651))/STDEV(Rankings!Z2:Z651)</f>
        <v>4.0271935755729054</v>
      </c>
      <c r="T220" s="121">
        <f>IFERROR((VLOOKUP($A220,Hitters!$A1:$R401,18,FALSE)-AVERAGE(Rankings!AA2:AA651))/STDEV(Rankings!AA2:AA651),0)</f>
        <v>0</v>
      </c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</row>
    <row r="221" spans="1:37" ht="18.600000000000001" customHeight="1">
      <c r="A221" s="25" t="s">
        <v>71</v>
      </c>
      <c r="B221" s="26" t="s">
        <v>72</v>
      </c>
      <c r="C221" s="126" t="s">
        <v>23</v>
      </c>
      <c r="D221" s="67">
        <f>(F221*Settings!$C$2)+(G221*Settings!$C$3)+(H221*Settings!$C$4)+(I221*Settings!$C$5)+(J221*Settings!$C$6)+(M221*Settings!$C$9)+(N221*Settings!$C$10)+(O221*Settings!$C$11)+(P221*Settings!$C$12)+(Q221*Settings!$C$13)+(T221*Settings!$C$16)+(K221*Settings!$C$7)+(L221*Settings!$C$8)+(R221*Settings!$C$14)+(S221*Settings!$C$15)</f>
        <v>9.9327995308703603</v>
      </c>
      <c r="E221" s="67"/>
      <c r="F221" s="121">
        <f>(VLOOKUP($A221,Hitters!$A1:$R401,4,FALSE)-AVERAGE(Rankings!M2:M651))/STDEV(Rankings!M2:M651)</f>
        <v>1.5522047985203646</v>
      </c>
      <c r="G221" s="121">
        <f>(VLOOKUP($A221,Hitters!$A1:$R401,5,FALSE)-AVERAGE(Rankings!N2:N651))/STDEV(Rankings!N2:N651)</f>
        <v>2.010905004020715</v>
      </c>
      <c r="H221" s="121">
        <f>(VLOOKUP($A221,Hitters!$A1:$R401,6,FALSE)-AVERAGE(Rankings!O2:O651))/STDEV(Rankings!O2:O651)</f>
        <v>2.0137041699717573</v>
      </c>
      <c r="I221" s="121">
        <f>(VLOOKUP($A221,Hitters!$A1:$R401,7,FALSE)-AVERAGE(Rankings!P2:P651))/STDEV(Rankings!P2:P651)</f>
        <v>1.4888196918926915</v>
      </c>
      <c r="J221" s="121">
        <f>(VLOOKUP($A221,Hitters!$A1:$R401,8,FALSE)-AVERAGE(Rankings!Q2:Q651))/STDEV(Rankings!Q2:Q651)</f>
        <v>2.9632070751467858</v>
      </c>
      <c r="K221" s="121">
        <f>(VLOOKUP($A221,Hitters!$A1:$R401,9,FALSE)-AVERAGE(Rankings!R2:R651))/STDEV(Rankings!R2:R651)</f>
        <v>1.4561635898384113</v>
      </c>
      <c r="L221" s="121">
        <f>(VLOOKUP($A221,Hitters!$A1:$R401,10,FALSE)-AVERAGE(Rankings!S2:S651))/STDEV(Rankings!S2:S651)</f>
        <v>0.88841469441445431</v>
      </c>
      <c r="M221" s="121">
        <f>(VLOOKUP($A221,Hitters!$A1:$R401,11,FALSE)-AVERAGE(Rankings!T2:T651))/STDEV(Rankings!T2:T651)</f>
        <v>1.7858459535113227</v>
      </c>
      <c r="N221" s="121">
        <f>(VLOOKUP($A221,Hitters!$A1:$R401,12,FALSE)-AVERAGE(Rankings!U2:U651))/STDEV(Rankings!U2:U651)</f>
        <v>1.4743840221606914</v>
      </c>
      <c r="O221" s="121">
        <f>(VLOOKUP($A221,Hitters!$A1:$R401,13,FALSE)-AVERAGE(Rankings!V2:V651))/STDEV(Rankings!V2:V651)</f>
        <v>1.3731209715508237</v>
      </c>
      <c r="P221" s="121">
        <f>(VLOOKUP($A221,Hitters!$A1:$R401,14,FALSE)-AVERAGE(Rankings!W2:W651))/STDEV(Rankings!W2:W651)</f>
        <v>0.68698000210747423</v>
      </c>
      <c r="Q221" s="121">
        <f>(VLOOKUP($A221,Hitters!$A1:$R401,15,FALSE)-AVERAGE(Rankings!X2:X651))/STDEV(Rankings!X2:X651)</f>
        <v>1.8979995756222803</v>
      </c>
      <c r="R221" s="121">
        <f>(VLOOKUP($A221,Hitters!$A1:$R401,16,FALSE)-AVERAGE(Rankings!Y2:Y651))/STDEV(Rankings!Y2:Y651)</f>
        <v>1.9260438656391903</v>
      </c>
      <c r="S221" s="121">
        <f>(VLOOKUP($A221,Hitters!$A1:$R401,17,FALSE)-AVERAGE(Rankings!Z2:Z651))/STDEV(Rankings!Z2:Z651)</f>
        <v>1.7507075804978094</v>
      </c>
      <c r="T221" s="121">
        <f>IFERROR((VLOOKUP($A221,Hitters!$A1:$R401,18,FALSE)-AVERAGE(Rankings!AA2:AA651))/STDEV(Rankings!AA2:AA651),0)</f>
        <v>0</v>
      </c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</row>
    <row r="222" spans="1:37" ht="18.600000000000001" customHeight="1">
      <c r="A222" s="25" t="s">
        <v>73</v>
      </c>
      <c r="B222" s="26" t="s">
        <v>74</v>
      </c>
      <c r="C222" s="126" t="s">
        <v>23</v>
      </c>
      <c r="D222" s="67">
        <f>(F222*Settings!$C$2)+(G222*Settings!$C$3)+(H222*Settings!$C$4)+(I222*Settings!$C$5)+(J222*Settings!$C$6)+(M222*Settings!$C$9)+(N222*Settings!$C$10)+(O222*Settings!$C$11)+(P222*Settings!$C$12)+(Q222*Settings!$C$13)+(T222*Settings!$C$16)+(K222*Settings!$C$7)+(L222*Settings!$C$8)+(R222*Settings!$C$14)+(S222*Settings!$C$15)</f>
        <v>9.9261003976096891</v>
      </c>
      <c r="E222" s="67"/>
      <c r="F222" s="121">
        <f>(VLOOKUP($A222,Hitters!$A1:$R401,4,FALSE)-AVERAGE(Rankings!M2:M651))/STDEV(Rankings!M2:M651)</f>
        <v>1.1787224860611407</v>
      </c>
      <c r="G222" s="121">
        <f>(VLOOKUP($A222,Hitters!$A1:$R401,5,FALSE)-AVERAGE(Rankings!N2:N651))/STDEV(Rankings!N2:N651)</f>
        <v>2.282602295378839</v>
      </c>
      <c r="H222" s="121">
        <f>(VLOOKUP($A222,Hitters!$A1:$R401,6,FALSE)-AVERAGE(Rankings!O2:O651))/STDEV(Rankings!O2:O651)</f>
        <v>1.671189435243414</v>
      </c>
      <c r="I222" s="121">
        <f>(VLOOKUP($A222,Hitters!$A1:$R401,7,FALSE)-AVERAGE(Rankings!P2:P651))/STDEV(Rankings!P2:P651)</f>
        <v>1.046403090490329</v>
      </c>
      <c r="J222" s="121">
        <f>(VLOOKUP($A222,Hitters!$A1:$R401,8,FALSE)-AVERAGE(Rankings!Q2:Q651))/STDEV(Rankings!Q2:Q651)</f>
        <v>3.9270074088654936</v>
      </c>
      <c r="K222" s="121">
        <f>(VLOOKUP($A222,Hitters!$A1:$R401,9,FALSE)-AVERAGE(Rankings!R2:R651))/STDEV(Rankings!R2:R651)</f>
        <v>0.99889816763161321</v>
      </c>
      <c r="L222" s="121">
        <f>(VLOOKUP($A222,Hitters!$A1:$R401,10,FALSE)-AVERAGE(Rankings!S2:S651))/STDEV(Rankings!S2:S651)</f>
        <v>1.883308213590333</v>
      </c>
      <c r="M222" s="121">
        <f>(VLOOKUP($A222,Hitters!$A1:$R401,11,FALSE)-AVERAGE(Rankings!T2:T651))/STDEV(Rankings!T2:T651)</f>
        <v>1.2863193134110325</v>
      </c>
      <c r="N222" s="121">
        <f>(VLOOKUP($A222,Hitters!$A1:$R401,12,FALSE)-AVERAGE(Rankings!U2:U651))/STDEV(Rankings!U2:U651)</f>
        <v>1.2447801286934566</v>
      </c>
      <c r="O222" s="121">
        <f>(VLOOKUP($A222,Hitters!$A1:$R401,13,FALSE)-AVERAGE(Rankings!V2:V651))/STDEV(Rankings!V2:V651)</f>
        <v>-0.83928252639455969</v>
      </c>
      <c r="P222" s="121">
        <f>(VLOOKUP($A222,Hitters!$A1:$R401,14,FALSE)-AVERAGE(Rankings!W2:W651))/STDEV(Rankings!W2:W651)</f>
        <v>2.0875768412145521</v>
      </c>
      <c r="Q222" s="121">
        <f>(VLOOKUP($A222,Hitters!$A1:$R401,15,FALSE)-AVERAGE(Rankings!X2:X651))/STDEV(Rankings!X2:X651)</f>
        <v>1.5558867863445682</v>
      </c>
      <c r="R222" s="121">
        <f>(VLOOKUP($A222,Hitters!$A1:$R401,16,FALSE)-AVERAGE(Rankings!Y2:Y651))/STDEV(Rankings!Y2:Y651)</f>
        <v>1.510396025331324</v>
      </c>
      <c r="S222" s="121">
        <f>(VLOOKUP($A222,Hitters!$A1:$R401,17,FALSE)-AVERAGE(Rankings!Z2:Z651))/STDEV(Rankings!Z2:Z651)</f>
        <v>1.8386732255861771</v>
      </c>
      <c r="T222" s="121">
        <f>IFERROR((VLOOKUP($A222,Hitters!$A1:$R401,18,FALSE)-AVERAGE(Rankings!AA2:AA651))/STDEV(Rankings!AA2:AA651),0)</f>
        <v>0</v>
      </c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</row>
    <row r="223" spans="1:37" ht="18.600000000000001" customHeight="1">
      <c r="A223" s="25" t="s">
        <v>78</v>
      </c>
      <c r="B223" s="26" t="s">
        <v>79</v>
      </c>
      <c r="C223" s="126" t="s">
        <v>23</v>
      </c>
      <c r="D223" s="67">
        <f>(F223*Settings!$C$2)+(G223*Settings!$C$3)+(H223*Settings!$C$4)+(I223*Settings!$C$5)+(J223*Settings!$C$6)+(M223*Settings!$C$9)+(N223*Settings!$C$10)+(O223*Settings!$C$11)+(P223*Settings!$C$12)+(Q223*Settings!$C$13)+(T223*Settings!$C$16)+(K223*Settings!$C$7)+(L223*Settings!$C$8)+(R223*Settings!$C$14)+(S223*Settings!$C$15)</f>
        <v>9.4799909904711495</v>
      </c>
      <c r="E223" s="67"/>
      <c r="F223" s="121">
        <f>(VLOOKUP($A223,Hitters!$A1:$R401,4,FALSE)-AVERAGE(Rankings!M2:M651))/STDEV(Rankings!M2:M651)</f>
        <v>1.3484871735426074</v>
      </c>
      <c r="G223" s="121">
        <f>(VLOOKUP($A223,Hitters!$A1:$R401,5,FALSE)-AVERAGE(Rankings!N2:N651))/STDEV(Rankings!N2:N651)</f>
        <v>1.506974832339754</v>
      </c>
      <c r="H223" s="121">
        <f>(VLOOKUP($A223,Hitters!$A1:$R401,6,FALSE)-AVERAGE(Rankings!O2:O651))/STDEV(Rankings!O2:O651)</f>
        <v>2.1682535014955202</v>
      </c>
      <c r="I223" s="121">
        <f>(VLOOKUP($A223,Hitters!$A1:$R401,7,FALSE)-AVERAGE(Rankings!P2:P651))/STDEV(Rankings!P2:P651)</f>
        <v>2.3012013955130697</v>
      </c>
      <c r="J223" s="121">
        <f>(VLOOKUP($A223,Hitters!$A1:$R401,8,FALSE)-AVERAGE(Rankings!Q2:Q651))/STDEV(Rankings!Q2:Q651)</f>
        <v>2.1650599237859809</v>
      </c>
      <c r="K223" s="121">
        <f>(VLOOKUP($A223,Hitters!$A1:$R401,9,FALSE)-AVERAGE(Rankings!R2:R651))/STDEV(Rankings!R2:R651)</f>
        <v>1.3385013373368246</v>
      </c>
      <c r="L223" s="121">
        <f>(VLOOKUP($A223,Hitters!$A1:$R401,10,FALSE)-AVERAGE(Rankings!S2:S651))/STDEV(Rankings!S2:S651)</f>
        <v>1.2943045301191738</v>
      </c>
      <c r="M223" s="121">
        <f>(VLOOKUP($A223,Hitters!$A1:$R401,11,FALSE)-AVERAGE(Rankings!T2:T651))/STDEV(Rankings!T2:T651)</f>
        <v>1.551095729201897</v>
      </c>
      <c r="N223" s="121">
        <f>(VLOOKUP($A223,Hitters!$A1:$R401,12,FALSE)-AVERAGE(Rankings!U2:U651))/STDEV(Rankings!U2:U651)</f>
        <v>1.4828878700668897</v>
      </c>
      <c r="O223" s="121">
        <f>(VLOOKUP($A223,Hitters!$A1:$R401,13,FALSE)-AVERAGE(Rankings!V2:V651))/STDEV(Rankings!V2:V651)</f>
        <v>1.2625007966535575</v>
      </c>
      <c r="P223" s="121">
        <f>(VLOOKUP($A223,Hitters!$A1:$R401,14,FALSE)-AVERAGE(Rankings!W2:W651))/STDEV(Rankings!W2:W651)</f>
        <v>1.1736595403648395</v>
      </c>
      <c r="Q223" s="121">
        <f>(VLOOKUP($A223,Hitters!$A1:$R401,15,FALSE)-AVERAGE(Rankings!X2:X651))/STDEV(Rankings!X2:X651)</f>
        <v>0.21862539919634322</v>
      </c>
      <c r="R223" s="121">
        <f>(VLOOKUP($A223,Hitters!$A1:$R401,16,FALSE)-AVERAGE(Rankings!Y2:Y651))/STDEV(Rankings!Y2:Y651)</f>
        <v>2.2499511523931042</v>
      </c>
      <c r="S223" s="121">
        <f>(VLOOKUP($A223,Hitters!$A1:$R401,17,FALSE)-AVERAGE(Rankings!Z2:Z651))/STDEV(Rankings!Z2:Z651)</f>
        <v>2.1458038303908191</v>
      </c>
      <c r="T223" s="121">
        <f>IFERROR((VLOOKUP($A223,Hitters!$A1:$R401,18,FALSE)-AVERAGE(Rankings!AA2:AA651))/STDEV(Rankings!AA2:AA651),0)</f>
        <v>0</v>
      </c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</row>
    <row r="224" spans="1:37" ht="18.600000000000001" customHeight="1">
      <c r="A224" s="25" t="s">
        <v>80</v>
      </c>
      <c r="B224" s="26" t="s">
        <v>79</v>
      </c>
      <c r="C224" s="126" t="s">
        <v>23</v>
      </c>
      <c r="D224" s="67">
        <f>(F224*Settings!$C$2)+(G224*Settings!$C$3)+(H224*Settings!$C$4)+(I224*Settings!$C$5)+(J224*Settings!$C$6)+(M224*Settings!$C$9)+(N224*Settings!$C$10)+(O224*Settings!$C$11)+(P224*Settings!$C$12)+(Q224*Settings!$C$13)+(T224*Settings!$C$16)+(K224*Settings!$C$7)+(L224*Settings!$C$8)+(R224*Settings!$C$14)+(S224*Settings!$C$15)</f>
        <v>8.6270973268436002</v>
      </c>
      <c r="E224" s="67"/>
      <c r="F224" s="121">
        <f>(VLOOKUP($A224,Hitters!$A1:$R401,4,FALSE)-AVERAGE(Rankings!M2:M651))/STDEV(Rankings!M2:M651)</f>
        <v>1.1317107264508892</v>
      </c>
      <c r="G224" s="121">
        <f>(VLOOKUP($A224,Hitters!$A1:$R401,5,FALSE)-AVERAGE(Rankings!N2:N651))/STDEV(Rankings!N2:N651)</f>
        <v>1.9805477647628245</v>
      </c>
      <c r="H224" s="121">
        <f>(VLOOKUP($A224,Hitters!$A1:$R401,6,FALSE)-AVERAGE(Rankings!O2:O651))/STDEV(Rankings!O2:O651)</f>
        <v>2.8156898903113032</v>
      </c>
      <c r="I224" s="121">
        <f>(VLOOKUP($A224,Hitters!$A1:$R401,7,FALSE)-AVERAGE(Rankings!P2:P651))/STDEV(Rankings!P2:P651)</f>
        <v>2.5694260946211211</v>
      </c>
      <c r="J224" s="121">
        <f>(VLOOKUP($A224,Hitters!$A1:$R401,8,FALSE)-AVERAGE(Rankings!Q2:Q651))/STDEV(Rankings!Q2:Q651)</f>
        <v>-0.721321283965351</v>
      </c>
      <c r="K224" s="121">
        <f>(VLOOKUP($A224,Hitters!$A1:$R401,9,FALSE)-AVERAGE(Rankings!R2:R651))/STDEV(Rankings!R2:R651)</f>
        <v>1.9827548611137022</v>
      </c>
      <c r="L224" s="121">
        <f>(VLOOKUP($A224,Hitters!$A1:$R401,10,FALSE)-AVERAGE(Rankings!S2:S651))/STDEV(Rankings!S2:S651)</f>
        <v>2.5403293547675827</v>
      </c>
      <c r="M224" s="121">
        <f>(VLOOKUP($A224,Hitters!$A1:$R401,11,FALSE)-AVERAGE(Rankings!T2:T651))/STDEV(Rankings!T2:T651)</f>
        <v>1.5310782682142803</v>
      </c>
      <c r="N224" s="121">
        <f>(VLOOKUP($A224,Hitters!$A1:$R401,12,FALSE)-AVERAGE(Rankings!U2:U651))/STDEV(Rankings!U2:U651)</f>
        <v>1.3638339993801665</v>
      </c>
      <c r="O224" s="121">
        <f>(VLOOKUP($A224,Hitters!$A1:$R401,13,FALSE)-AVERAGE(Rankings!V2:V651))/STDEV(Rankings!V2:V651)</f>
        <v>0.34988435375108684</v>
      </c>
      <c r="P224" s="121">
        <f>(VLOOKUP($A224,Hitters!$A1:$R401,14,FALSE)-AVERAGE(Rankings!W2:W651))/STDEV(Rankings!W2:W651)</f>
        <v>1.9408299575415311</v>
      </c>
      <c r="Q224" s="121">
        <f>(VLOOKUP($A224,Hitters!$A1:$R401,15,FALSE)-AVERAGE(Rankings!X2:X651))/STDEV(Rankings!X2:X651)</f>
        <v>0.98959752546036972</v>
      </c>
      <c r="R224" s="121">
        <f>(VLOOKUP($A224,Hitters!$A1:$R401,16,FALSE)-AVERAGE(Rankings!Y2:Y651))/STDEV(Rankings!Y2:Y651)</f>
        <v>3.3643478198476076</v>
      </c>
      <c r="S224" s="121">
        <f>(VLOOKUP($A224,Hitters!$A1:$R401,17,FALSE)-AVERAGE(Rankings!Z2:Z651))/STDEV(Rankings!Z2:Z651)</f>
        <v>3.4460769242992697</v>
      </c>
      <c r="T224" s="121">
        <f>IFERROR((VLOOKUP($A224,Hitters!$A1:$R401,18,FALSE)-AVERAGE(Rankings!AA2:AA651))/STDEV(Rankings!AA2:AA651),0)</f>
        <v>0</v>
      </c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</row>
    <row r="225" spans="1:37" ht="18.600000000000001" customHeight="1">
      <c r="A225" s="25" t="s">
        <v>83</v>
      </c>
      <c r="B225" s="26" t="s">
        <v>64</v>
      </c>
      <c r="C225" s="126" t="s">
        <v>23</v>
      </c>
      <c r="D225" s="67">
        <f>(F225*Settings!$C$2)+(G225*Settings!$C$3)+(H225*Settings!$C$4)+(I225*Settings!$C$5)+(J225*Settings!$C$6)+(M225*Settings!$C$9)+(N225*Settings!$C$10)+(O225*Settings!$C$11)+(P225*Settings!$C$12)+(Q225*Settings!$C$13)+(T225*Settings!$C$16)+(K225*Settings!$C$7)+(L225*Settings!$C$8)+(R225*Settings!$C$14)+(S225*Settings!$C$15)</f>
        <v>8.4907363589293556</v>
      </c>
      <c r="E225" s="67"/>
      <c r="F225" s="121">
        <f>(VLOOKUP($A225,Hitters!$A1:$R401,4,FALSE)-AVERAGE(Rankings!M2:M651))/STDEV(Rankings!M2:M651)</f>
        <v>1.0925342601090127</v>
      </c>
      <c r="G225" s="121">
        <f>(VLOOKUP($A225,Hitters!$A1:$R401,5,FALSE)-AVERAGE(Rankings!N2:N651))/STDEV(Rankings!N2:N651)</f>
        <v>2.6241212370300917</v>
      </c>
      <c r="H225" s="121">
        <f>(VLOOKUP($A225,Hitters!$A1:$R401,6,FALSE)-AVERAGE(Rankings!O2:O651))/STDEV(Rankings!O2:O651)</f>
        <v>2.1306604208546038</v>
      </c>
      <c r="I225" s="121">
        <f>(VLOOKUP($A225,Hitters!$A1:$R401,7,FALSE)-AVERAGE(Rankings!P2:P651))/STDEV(Rankings!P2:P651)</f>
        <v>1.7262139658159079</v>
      </c>
      <c r="J225" s="121">
        <f>(VLOOKUP($A225,Hitters!$A1:$R401,8,FALSE)-AVERAGE(Rankings!Q2:Q651))/STDEV(Rankings!Q2:Q651)</f>
        <v>0.38805305849211852</v>
      </c>
      <c r="K225" s="121">
        <f>(VLOOKUP($A225,Hitters!$A1:$R401,9,FALSE)-AVERAGE(Rankings!R2:R651))/STDEV(Rankings!R2:R651)</f>
        <v>1.6216876767366337</v>
      </c>
      <c r="L225" s="121">
        <f>(VLOOKUP($A225,Hitters!$A1:$R401,10,FALSE)-AVERAGE(Rankings!S2:S651))/STDEV(Rankings!S2:S651)</f>
        <v>4.9023155561328</v>
      </c>
      <c r="M225" s="121">
        <f>(VLOOKUP($A225,Hitters!$A1:$R401,11,FALSE)-AVERAGE(Rankings!T2:T651))/STDEV(Rankings!T2:T651)</f>
        <v>1.3864066183491688</v>
      </c>
      <c r="N225" s="121">
        <f>(VLOOKUP($A225,Hitters!$A1:$R401,12,FALSE)-AVERAGE(Rankings!U2:U651))/STDEV(Rankings!U2:U651)</f>
        <v>1.0109243112731285</v>
      </c>
      <c r="O225" s="121">
        <f>(VLOOKUP($A225,Hitters!$A1:$R401,13,FALSE)-AVERAGE(Rankings!V2:V651))/STDEV(Rankings!V2:V651)</f>
        <v>0.32222931002676414</v>
      </c>
      <c r="P225" s="121">
        <f>(VLOOKUP($A225,Hitters!$A1:$R401,14,FALSE)-AVERAGE(Rankings!W2:W651))/STDEV(Rankings!W2:W651)</f>
        <v>5.5519178291916162</v>
      </c>
      <c r="Q225" s="121">
        <f>(VLOOKUP($A225,Hitters!$A1:$R401,15,FALSE)-AVERAGE(Rankings!X2:X651))/STDEV(Rankings!X2:X651)</f>
        <v>2.3689336929851569E-2</v>
      </c>
      <c r="R225" s="121">
        <f>(VLOOKUP($A225,Hitters!$A1:$R401,16,FALSE)-AVERAGE(Rankings!Y2:Y651))/STDEV(Rankings!Y2:Y651)</f>
        <v>2.4205886569829387</v>
      </c>
      <c r="S225" s="121">
        <f>(VLOOKUP($A225,Hitters!$A1:$R401,17,FALSE)-AVERAGE(Rankings!Z2:Z651))/STDEV(Rankings!Z2:Z651)</f>
        <v>3.6862420676703396</v>
      </c>
      <c r="T225" s="121">
        <f>IFERROR((VLOOKUP($A225,Hitters!$A1:$R401,18,FALSE)-AVERAGE(Rankings!AA2:AA651))/STDEV(Rankings!AA2:AA651),0)</f>
        <v>0</v>
      </c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</row>
    <row r="226" spans="1:37" ht="18.600000000000001" customHeight="1">
      <c r="A226" s="25" t="s">
        <v>81</v>
      </c>
      <c r="B226" s="26" t="s">
        <v>82</v>
      </c>
      <c r="C226" s="126" t="s">
        <v>23</v>
      </c>
      <c r="D226" s="67">
        <f>(F226*Settings!$C$2)+(G226*Settings!$C$3)+(H226*Settings!$C$4)+(I226*Settings!$C$5)+(J226*Settings!$C$6)+(M226*Settings!$C$9)+(N226*Settings!$C$10)+(O226*Settings!$C$11)+(P226*Settings!$C$12)+(Q226*Settings!$C$13)+(T226*Settings!$C$16)+(K226*Settings!$C$7)+(L226*Settings!$C$8)+(R226*Settings!$C$14)+(S226*Settings!$C$15)</f>
        <v>8.5985605849654068</v>
      </c>
      <c r="E226" s="67"/>
      <c r="F226" s="121">
        <f>(VLOOKUP($A226,Hitters!$A1:$R401,4,FALSE)-AVERAGE(Rankings!M2:M651))/STDEV(Rankings!M2:M651)</f>
        <v>1.4660165725682366</v>
      </c>
      <c r="G226" s="121">
        <f>(VLOOKUP($A226,Hitters!$A1:$R401,5,FALSE)-AVERAGE(Rankings!N2:N651))/STDEV(Rankings!N2:N651)</f>
        <v>2.651442752362192</v>
      </c>
      <c r="H226" s="121">
        <f>(VLOOKUP($A226,Hitters!$A1:$R401,6,FALSE)-AVERAGE(Rankings!O2:O651))/STDEV(Rankings!O2:O651)</f>
        <v>2.1223064029344081</v>
      </c>
      <c r="I226" s="121">
        <f>(VLOOKUP($A226,Hitters!$A1:$R401,7,FALSE)-AVERAGE(Rankings!P2:P651))/STDEV(Rankings!P2:P651)</f>
        <v>1.4502816604116513</v>
      </c>
      <c r="J226" s="121">
        <f>(VLOOKUP($A226,Hitters!$A1:$R401,8,FALSE)-AVERAGE(Rankings!Q2:Q651))/STDEV(Rankings!Q2:Q651)</f>
        <v>1.2414179373055578</v>
      </c>
      <c r="K226" s="121">
        <f>(VLOOKUP($A226,Hitters!$A1:$R401,9,FALSE)-AVERAGE(Rankings!R2:R651))/STDEV(Rankings!R2:R651)</f>
        <v>1.1331118319515971</v>
      </c>
      <c r="L226" s="121">
        <f>(VLOOKUP($A226,Hitters!$A1:$R401,10,FALSE)-AVERAGE(Rankings!S2:S651))/STDEV(Rankings!S2:S651)</f>
        <v>1.3964870226002419</v>
      </c>
      <c r="M226" s="121">
        <f>(VLOOKUP($A226,Hitters!$A1:$R401,11,FALSE)-AVERAGE(Rankings!T2:T651))/STDEV(Rankings!T2:T651)</f>
        <v>1.5993196124902762</v>
      </c>
      <c r="N226" s="121">
        <f>(VLOOKUP($A226,Hitters!$A1:$R401,12,FALSE)-AVERAGE(Rankings!U2:U651))/STDEV(Rankings!U2:U651)</f>
        <v>2.2057149420933619</v>
      </c>
      <c r="O226" s="121">
        <f>(VLOOKUP($A226,Hitters!$A1:$R401,13,FALSE)-AVERAGE(Rankings!V2:V651))/STDEV(Rankings!V2:V651)</f>
        <v>0.95829531568606441</v>
      </c>
      <c r="P226" s="121">
        <f>(VLOOKUP($A226,Hitters!$A1:$R401,14,FALSE)-AVERAGE(Rankings!W2:W651))/STDEV(Rankings!W2:W651)</f>
        <v>1.5953246364885909</v>
      </c>
      <c r="Q226" s="121">
        <f>(VLOOKUP($A226,Hitters!$A1:$R401,15,FALSE)-AVERAGE(Rankings!X2:X651))/STDEV(Rankings!X2:X651)</f>
        <v>0.29757450441427635</v>
      </c>
      <c r="R226" s="121">
        <f>(VLOOKUP($A226,Hitters!$A1:$R401,16,FALSE)-AVERAGE(Rankings!Y2:Y651))/STDEV(Rankings!Y2:Y651)</f>
        <v>2.1652921015898619</v>
      </c>
      <c r="S226" s="121">
        <f>(VLOOKUP($A226,Hitters!$A1:$R401,17,FALSE)-AVERAGE(Rankings!Z2:Z651))/STDEV(Rankings!Z2:Z651)</f>
        <v>2.124288831443284</v>
      </c>
      <c r="T226" s="121">
        <f>IFERROR((VLOOKUP($A226,Hitters!$A1:$R401,18,FALSE)-AVERAGE(Rankings!AA2:AA651))/STDEV(Rankings!AA2:AA651),0)</f>
        <v>0</v>
      </c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</row>
    <row r="227" spans="1:37" ht="18.600000000000001" customHeight="1">
      <c r="A227" s="25" t="s">
        <v>90</v>
      </c>
      <c r="B227" s="26" t="s">
        <v>85</v>
      </c>
      <c r="C227" s="126" t="s">
        <v>23</v>
      </c>
      <c r="D227" s="67">
        <f>(F227*Settings!$C$2)+(G227*Settings!$C$3)+(H227*Settings!$C$4)+(I227*Settings!$C$5)+(J227*Settings!$C$6)+(M227*Settings!$C$9)+(N227*Settings!$C$10)+(O227*Settings!$C$11)+(P227*Settings!$C$12)+(Q227*Settings!$C$13)+(T227*Settings!$C$16)+(K227*Settings!$C$7)+(L227*Settings!$C$8)+(R227*Settings!$C$14)+(S227*Settings!$C$15)</f>
        <v>7.2312572605649938</v>
      </c>
      <c r="E227" s="67"/>
      <c r="F227" s="121">
        <f>(VLOOKUP($A227,Hitters!$A1:$R401,4,FALSE)-AVERAGE(Rankings!M2:M651))/STDEV(Rankings!M2:M651)</f>
        <v>0.90448722166800566</v>
      </c>
      <c r="G227" s="121">
        <f>(VLOOKUP($A227,Hitters!$A1:$R401,5,FALSE)-AVERAGE(Rankings!N2:N651))/STDEV(Rankings!N2:N651)</f>
        <v>1.9623334212080914</v>
      </c>
      <c r="H227" s="121">
        <f>(VLOOKUP($A227,Hitters!$A1:$R401,6,FALSE)-AVERAGE(Rankings!O2:O651))/STDEV(Rankings!O2:O651)</f>
        <v>2.9242921232739536</v>
      </c>
      <c r="I227" s="121">
        <f>(VLOOKUP($A227,Hitters!$A1:$R401,7,FALSE)-AVERAGE(Rankings!P2:P651))/STDEV(Rankings!P2:P651)</f>
        <v>1.8356619752220684</v>
      </c>
      <c r="J227" s="121">
        <f>(VLOOKUP($A227,Hitters!$A1:$R401,8,FALSE)-AVERAGE(Rankings!Q2:Q651))/STDEV(Rankings!Q2:Q651)</f>
        <v>-0.570727481821803</v>
      </c>
      <c r="K227" s="121">
        <f>(VLOOKUP($A227,Hitters!$A1:$R401,9,FALSE)-AVERAGE(Rankings!R2:R651))/STDEV(Rankings!R2:R651)</f>
        <v>1.0796972226826833</v>
      </c>
      <c r="L227" s="121">
        <f>(VLOOKUP($A227,Hitters!$A1:$R401,10,FALSE)-AVERAGE(Rankings!S2:S651))/STDEV(Rankings!S2:S651)</f>
        <v>2.1521557130470441</v>
      </c>
      <c r="M227" s="121">
        <f>(VLOOKUP($A227,Hitters!$A1:$R401,11,FALSE)-AVERAGE(Rankings!T2:T651))/STDEV(Rankings!T2:T651)</f>
        <v>1.0506592045112695</v>
      </c>
      <c r="N227" s="121">
        <f>(VLOOKUP($A227,Hitters!$A1:$R401,12,FALSE)-AVERAGE(Rankings!U2:U651))/STDEV(Rankings!U2:U651)</f>
        <v>1.0576954747571865</v>
      </c>
      <c r="O227" s="121">
        <f>(VLOOKUP($A227,Hitters!$A1:$R401,13,FALSE)-AVERAGE(Rankings!V2:V651))/STDEV(Rankings!V2:V651)</f>
        <v>0.84767514078879813</v>
      </c>
      <c r="P227" s="121">
        <f>(VLOOKUP($A227,Hitters!$A1:$R401,14,FALSE)-AVERAGE(Rankings!W2:W651))/STDEV(Rankings!W2:W651)</f>
        <v>2.0634286198506393</v>
      </c>
      <c r="Q227" s="121">
        <f>(VLOOKUP($A227,Hitters!$A1:$R401,15,FALSE)-AVERAGE(Rankings!X2:X651))/STDEV(Rankings!X2:X651)</f>
        <v>1.7859113398190221</v>
      </c>
      <c r="R227" s="121">
        <f>(VLOOKUP($A227,Hitters!$A1:$R401,16,FALSE)-AVERAGE(Rankings!Y2:Y651))/STDEV(Rankings!Y2:Y651)</f>
        <v>3.3719061571789437</v>
      </c>
      <c r="S227" s="121">
        <f>(VLOOKUP($A227,Hitters!$A1:$R401,17,FALSE)-AVERAGE(Rankings!Z2:Z651))/STDEV(Rankings!Z2:Z651)</f>
        <v>3.2992113589941683</v>
      </c>
      <c r="T227" s="121">
        <f>IFERROR((VLOOKUP($A227,Hitters!$A1:$R401,18,FALSE)-AVERAGE(Rankings!AA2:AA651))/STDEV(Rankings!AA2:AA651),0)</f>
        <v>0</v>
      </c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</row>
    <row r="228" spans="1:37" ht="18.600000000000001" customHeight="1">
      <c r="A228" s="25" t="s">
        <v>88</v>
      </c>
      <c r="B228" s="26" t="s">
        <v>74</v>
      </c>
      <c r="C228" s="126" t="s">
        <v>23</v>
      </c>
      <c r="D228" s="67">
        <f>(F228*Settings!$C$2)+(G228*Settings!$C$3)+(H228*Settings!$C$4)+(I228*Settings!$C$5)+(J228*Settings!$C$6)+(M228*Settings!$C$9)+(N228*Settings!$C$10)+(O228*Settings!$C$11)+(P228*Settings!$C$12)+(Q228*Settings!$C$13)+(T228*Settings!$C$16)+(K228*Settings!$C$7)+(L228*Settings!$C$8)+(R228*Settings!$C$14)+(S228*Settings!$C$15)</f>
        <v>7.720169101954979</v>
      </c>
      <c r="E228" s="67"/>
      <c r="F228" s="121">
        <f>(VLOOKUP($A228,Hitters!$A1:$R401,4,FALSE)-AVERAGE(Rankings!M2:M651))/STDEV(Rankings!M2:M651)</f>
        <v>1.1682754283699761</v>
      </c>
      <c r="G228" s="121">
        <f>(VLOOKUP($A228,Hitters!$A1:$R401,5,FALSE)-AVERAGE(Rankings!N2:N651))/STDEV(Rankings!N2:N651)</f>
        <v>1.5342963476718541</v>
      </c>
      <c r="H228" s="121">
        <f>(VLOOKUP($A228,Hitters!$A1:$R401,6,FALSE)-AVERAGE(Rankings!O2:O651))/STDEV(Rankings!O2:O651)</f>
        <v>0.87338072386396615</v>
      </c>
      <c r="I228" s="121">
        <f>(VLOOKUP($A228,Hitters!$A1:$R401,7,FALSE)-AVERAGE(Rankings!P2:P651))/STDEV(Rankings!P2:P651)</f>
        <v>1.2128873864884304</v>
      </c>
      <c r="J228" s="121">
        <f>(VLOOKUP($A228,Hitters!$A1:$R401,8,FALSE)-AVERAGE(Rankings!Q2:Q651))/STDEV(Rankings!Q2:Q651)</f>
        <v>2.385930833596523</v>
      </c>
      <c r="K228" s="121">
        <f>(VLOOKUP($A228,Hitters!$A1:$R401,9,FALSE)-AVERAGE(Rankings!R2:R651))/STDEV(Rankings!R2:R651)</f>
        <v>1.7136738103342051</v>
      </c>
      <c r="L228" s="121">
        <f>(VLOOKUP($A228,Hitters!$A1:$R401,10,FALSE)-AVERAGE(Rankings!S2:S651))/STDEV(Rankings!S2:S651)</f>
        <v>0.51094587996213447</v>
      </c>
      <c r="M228" s="121">
        <f>(VLOOKUP($A228,Hitters!$A1:$R401,11,FALSE)-AVERAGE(Rankings!T2:T651))/STDEV(Rankings!T2:T651)</f>
        <v>1.4883136924679803</v>
      </c>
      <c r="N228" s="121">
        <f>(VLOOKUP($A228,Hitters!$A1:$R401,12,FALSE)-AVERAGE(Rankings!U2:U651))/STDEV(Rankings!U2:U651)</f>
        <v>1.7975302425960555</v>
      </c>
      <c r="O228" s="121">
        <f>(VLOOKUP($A228,Hitters!$A1:$R401,13,FALSE)-AVERAGE(Rankings!V2:V651))/STDEV(Rankings!V2:V651)</f>
        <v>1.5113961901724131</v>
      </c>
      <c r="P228" s="121">
        <f>(VLOOKUP($A228,Hitters!$A1:$R401,14,FALSE)-AVERAGE(Rankings!W2:W651))/STDEV(Rankings!W2:W651)</f>
        <v>-0.20464663286785509</v>
      </c>
      <c r="Q228" s="121">
        <f>(VLOOKUP($A228,Hitters!$A1:$R401,15,FALSE)-AVERAGE(Rankings!X2:X651))/STDEV(Rankings!X2:X651)</f>
        <v>1.0851161959709654</v>
      </c>
      <c r="R228" s="121">
        <f>(VLOOKUP($A228,Hitters!$A1:$R401,16,FALSE)-AVERAGE(Rankings!Y2:Y651))/STDEV(Rankings!Y2:Y651)</f>
        <v>1.4652953595147571</v>
      </c>
      <c r="S228" s="121">
        <f>(VLOOKUP($A228,Hitters!$A1:$R401,17,FALSE)-AVERAGE(Rankings!Z2:Z651))/STDEV(Rankings!Z2:Z651)</f>
        <v>1.2671593618199071</v>
      </c>
      <c r="T228" s="121">
        <f>IFERROR((VLOOKUP($A228,Hitters!$A1:$R401,18,FALSE)-AVERAGE(Rankings!AA2:AA651))/STDEV(Rankings!AA2:AA651),0)</f>
        <v>0</v>
      </c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</row>
    <row r="229" spans="1:37" ht="18.600000000000001" customHeight="1">
      <c r="A229" s="25" t="s">
        <v>102</v>
      </c>
      <c r="B229" s="26" t="s">
        <v>103</v>
      </c>
      <c r="C229" s="126" t="s">
        <v>23</v>
      </c>
      <c r="D229" s="67">
        <f>(F229*Settings!$C$2)+(G229*Settings!$C$3)+(H229*Settings!$C$4)+(I229*Settings!$C$5)+(J229*Settings!$C$6)+(M229*Settings!$C$9)+(N229*Settings!$C$10)+(O229*Settings!$C$11)+(P229*Settings!$C$12)+(Q229*Settings!$C$13)+(T229*Settings!$C$16)+(K229*Settings!$C$7)+(L229*Settings!$C$8)+(R229*Settings!$C$14)+(S229*Settings!$C$15)</f>
        <v>6.7716189158144431</v>
      </c>
      <c r="E229" s="67"/>
      <c r="F229" s="121">
        <f>(VLOOKUP($A229,Hitters!$A1:$R401,4,FALSE)-AVERAGE(Rankings!M2:M651))/STDEV(Rankings!M2:M651)</f>
        <v>1.2518518898993147</v>
      </c>
      <c r="G229" s="121">
        <f>(VLOOKUP($A229,Hitters!$A1:$R401,5,FALSE)-AVERAGE(Rankings!N2:N651))/STDEV(Rankings!N2:N651)</f>
        <v>1.168491614614291</v>
      </c>
      <c r="H229" s="121">
        <f>(VLOOKUP($A229,Hitters!$A1:$R401,6,FALSE)-AVERAGE(Rankings!O2:O651))/STDEV(Rankings!O2:O651)</f>
        <v>0.79819456258213362</v>
      </c>
      <c r="I229" s="121">
        <f>(VLOOKUP($A229,Hitters!$A1:$R401,7,FALSE)-AVERAGE(Rankings!P2:P651))/STDEV(Rankings!P2:P651)</f>
        <v>1.2360102053770554</v>
      </c>
      <c r="J229" s="121">
        <f>(VLOOKUP($A229,Hitters!$A1:$R401,8,FALSE)-AVERAGE(Rankings!Q2:Q651))/STDEV(Rankings!Q2:Q651)</f>
        <v>2.9632070751467858</v>
      </c>
      <c r="K229" s="121">
        <f>(VLOOKUP($A229,Hitters!$A1:$R401,9,FALSE)-AVERAGE(Rankings!R2:R651))/STDEV(Rankings!R2:R651)</f>
        <v>0.60571545809417759</v>
      </c>
      <c r="L229" s="121">
        <f>(VLOOKUP($A229,Hitters!$A1:$R401,10,FALSE)-AVERAGE(Rankings!S2:S651))/STDEV(Rankings!S2:S651)</f>
        <v>0.34675353164956513</v>
      </c>
      <c r="M229" s="121">
        <f>(VLOOKUP($A229,Hitters!$A1:$R401,11,FALSE)-AVERAGE(Rankings!T2:T651))/STDEV(Rankings!T2:T651)</f>
        <v>1.2362756609419778</v>
      </c>
      <c r="N229" s="121">
        <f>(VLOOKUP($A229,Hitters!$A1:$R401,12,FALSE)-AVERAGE(Rankings!U2:U651))/STDEV(Rankings!U2:U651)</f>
        <v>1.7422552312057993</v>
      </c>
      <c r="O229" s="121">
        <f>(VLOOKUP($A229,Hitters!$A1:$R401,13,FALSE)-AVERAGE(Rankings!V2:V651))/STDEV(Rankings!V2:V651)</f>
        <v>0.65408983471857152</v>
      </c>
      <c r="P229" s="121">
        <f>(VLOOKUP($A229,Hitters!$A1:$R401,14,FALSE)-AVERAGE(Rankings!W2:W651))/STDEV(Rankings!W2:W651)</f>
        <v>0.65168644780636953</v>
      </c>
      <c r="Q229" s="121">
        <f>(VLOOKUP($A229,Hitters!$A1:$R401,15,FALSE)-AVERAGE(Rankings!X2:X651))/STDEV(Rankings!X2:X651)</f>
        <v>1.7196330786484302</v>
      </c>
      <c r="R229" s="121">
        <f>(VLOOKUP($A229,Hitters!$A1:$R401,16,FALSE)-AVERAGE(Rankings!Y2:Y651))/STDEV(Rankings!Y2:Y651)</f>
        <v>0.68479895841040628</v>
      </c>
      <c r="S229" s="121">
        <f>(VLOOKUP($A229,Hitters!$A1:$R401,17,FALSE)-AVERAGE(Rankings!Z2:Z651))/STDEV(Rankings!Z2:Z651)</f>
        <v>0.63457998104704827</v>
      </c>
      <c r="T229" s="121">
        <f>IFERROR((VLOOKUP($A229,Hitters!$A1:$R401,18,FALSE)-AVERAGE(Rankings!AA2:AA651))/STDEV(Rankings!AA2:AA651),0)</f>
        <v>0</v>
      </c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</row>
    <row r="230" spans="1:37" ht="18.600000000000001" customHeight="1">
      <c r="A230" s="25" t="s">
        <v>100</v>
      </c>
      <c r="B230" s="26" t="s">
        <v>101</v>
      </c>
      <c r="C230" s="126" t="s">
        <v>23</v>
      </c>
      <c r="D230" s="67">
        <f>(F230*Settings!$C$2)+(G230*Settings!$C$3)+(H230*Settings!$C$4)+(I230*Settings!$C$5)+(J230*Settings!$C$6)+(M230*Settings!$C$9)+(N230*Settings!$C$10)+(O230*Settings!$C$11)+(P230*Settings!$C$12)+(Q230*Settings!$C$13)+(T230*Settings!$C$16)+(K230*Settings!$C$7)+(L230*Settings!$C$8)+(R230*Settings!$C$14)+(S230*Settings!$C$15)</f>
        <v>6.8287678344788407</v>
      </c>
      <c r="E230" s="67"/>
      <c r="F230" s="121">
        <f>(VLOOKUP($A230,Hitters!$A1:$R401,4,FALSE)-AVERAGE(Rankings!M2:M651))/STDEV(Rankings!M2:M651)</f>
        <v>1.5260871542924495</v>
      </c>
      <c r="G230" s="121">
        <f>(VLOOKUP($A230,Hitters!$A1:$R401,5,FALSE)-AVERAGE(Rankings!N2:N651))/STDEV(Rankings!N2:N651)</f>
        <v>1.5509928292636947</v>
      </c>
      <c r="H230" s="121">
        <f>(VLOOKUP($A230,Hitters!$A1:$R401,6,FALSE)-AVERAGE(Rankings!O2:O651))/STDEV(Rankings!O2:O651)</f>
        <v>0.601875141457345</v>
      </c>
      <c r="I230" s="121">
        <f>(VLOOKUP($A230,Hitters!$A1:$R401,7,FALSE)-AVERAGE(Rankings!P2:P651))/STDEV(Rankings!P2:P651)</f>
        <v>0.46370805449697616</v>
      </c>
      <c r="J230" s="121">
        <f>(VLOOKUP($A230,Hitters!$A1:$R401,8,FALSE)-AVERAGE(Rankings!Q2:Q651))/STDEV(Rankings!Q2:Q651)</f>
        <v>3.5957010441496875</v>
      </c>
      <c r="K230" s="121">
        <f>(VLOOKUP($A230,Hitters!$A1:$R401,9,FALSE)-AVERAGE(Rankings!R2:R651))/STDEV(Rankings!R2:R651)</f>
        <v>0.61649076511113732</v>
      </c>
      <c r="L230" s="121">
        <f>(VLOOKUP($A230,Hitters!$A1:$R401,10,FALSE)-AVERAGE(Rankings!S2:S651))/STDEV(Rankings!S2:S651)</f>
        <v>0.22095147108806687</v>
      </c>
      <c r="M230" s="121">
        <f>(VLOOKUP($A230,Hitters!$A1:$R401,11,FALSE)-AVERAGE(Rankings!T2:T651))/STDEV(Rankings!T2:T651)</f>
        <v>1.4901334616486828</v>
      </c>
      <c r="N230" s="121">
        <f>(VLOOKUP($A230,Hitters!$A1:$R401,12,FALSE)-AVERAGE(Rankings!U2:U651))/STDEV(Rankings!U2:U651)</f>
        <v>1.5296590335509477</v>
      </c>
      <c r="O230" s="121">
        <f>(VLOOKUP($A230,Hitters!$A1:$R401,13,FALSE)-AVERAGE(Rankings!V2:V651))/STDEV(Rankings!V2:V651)</f>
        <v>2.0921521083830759</v>
      </c>
      <c r="P230" s="121">
        <f>(VLOOKUP($A230,Hitters!$A1:$R401,14,FALSE)-AVERAGE(Rankings!W2:W651))/STDEV(Rankings!W2:W651)</f>
        <v>0.66097422525402549</v>
      </c>
      <c r="Q230" s="121">
        <f>(VLOOKUP($A230,Hitters!$A1:$R401,15,FALSE)-AVERAGE(Rankings!X2:X651))/STDEV(Rankings!X2:X651)</f>
        <v>0.83559803626982287</v>
      </c>
      <c r="R230" s="121">
        <f>(VLOOKUP($A230,Hitters!$A1:$R401,16,FALSE)-AVERAGE(Rankings!Y2:Y651))/STDEV(Rankings!Y2:Y651)</f>
        <v>0.32312009958917243</v>
      </c>
      <c r="S230" s="121">
        <f>(VLOOKUP($A230,Hitters!$A1:$R401,17,FALSE)-AVERAGE(Rankings!Z2:Z651))/STDEV(Rankings!Z2:Z651)</f>
        <v>0.32193056347402693</v>
      </c>
      <c r="T230" s="121">
        <f>IFERROR((VLOOKUP($A230,Hitters!$A1:$R401,18,FALSE)-AVERAGE(Rankings!AA2:AA651))/STDEV(Rankings!AA2:AA651),0)</f>
        <v>0</v>
      </c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</row>
    <row r="231" spans="1:37" ht="18.600000000000001" customHeight="1">
      <c r="A231" s="25" t="s">
        <v>115</v>
      </c>
      <c r="B231" s="26" t="s">
        <v>116</v>
      </c>
      <c r="C231" s="126" t="s">
        <v>23</v>
      </c>
      <c r="D231" s="67">
        <f>(F231*Settings!$C$2)+(G231*Settings!$C$3)+(H231*Settings!$C$4)+(I231*Settings!$C$5)+(J231*Settings!$C$6)+(M231*Settings!$C$9)+(N231*Settings!$C$10)+(O231*Settings!$C$11)+(P231*Settings!$C$12)+(Q231*Settings!$C$13)+(T231*Settings!$C$16)+(K231*Settings!$C$7)+(L231*Settings!$C$8)+(R231*Settings!$C$14)+(S231*Settings!$C$15)</f>
        <v>6.0209796222974585</v>
      </c>
      <c r="E231" s="67"/>
      <c r="F231" s="121">
        <f>(VLOOKUP($A231,Hitters!$A1:$R401,4,FALSE)-AVERAGE(Rankings!M2:M651))/STDEV(Rankings!M2:M651)</f>
        <v>0.9541107457010547</v>
      </c>
      <c r="G231" s="121">
        <f>(VLOOKUP($A231,Hitters!$A1:$R401,5,FALSE)-AVERAGE(Rankings!N2:N651))/STDEV(Rankings!N2:N651)</f>
        <v>0.97875886925248234</v>
      </c>
      <c r="H231" s="121">
        <f>(VLOOKUP($A231,Hitters!$A1:$R401,6,FALSE)-AVERAGE(Rankings!O2:O651))/STDEV(Rankings!O2:O651)</f>
        <v>0.89008875970436885</v>
      </c>
      <c r="I231" s="121">
        <f>(VLOOKUP($A231,Hitters!$A1:$R401,7,FALSE)-AVERAGE(Rankings!P2:P651))/STDEV(Rankings!P2:P651)</f>
        <v>1.242176290414025</v>
      </c>
      <c r="J231" s="121">
        <f>(VLOOKUP($A231,Hitters!$A1:$R401,8,FALSE)-AVERAGE(Rankings!Q2:Q651))/STDEV(Rankings!Q2:Q651)</f>
        <v>1.1460418626146494</v>
      </c>
      <c r="K231" s="121">
        <f>(VLOOKUP($A231,Hitters!$A1:$R401,9,FALSE)-AVERAGE(Rankings!R2:R651))/STDEV(Rankings!R2:R651)</f>
        <v>1.7639138403119325</v>
      </c>
      <c r="L231" s="121">
        <f>(VLOOKUP($A231,Hitters!$A1:$R401,10,FALSE)-AVERAGE(Rankings!S2:S651))/STDEV(Rankings!S2:S651)</f>
        <v>0.50567906631366266</v>
      </c>
      <c r="M231" s="121">
        <f>(VLOOKUP($A231,Hitters!$A1:$R401,11,FALSE)-AVERAGE(Rankings!T2:T651))/STDEV(Rankings!T2:T651)</f>
        <v>1.2899588517724372</v>
      </c>
      <c r="N231" s="121">
        <f>(VLOOKUP($A231,Hitters!$A1:$R401,12,FALSE)-AVERAGE(Rankings!U2:U651))/STDEV(Rankings!U2:U651)</f>
        <v>1.3893455430987482</v>
      </c>
      <c r="O231" s="121">
        <f>(VLOOKUP($A231,Hitters!$A1:$R401,13,FALSE)-AVERAGE(Rankings!V2:V651))/STDEV(Rankings!V2:V651)</f>
        <v>-0.83928252639455969</v>
      </c>
      <c r="P231" s="121">
        <f>(VLOOKUP($A231,Hitters!$A1:$R401,14,FALSE)-AVERAGE(Rankings!W2:W651))/STDEV(Rankings!W2:W651)</f>
        <v>-0.34767840556181595</v>
      </c>
      <c r="Q231" s="121">
        <f>(VLOOKUP($A231,Hitters!$A1:$R401,15,FALSE)-AVERAGE(Rankings!X2:X651))/STDEV(Rankings!X2:X651)</f>
        <v>0.61044688435201266</v>
      </c>
      <c r="R231" s="121">
        <f>(VLOOKUP($A231,Hitters!$A1:$R401,16,FALSE)-AVERAGE(Rankings!Y2:Y651))/STDEV(Rankings!Y2:Y651)</f>
        <v>1.3481709072380235</v>
      </c>
      <c r="S231" s="121">
        <f>(VLOOKUP($A231,Hitters!$A1:$R401,17,FALSE)-AVERAGE(Rankings!Z2:Z651))/STDEV(Rankings!Z2:Z651)</f>
        <v>1.1798361235267103</v>
      </c>
      <c r="T231" s="121">
        <f>IFERROR((VLOOKUP($A231,Hitters!$A1:$R401,18,FALSE)-AVERAGE(Rankings!AA2:AA651))/STDEV(Rankings!AA2:AA651),0)</f>
        <v>0</v>
      </c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</row>
    <row r="232" spans="1:37" ht="18.600000000000001" customHeight="1">
      <c r="A232" s="25" t="s">
        <v>110</v>
      </c>
      <c r="B232" s="26" t="s">
        <v>97</v>
      </c>
      <c r="C232" s="126" t="s">
        <v>23</v>
      </c>
      <c r="D232" s="67">
        <f>(F232*Settings!$C$2)+(G232*Settings!$C$3)+(H232*Settings!$C$4)+(I232*Settings!$C$5)+(J232*Settings!$C$6)+(M232*Settings!$C$9)+(N232*Settings!$C$10)+(O232*Settings!$C$11)+(P232*Settings!$C$12)+(Q232*Settings!$C$13)+(T232*Settings!$C$16)+(K232*Settings!$C$7)+(L232*Settings!$C$8)+(R232*Settings!$C$14)+(S232*Settings!$C$15)</f>
        <v>6.3195262485940189</v>
      </c>
      <c r="E232" s="67"/>
      <c r="F232" s="121">
        <f>(VLOOKUP($A232,Hitters!$A1:$R401,4,FALSE)-AVERAGE(Rankings!M2:M651))/STDEV(Rankings!M2:M651)</f>
        <v>0.99328721204293113</v>
      </c>
      <c r="G232" s="121">
        <f>(VLOOKUP($A232,Hitters!$A1:$R401,5,FALSE)-AVERAGE(Rankings!N2:N651))/STDEV(Rankings!N2:N651)</f>
        <v>1.1502772710595579</v>
      </c>
      <c r="H232" s="121">
        <f>(VLOOKUP($A232,Hitters!$A1:$R401,6,FALSE)-AVERAGE(Rankings!O2:O651))/STDEV(Rankings!O2:O651)</f>
        <v>0.12569612000573974</v>
      </c>
      <c r="I232" s="121">
        <f>(VLOOKUP($A232,Hitters!$A1:$R401,7,FALSE)-AVERAGE(Rankings!P2:P651))/STDEV(Rankings!P2:P651)</f>
        <v>0.53924259619982118</v>
      </c>
      <c r="J232" s="121">
        <f>(VLOOKUP($A232,Hitters!$A1:$R401,8,FALSE)-AVERAGE(Rankings!Q2:Q651))/STDEV(Rankings!Q2:Q651)</f>
        <v>3.0284643894089998</v>
      </c>
      <c r="K232" s="121">
        <f>(VLOOKUP($A232,Hitters!$A1:$R401,9,FALSE)-AVERAGE(Rankings!R2:R651))/STDEV(Rankings!R2:R651)</f>
        <v>1.4758458719199004</v>
      </c>
      <c r="L232" s="121">
        <f>(VLOOKUP($A232,Hitters!$A1:$R401,10,FALSE)-AVERAGE(Rankings!S2:S651))/STDEV(Rankings!S2:S651)</f>
        <v>0.44004578930095761</v>
      </c>
      <c r="M232" s="121">
        <f>(VLOOKUP($A232,Hitters!$A1:$R401,11,FALSE)-AVERAGE(Rankings!T2:T651))/STDEV(Rankings!T2:T651)</f>
        <v>1.2471942760261372</v>
      </c>
      <c r="N232" s="121">
        <f>(VLOOKUP($A232,Hitters!$A1:$R401,12,FALSE)-AVERAGE(Rankings!U2:U651))/STDEV(Rankings!U2:U651)</f>
        <v>0.75580887408731168</v>
      </c>
      <c r="O232" s="121">
        <f>(VLOOKUP($A232,Hitters!$A1:$R401,13,FALSE)-AVERAGE(Rankings!V2:V651))/STDEV(Rankings!V2:V651)</f>
        <v>1.8985668023128495</v>
      </c>
      <c r="P232" s="121">
        <f>(VLOOKUP($A232,Hitters!$A1:$R401,14,FALSE)-AVERAGE(Rankings!W2:W651))/STDEV(Rankings!W2:W651)</f>
        <v>-0.1544926346504929</v>
      </c>
      <c r="Q232" s="121">
        <f>(VLOOKUP($A232,Hitters!$A1:$R401,15,FALSE)-AVERAGE(Rankings!X2:X651))/STDEV(Rankings!X2:X651)</f>
        <v>0.39504253554754731</v>
      </c>
      <c r="R232" s="121">
        <f>(VLOOKUP($A232,Hitters!$A1:$R401,16,FALSE)-AVERAGE(Rankings!Y2:Y651))/STDEV(Rankings!Y2:Y651)</f>
        <v>0.42997463172353578</v>
      </c>
      <c r="S232" s="121">
        <f>(VLOOKUP($A232,Hitters!$A1:$R401,17,FALSE)-AVERAGE(Rankings!Z2:Z651))/STDEV(Rankings!Z2:Z651)</f>
        <v>0.48571059665287175</v>
      </c>
      <c r="T232" s="121">
        <f>IFERROR((VLOOKUP($A232,Hitters!$A1:$R401,18,FALSE)-AVERAGE(Rankings!AA2:AA651))/STDEV(Rankings!AA2:AA651),0)</f>
        <v>0</v>
      </c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</row>
    <row r="233" spans="1:37" ht="18.600000000000001" customHeight="1">
      <c r="A233" s="25" t="s">
        <v>120</v>
      </c>
      <c r="B233" s="26" t="s">
        <v>95</v>
      </c>
      <c r="C233" s="126" t="s">
        <v>23</v>
      </c>
      <c r="D233" s="67">
        <f>(F233*Settings!$C$2)+(G233*Settings!$C$3)+(H233*Settings!$C$4)+(I233*Settings!$C$5)+(J233*Settings!$C$6)+(M233*Settings!$C$9)+(N233*Settings!$C$10)+(O233*Settings!$C$11)+(P233*Settings!$C$12)+(Q233*Settings!$C$13)+(T233*Settings!$C$16)+(K233*Settings!$C$7)+(L233*Settings!$C$8)+(R233*Settings!$C$14)+(S233*Settings!$C$15)</f>
        <v>5.6341928094875824</v>
      </c>
      <c r="E233" s="67"/>
      <c r="F233" s="121">
        <f>(VLOOKUP($A233,Hitters!$A1:$R401,4,FALSE)-AVERAGE(Rankings!M2:M651))/STDEV(Rankings!M2:M651)</f>
        <v>0.97761662550618056</v>
      </c>
      <c r="G233" s="121">
        <f>(VLOOKUP($A233,Hitters!$A1:$R401,5,FALSE)-AVERAGE(Rankings!N2:N651))/STDEV(Rankings!N2:N651)</f>
        <v>1.7361719887368203</v>
      </c>
      <c r="H233" s="121">
        <f>(VLOOKUP($A233,Hitters!$A1:$R401,6,FALSE)-AVERAGE(Rankings!O2:O651))/STDEV(Rankings!O2:O651)</f>
        <v>1.6586584083631084</v>
      </c>
      <c r="I233" s="121">
        <f>(VLOOKUP($A233,Hitters!$A1:$R401,7,FALSE)-AVERAGE(Rankings!P2:P651))/STDEV(Rankings!P2:P651)</f>
        <v>1.054110696786539</v>
      </c>
      <c r="J233" s="121">
        <f>(VLOOKUP($A233,Hitters!$A1:$R401,8,FALSE)-AVERAGE(Rankings!Q2:Q651))/STDEV(Rankings!Q2:Q651)</f>
        <v>0.62398334851701098</v>
      </c>
      <c r="K233" s="121">
        <f>(VLOOKUP($A233,Hitters!$A1:$R401,9,FALSE)-AVERAGE(Rankings!R2:R651))/STDEV(Rankings!R2:R651)</f>
        <v>0.56126836708410333</v>
      </c>
      <c r="L233" s="121">
        <f>(VLOOKUP($A233,Hitters!$A1:$R401,10,FALSE)-AVERAGE(Rankings!S2:S651))/STDEV(Rankings!S2:S651)</f>
        <v>0.86121253706405332</v>
      </c>
      <c r="M233" s="121">
        <f>(VLOOKUP($A233,Hitters!$A1:$R401,11,FALSE)-AVERAGE(Rankings!T2:T651))/STDEV(Rankings!T2:T651)</f>
        <v>0.97331901433181645</v>
      </c>
      <c r="N233" s="121">
        <f>(VLOOKUP($A233,Hitters!$A1:$R401,12,FALSE)-AVERAGE(Rankings!U2:U651))/STDEV(Rankings!U2:U651)</f>
        <v>0.52620498062007637</v>
      </c>
      <c r="O233" s="121">
        <f>(VLOOKUP($A233,Hitters!$A1:$R401,13,FALSE)-AVERAGE(Rankings!V2:V651))/STDEV(Rankings!V2:V651)</f>
        <v>1.3731209715508237</v>
      </c>
      <c r="P233" s="121">
        <f>(VLOOKUP($A233,Hitters!$A1:$R401,14,FALSE)-AVERAGE(Rankings!W2:W651))/STDEV(Rankings!W2:W651)</f>
        <v>1.0844968768673067</v>
      </c>
      <c r="Q233" s="121">
        <f>(VLOOKUP($A233,Hitters!$A1:$R401,15,FALSE)-AVERAGE(Rankings!X2:X651))/STDEV(Rankings!X2:X651)</f>
        <v>0.46619419827481079</v>
      </c>
      <c r="R233" s="121">
        <f>(VLOOKUP($A233,Hitters!$A1:$R401,16,FALSE)-AVERAGE(Rankings!Y2:Y651))/STDEV(Rankings!Y2:Y651)</f>
        <v>1.524449733355085</v>
      </c>
      <c r="S233" s="121">
        <f>(VLOOKUP($A233,Hitters!$A1:$R401,17,FALSE)-AVERAGE(Rankings!Z2:Z651))/STDEV(Rankings!Z2:Z651)</f>
        <v>1.4477062905924434</v>
      </c>
      <c r="T233" s="121">
        <f>IFERROR((VLOOKUP($A233,Hitters!$A1:$R401,18,FALSE)-AVERAGE(Rankings!AA2:AA651))/STDEV(Rankings!AA2:AA651),0)</f>
        <v>0</v>
      </c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</row>
    <row r="234" spans="1:37" ht="18.600000000000001" customHeight="1">
      <c r="A234" s="25" t="s">
        <v>127</v>
      </c>
      <c r="B234" s="26" t="s">
        <v>92</v>
      </c>
      <c r="C234" s="126" t="s">
        <v>23</v>
      </c>
      <c r="D234" s="67">
        <f>(F234*Settings!$C$2)+(G234*Settings!$C$3)+(H234*Settings!$C$4)+(I234*Settings!$C$5)+(J234*Settings!$C$6)+(M234*Settings!$C$9)+(N234*Settings!$C$10)+(O234*Settings!$C$11)+(P234*Settings!$C$12)+(Q234*Settings!$C$13)+(T234*Settings!$C$16)+(K234*Settings!$C$7)+(L234*Settings!$C$8)+(R234*Settings!$C$14)+(S234*Settings!$C$15)</f>
        <v>5.3991776661229958</v>
      </c>
      <c r="E234" s="67"/>
      <c r="F234" s="121">
        <f>(VLOOKUP($A234,Hitters!$A1:$R401,4,FALSE)-AVERAGE(Rankings!M2:M651))/STDEV(Rankings!M2:M651)</f>
        <v>1.1212636687597244</v>
      </c>
      <c r="G234" s="121">
        <f>(VLOOKUP($A234,Hitters!$A1:$R401,5,FALSE)-AVERAGE(Rankings!N2:N651))/STDEV(Rankings!N2:N651)</f>
        <v>1.7862614335123372</v>
      </c>
      <c r="H234" s="121">
        <f>(VLOOKUP($A234,Hitters!$A1:$R401,6,FALSE)-AVERAGE(Rankings!O2:O651))/STDEV(Rankings!O2:O651)</f>
        <v>3.0078323024759812</v>
      </c>
      <c r="I234" s="121">
        <f>(VLOOKUP($A234,Hitters!$A1:$R401,7,FALSE)-AVERAGE(Rankings!P2:P651))/STDEV(Rankings!P2:P651)</f>
        <v>1.6522209453723078</v>
      </c>
      <c r="J234" s="121">
        <f>(VLOOKUP($A234,Hitters!$A1:$R401,8,FALSE)-AVERAGE(Rankings!Q2:Q651))/STDEV(Rankings!Q2:Q651)</f>
        <v>-5.3688761128955216E-2</v>
      </c>
      <c r="K234" s="121">
        <f>(VLOOKUP($A234,Hitters!$A1:$R401,9,FALSE)-AVERAGE(Rankings!R2:R651))/STDEV(Rankings!R2:R651)</f>
        <v>-0.99344825410867432</v>
      </c>
      <c r="L234" s="121">
        <f>(VLOOKUP($A234,Hitters!$A1:$R401,10,FALSE)-AVERAGE(Rankings!S2:S651))/STDEV(Rankings!S2:S651)</f>
        <v>0.62974912748232015</v>
      </c>
      <c r="M234" s="121">
        <f>(VLOOKUP($A234,Hitters!$A1:$R401,11,FALSE)-AVERAGE(Rankings!T2:T651))/STDEV(Rankings!T2:T651)</f>
        <v>0.64849021557807585</v>
      </c>
      <c r="N234" s="121">
        <f>(VLOOKUP($A234,Hitters!$A1:$R401,12,FALSE)-AVERAGE(Rankings!U2:U651))/STDEV(Rankings!U2:U651)</f>
        <v>0.1477837487944437</v>
      </c>
      <c r="O234" s="121">
        <f>(VLOOKUP($A234,Hitters!$A1:$R401,13,FALSE)-AVERAGE(Rankings!V2:V651))/STDEV(Rankings!V2:V651)</f>
        <v>0.23926417885381215</v>
      </c>
      <c r="P234" s="121">
        <f>(VLOOKUP($A234,Hitters!$A1:$R401,14,FALSE)-AVERAGE(Rankings!W2:W651))/STDEV(Rankings!W2:W651)</f>
        <v>2.3104834999583845</v>
      </c>
      <c r="Q234" s="121">
        <f>(VLOOKUP($A234,Hitters!$A1:$R401,15,FALSE)-AVERAGE(Rankings!X2:X651))/STDEV(Rankings!X2:X651)</f>
        <v>2.4438205499684673</v>
      </c>
      <c r="R234" s="121">
        <f>(VLOOKUP($A234,Hitters!$A1:$R401,16,FALSE)-AVERAGE(Rankings!Y2:Y651))/STDEV(Rankings!Y2:Y651)</f>
        <v>1.7767475252556073</v>
      </c>
      <c r="S234" s="121">
        <f>(VLOOKUP($A234,Hitters!$A1:$R401,17,FALSE)-AVERAGE(Rankings!Z2:Z651))/STDEV(Rankings!Z2:Z651)</f>
        <v>1.5405011406764506</v>
      </c>
      <c r="T234" s="121">
        <f>IFERROR((VLOOKUP($A234,Hitters!$A1:$R401,18,FALSE)-AVERAGE(Rankings!AA2:AA651))/STDEV(Rankings!AA2:AA651),0)</f>
        <v>0</v>
      </c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</row>
    <row r="235" spans="1:37" ht="18.600000000000001" customHeight="1">
      <c r="A235" s="25" t="s">
        <v>137</v>
      </c>
      <c r="B235" s="26" t="s">
        <v>116</v>
      </c>
      <c r="C235" s="126" t="s">
        <v>23</v>
      </c>
      <c r="D235" s="67">
        <f>(F235*Settings!$C$2)+(G235*Settings!$C$3)+(H235*Settings!$C$4)+(I235*Settings!$C$5)+(J235*Settings!$C$6)+(M235*Settings!$C$9)+(N235*Settings!$C$10)+(O235*Settings!$C$11)+(P235*Settings!$C$12)+(Q235*Settings!$C$13)+(T235*Settings!$C$16)+(K235*Settings!$C$7)+(L235*Settings!$C$8)+(R235*Settings!$C$14)+(S235*Settings!$C$15)</f>
        <v>4.9855336305920233</v>
      </c>
      <c r="E235" s="67"/>
      <c r="F235" s="121">
        <f>(VLOOKUP($A235,Hitters!$A1:$R401,4,FALSE)-AVERAGE(Rankings!M2:M651))/STDEV(Rankings!M2:M651)</f>
        <v>0.94627545243267941</v>
      </c>
      <c r="G235" s="121">
        <f>(VLOOKUP($A235,Hitters!$A1:$R401,5,FALSE)-AVERAGE(Rankings!N2:N651))/STDEV(Rankings!N2:N651)</f>
        <v>0.79661543370514731</v>
      </c>
      <c r="H235" s="121">
        <f>(VLOOKUP($A235,Hitters!$A1:$R401,6,FALSE)-AVERAGE(Rankings!O2:O651))/STDEV(Rankings!O2:O651)</f>
        <v>1.7547296144454418</v>
      </c>
      <c r="I235" s="121">
        <f>(VLOOKUP($A235,Hitters!$A1:$R401,7,FALSE)-AVERAGE(Rankings!P2:P651))/STDEV(Rankings!P2:P651)</f>
        <v>1.8387450177405535</v>
      </c>
      <c r="J235" s="121">
        <f>(VLOOKUP($A235,Hitters!$A1:$R401,8,FALSE)-AVERAGE(Rankings!Q2:Q651))/STDEV(Rankings!Q2:Q651)</f>
        <v>-0.87191508610889945</v>
      </c>
      <c r="K235" s="121">
        <f>(VLOOKUP($A235,Hitters!$A1:$R401,9,FALSE)-AVERAGE(Rankings!R2:R651))/STDEV(Rankings!R2:R651)</f>
        <v>1.4673586508097793</v>
      </c>
      <c r="L235" s="121">
        <f>(VLOOKUP($A235,Hitters!$A1:$R401,10,FALSE)-AVERAGE(Rankings!S2:S651))/STDEV(Rankings!S2:S651)</f>
        <v>0.84502540017989924</v>
      </c>
      <c r="M235" s="121">
        <f>(VLOOKUP($A235,Hitters!$A1:$R401,11,FALSE)-AVERAGE(Rankings!T2:T651))/STDEV(Rankings!T2:T651)</f>
        <v>1.198970392737758</v>
      </c>
      <c r="N235" s="121">
        <f>(VLOOKUP($A235,Hitters!$A1:$R401,12,FALSE)-AVERAGE(Rankings!U2:U651))/STDEV(Rankings!U2:U651)</f>
        <v>0.87911466872711441</v>
      </c>
      <c r="O235" s="121">
        <f>(VLOOKUP($A235,Hitters!$A1:$R401,13,FALSE)-AVERAGE(Rankings!V2:V651))/STDEV(Rankings!V2:V651)</f>
        <v>-0.89459261384319366</v>
      </c>
      <c r="P235" s="121">
        <f>(VLOOKUP($A235,Hitters!$A1:$R401,14,FALSE)-AVERAGE(Rankings!W2:W651))/STDEV(Rankings!W2:W651)</f>
        <v>0.26531490598372298</v>
      </c>
      <c r="Q235" s="121">
        <f>(VLOOKUP($A235,Hitters!$A1:$R401,15,FALSE)-AVERAGE(Rankings!X2:X651))/STDEV(Rankings!X2:X651)</f>
        <v>0.97790136172437936</v>
      </c>
      <c r="R235" s="121">
        <f>(VLOOKUP($A235,Hitters!$A1:$R401,16,FALSE)-AVERAGE(Rankings!Y2:Y651))/STDEV(Rankings!Y2:Y651)</f>
        <v>1.9662243888853574</v>
      </c>
      <c r="S235" s="121">
        <f>(VLOOKUP($A235,Hitters!$A1:$R401,17,FALSE)-AVERAGE(Rankings!Z2:Z651))/STDEV(Rankings!Z2:Z651)</f>
        <v>1.7629240014371208</v>
      </c>
      <c r="T235" s="121">
        <f>IFERROR((VLOOKUP($A235,Hitters!$A1:$R401,18,FALSE)-AVERAGE(Rankings!AA2:AA651))/STDEV(Rankings!AA2:AA651),0)</f>
        <v>0</v>
      </c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</row>
    <row r="236" spans="1:37" ht="18.600000000000001" customHeight="1">
      <c r="A236" s="25" t="s">
        <v>133</v>
      </c>
      <c r="B236" s="26" t="s">
        <v>72</v>
      </c>
      <c r="C236" s="126" t="s">
        <v>23</v>
      </c>
      <c r="D236" s="67">
        <f>(F236*Settings!$C$2)+(G236*Settings!$C$3)+(H236*Settings!$C$4)+(I236*Settings!$C$5)+(J236*Settings!$C$6)+(M236*Settings!$C$9)+(N236*Settings!$C$10)+(O236*Settings!$C$11)+(P236*Settings!$C$12)+(Q236*Settings!$C$13)+(T236*Settings!$C$16)+(K236*Settings!$C$7)+(L236*Settings!$C$8)+(R236*Settings!$C$14)+(S236*Settings!$C$15)</f>
        <v>5.1073710223676896</v>
      </c>
      <c r="E236" s="67"/>
      <c r="F236" s="121">
        <f>(VLOOKUP($A236,Hitters!$A1:$R401,4,FALSE)-AVERAGE(Rankings!M2:M651))/STDEV(Rankings!M2:M651)</f>
        <v>1.0664166158810975</v>
      </c>
      <c r="G236" s="121">
        <f>(VLOOKUP($A236,Hitters!$A1:$R401,5,FALSE)-AVERAGE(Rankings!N2:N651))/STDEV(Rankings!N2:N651)</f>
        <v>0.97572314532669679</v>
      </c>
      <c r="H236" s="121">
        <f>(VLOOKUP($A236,Hitters!$A1:$R401,6,FALSE)-AVERAGE(Rankings!O2:O651))/STDEV(Rankings!O2:O651)</f>
        <v>1.6586584083631084</v>
      </c>
      <c r="I236" s="121">
        <f>(VLOOKUP($A236,Hitters!$A1:$R401,7,FALSE)-AVERAGE(Rankings!P2:P651))/STDEV(Rankings!P2:P651)</f>
        <v>1.5951846587803671</v>
      </c>
      <c r="J236" s="121">
        <f>(VLOOKUP($A236,Hitters!$A1:$R401,8,FALSE)-AVERAGE(Rankings!Q2:Q651))/STDEV(Rankings!Q2:Q651)</f>
        <v>0.31275615742034452</v>
      </c>
      <c r="K236" s="121">
        <f>(VLOOKUP($A236,Hitters!$A1:$R401,9,FALSE)-AVERAGE(Rankings!R2:R651))/STDEV(Rankings!R2:R651)</f>
        <v>0.56504865247717251</v>
      </c>
      <c r="L236" s="121">
        <f>(VLOOKUP($A236,Hitters!$A1:$R401,10,FALSE)-AVERAGE(Rankings!S2:S651))/STDEV(Rankings!S2:S651)</f>
        <v>-0.13848984513165116</v>
      </c>
      <c r="M236" s="121">
        <f>(VLOOKUP($A236,Hitters!$A1:$R401,11,FALSE)-AVERAGE(Rankings!T2:T651))/STDEV(Rankings!T2:T651)</f>
        <v>1.0552086274630115</v>
      </c>
      <c r="N236" s="121">
        <f>(VLOOKUP($A236,Hitters!$A1:$R401,12,FALSE)-AVERAGE(Rankings!U2:U651))/STDEV(Rankings!U2:U651)</f>
        <v>1.2277724328810729</v>
      </c>
      <c r="O236" s="121">
        <f>(VLOOKUP($A236,Hitters!$A1:$R401,13,FALSE)-AVERAGE(Rankings!V2:V651))/STDEV(Rankings!V2:V651)</f>
        <v>-0.83928252639455969</v>
      </c>
      <c r="P236" s="121">
        <f>(VLOOKUP($A236,Hitters!$A1:$R401,14,FALSE)-AVERAGE(Rankings!W2:W651))/STDEV(Rankings!W2:W651)</f>
        <v>3.8693136260830555E-2</v>
      </c>
      <c r="Q236" s="121">
        <f>(VLOOKUP($A236,Hitters!$A1:$R401,15,FALSE)-AVERAGE(Rankings!X2:X651))/STDEV(Rankings!X2:X651)</f>
        <v>1.8853287315749376</v>
      </c>
      <c r="R236" s="121">
        <f>(VLOOKUP($A236,Hitters!$A1:$R401,16,FALSE)-AVERAGE(Rankings!Y2:Y651))/STDEV(Rankings!Y2:Y651)</f>
        <v>1.4235117386838629</v>
      </c>
      <c r="S236" s="121">
        <f>(VLOOKUP($A236,Hitters!$A1:$R401,17,FALSE)-AVERAGE(Rankings!Z2:Z651))/STDEV(Rankings!Z2:Z651)</f>
        <v>0.98182581112286771</v>
      </c>
      <c r="T236" s="121">
        <f>IFERROR((VLOOKUP($A236,Hitters!$A1:$R401,18,FALSE)-AVERAGE(Rankings!AA2:AA651))/STDEV(Rankings!AA2:AA651),0)</f>
        <v>0</v>
      </c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</row>
    <row r="237" spans="1:37" ht="18.600000000000001" customHeight="1">
      <c r="A237" s="25" t="s">
        <v>138</v>
      </c>
      <c r="B237" s="26" t="s">
        <v>139</v>
      </c>
      <c r="C237" s="126" t="s">
        <v>23</v>
      </c>
      <c r="D237" s="67">
        <f>(F237*Settings!$C$2)+(G237*Settings!$C$3)+(H237*Settings!$C$4)+(I237*Settings!$C$5)+(J237*Settings!$C$6)+(M237*Settings!$C$9)+(N237*Settings!$C$10)+(O237*Settings!$C$11)+(P237*Settings!$C$12)+(Q237*Settings!$C$13)+(T237*Settings!$C$16)+(K237*Settings!$C$7)+(L237*Settings!$C$8)+(R237*Settings!$C$14)+(S237*Settings!$C$15)</f>
        <v>4.9269488603339804</v>
      </c>
      <c r="E237" s="67"/>
      <c r="F237" s="121">
        <f>(VLOOKUP($A237,Hitters!$A1:$R401,4,FALSE)-AVERAGE(Rankings!M2:M651))/STDEV(Rankings!M2:M651)</f>
        <v>1.3406518802742322</v>
      </c>
      <c r="G237" s="121">
        <f>(VLOOKUP($A237,Hitters!$A1:$R401,5,FALSE)-AVERAGE(Rankings!N2:N651))/STDEV(Rankings!N2:N651)</f>
        <v>1.494831936636601</v>
      </c>
      <c r="H237" s="121">
        <f>(VLOOKUP($A237,Hitters!$A1:$R401,6,FALSE)-AVERAGE(Rankings!O2:O651))/STDEV(Rankings!O2:O651)</f>
        <v>1.2534885392332258</v>
      </c>
      <c r="I237" s="121">
        <f>(VLOOKUP($A237,Hitters!$A1:$R401,7,FALSE)-AVERAGE(Rankings!P2:P651))/STDEV(Rankings!P2:P651)</f>
        <v>1.1311867597486243</v>
      </c>
      <c r="J237" s="121">
        <f>(VLOOKUP($A237,Hitters!$A1:$R401,8,FALSE)-AVERAGE(Rankings!Q2:Q651))/STDEV(Rankings!Q2:Q651)</f>
        <v>6.1766487181098811E-2</v>
      </c>
      <c r="K237" s="121">
        <f>(VLOOKUP($A237,Hitters!$A1:$R401,9,FALSE)-AVERAGE(Rankings!R2:R651))/STDEV(Rankings!R2:R651)</f>
        <v>0.98567513753443037</v>
      </c>
      <c r="L237" s="121">
        <f>(VLOOKUP($A237,Hitters!$A1:$R401,10,FALSE)-AVERAGE(Rankings!S2:S651))/STDEV(Rankings!S2:S651)</f>
        <v>1.2737815457110462</v>
      </c>
      <c r="M237" s="121">
        <f>(VLOOKUP($A237,Hitters!$A1:$R401,11,FALSE)-AVERAGE(Rankings!T2:T651))/STDEV(Rankings!T2:T651)</f>
        <v>1.4346305016375489</v>
      </c>
      <c r="N237" s="121">
        <f>(VLOOKUP($A237,Hitters!$A1:$R401,12,FALSE)-AVERAGE(Rankings!U2:U651))/STDEV(Rankings!U2:U651)</f>
        <v>0.95990122383596499</v>
      </c>
      <c r="O237" s="121">
        <f>(VLOOKUP($A237,Hitters!$A1:$R401,13,FALSE)-AVERAGE(Rankings!V2:V651))/STDEV(Rankings!V2:V651)</f>
        <v>2.6175979391451016</v>
      </c>
      <c r="P237" s="121">
        <f>(VLOOKUP($A237,Hitters!$A1:$R401,14,FALSE)-AVERAGE(Rankings!W2:W651))/STDEV(Rankings!W2:W651)</f>
        <v>1.4801561961376091</v>
      </c>
      <c r="Q237" s="121">
        <f>(VLOOKUP($A237,Hitters!$A1:$R401,15,FALSE)-AVERAGE(Rankings!X2:X651))/STDEV(Rankings!X2:X651)</f>
        <v>1.2342422836048395</v>
      </c>
      <c r="R237" s="121">
        <f>(VLOOKUP($A237,Hitters!$A1:$R401,16,FALSE)-AVERAGE(Rankings!Y2:Y651))/STDEV(Rankings!Y2:Y651)</f>
        <v>1.1647503491549165</v>
      </c>
      <c r="S237" s="121">
        <f>(VLOOKUP($A237,Hitters!$A1:$R401,17,FALSE)-AVERAGE(Rankings!Z2:Z651))/STDEV(Rankings!Z2:Z651)</f>
        <v>1.3478211390265116</v>
      </c>
      <c r="T237" s="121">
        <f>IFERROR((VLOOKUP($A237,Hitters!$A1:$R401,18,FALSE)-AVERAGE(Rankings!AA2:AA651))/STDEV(Rankings!AA2:AA651),0)</f>
        <v>0</v>
      </c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</row>
    <row r="238" spans="1:37" ht="18.600000000000001" customHeight="1">
      <c r="A238" s="25" t="s">
        <v>132</v>
      </c>
      <c r="B238" s="26" t="s">
        <v>87</v>
      </c>
      <c r="C238" s="126" t="s">
        <v>23</v>
      </c>
      <c r="D238" s="67">
        <f>(F238*Settings!$C$2)+(G238*Settings!$C$3)+(H238*Settings!$C$4)+(I238*Settings!$C$5)+(J238*Settings!$C$6)+(M238*Settings!$C$9)+(N238*Settings!$C$10)+(O238*Settings!$C$11)+(P238*Settings!$C$12)+(Q238*Settings!$C$13)+(T238*Settings!$C$16)+(K238*Settings!$C$7)+(L238*Settings!$C$8)+(R238*Settings!$C$14)+(S238*Settings!$C$15)</f>
        <v>5.1282974741842082</v>
      </c>
      <c r="E238" s="67"/>
      <c r="F238" s="121">
        <f>(VLOOKUP($A238,Hitters!$A1:$R401,4,FALSE)-AVERAGE(Rankings!M2:M651))/STDEV(Rankings!M2:M651)</f>
        <v>1.345875409119818</v>
      </c>
      <c r="G238" s="121">
        <f>(VLOOKUP($A238,Hitters!$A1:$R401,5,FALSE)-AVERAGE(Rankings!N2:N651))/STDEV(Rankings!N2:N651)</f>
        <v>0.89224073736749854</v>
      </c>
      <c r="H238" s="121">
        <f>(VLOOKUP($A238,Hitters!$A1:$R401,6,FALSE)-AVERAGE(Rankings!O2:O651))/STDEV(Rankings!O2:O651)</f>
        <v>1.3787988080362799</v>
      </c>
      <c r="I238" s="121">
        <f>(VLOOKUP($A238,Hitters!$A1:$R401,7,FALSE)-AVERAGE(Rankings!P2:P651))/STDEV(Rankings!P2:P651)</f>
        <v>1.5350653296699419</v>
      </c>
      <c r="J238" s="121">
        <f>(VLOOKUP($A238,Hitters!$A1:$R401,8,FALSE)-AVERAGE(Rankings!Q2:Q651))/STDEV(Rankings!Q2:Q651)</f>
        <v>1.8186941788558209</v>
      </c>
      <c r="K238" s="121">
        <f>(VLOOKUP($A238,Hitters!$A1:$R401,9,FALSE)-AVERAGE(Rankings!R2:R651))/STDEV(Rankings!R2:R651)</f>
        <v>-0.49650157974533266</v>
      </c>
      <c r="L238" s="121">
        <f>(VLOOKUP($A238,Hitters!$A1:$R401,10,FALSE)-AVERAGE(Rankings!S2:S651))/STDEV(Rankings!S2:S651)</f>
        <v>-1.2284285769423569</v>
      </c>
      <c r="M238" s="121">
        <f>(VLOOKUP($A238,Hitters!$A1:$R401,11,FALSE)-AVERAGE(Rankings!T2:T651))/STDEV(Rankings!T2:T651)</f>
        <v>0.98150797564493553</v>
      </c>
      <c r="N238" s="121">
        <f>(VLOOKUP($A238,Hitters!$A1:$R401,12,FALSE)-AVERAGE(Rankings!U2:U651))/STDEV(Rankings!U2:U651)</f>
        <v>0.94289352802356863</v>
      </c>
      <c r="O238" s="121">
        <f>(VLOOKUP($A238,Hitters!$A1:$R401,13,FALSE)-AVERAGE(Rankings!V2:V651))/STDEV(Rankings!V2:V651)</f>
        <v>1.1242255780319683</v>
      </c>
      <c r="P238" s="121">
        <f>(VLOOKUP($A238,Hitters!$A1:$R401,14,FALSE)-AVERAGE(Rankings!W2:W651))/STDEV(Rankings!W2:W651)</f>
        <v>-9.1335748006408674E-2</v>
      </c>
      <c r="Q238" s="121">
        <f>(VLOOKUP($A238,Hitters!$A1:$R401,15,FALSE)-AVERAGE(Rankings!X2:X651))/STDEV(Rankings!X2:X651)</f>
        <v>2.3112640276272551</v>
      </c>
      <c r="R238" s="121">
        <f>(VLOOKUP($A238,Hitters!$A1:$R401,16,FALSE)-AVERAGE(Rankings!Y2:Y651))/STDEV(Rankings!Y2:Y651)</f>
        <v>0.4426426142454104</v>
      </c>
      <c r="S238" s="121">
        <f>(VLOOKUP($A238,Hitters!$A1:$R401,17,FALSE)-AVERAGE(Rankings!Z2:Z651))/STDEV(Rankings!Z2:Z651)</f>
        <v>-0.15998395720642541</v>
      </c>
      <c r="T238" s="121">
        <f>IFERROR((VLOOKUP($A238,Hitters!$A1:$R401,18,FALSE)-AVERAGE(Rankings!AA2:AA651))/STDEV(Rankings!AA2:AA651),0)</f>
        <v>0</v>
      </c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</row>
    <row r="239" spans="1:37" ht="18.600000000000001" customHeight="1">
      <c r="A239" s="25" t="s">
        <v>121</v>
      </c>
      <c r="B239" s="26" t="s">
        <v>122</v>
      </c>
      <c r="C239" s="126" t="s">
        <v>23</v>
      </c>
      <c r="D239" s="67">
        <f>(F239*Settings!$C$2)+(G239*Settings!$C$3)+(H239*Settings!$C$4)+(I239*Settings!$C$5)+(J239*Settings!$C$6)+(M239*Settings!$C$9)+(N239*Settings!$C$10)+(O239*Settings!$C$11)+(P239*Settings!$C$12)+(Q239*Settings!$C$13)+(T239*Settings!$C$16)+(K239*Settings!$C$7)+(L239*Settings!$C$8)+(R239*Settings!$C$14)+(S239*Settings!$C$15)</f>
        <v>5.5319801291607504</v>
      </c>
      <c r="E239" s="67"/>
      <c r="F239" s="121">
        <f>(VLOOKUP($A239,Hitters!$A1:$R401,4,FALSE)-AVERAGE(Rankings!M2:M651))/STDEV(Rankings!M2:M651)</f>
        <v>0.93582839474150681</v>
      </c>
      <c r="G239" s="121">
        <f>(VLOOKUP($A239,Hitters!$A1:$R401,5,FALSE)-AVERAGE(Rankings!N2:N651))/STDEV(Rankings!N2:N651)</f>
        <v>0.93018728643986304</v>
      </c>
      <c r="H239" s="121">
        <f>(VLOOKUP($A239,Hitters!$A1:$R401,6,FALSE)-AVERAGE(Rankings!O2:O651))/STDEV(Rankings!O2:O651)</f>
        <v>-0.12910142656046603</v>
      </c>
      <c r="I239" s="121">
        <f>(VLOOKUP($A239,Hitters!$A1:$R401,7,FALSE)-AVERAGE(Rankings!P2:P651))/STDEV(Rankings!P2:P651)</f>
        <v>0.46679109701546095</v>
      </c>
      <c r="J239" s="121">
        <f>(VLOOKUP($A239,Hitters!$A1:$R401,8,FALSE)-AVERAGE(Rankings!Q2:Q651))/STDEV(Rankings!Q2:Q651)</f>
        <v>3.4400874486013593</v>
      </c>
      <c r="K239" s="121">
        <f>(VLOOKUP($A239,Hitters!$A1:$R401,9,FALSE)-AVERAGE(Rankings!R2:R651))/STDEV(Rankings!R2:R651)</f>
        <v>0.82401572366453313</v>
      </c>
      <c r="L239" s="121">
        <f>(VLOOKUP($A239,Hitters!$A1:$R401,10,FALSE)-AVERAGE(Rankings!S2:S651))/STDEV(Rankings!S2:S651)</f>
        <v>0.4402202590034634</v>
      </c>
      <c r="M239" s="121">
        <f>(VLOOKUP($A239,Hitters!$A1:$R401,11,FALSE)-AVERAGE(Rankings!T2:T651))/STDEV(Rankings!T2:T651)</f>
        <v>1.0088045133553338</v>
      </c>
      <c r="N239" s="121">
        <f>(VLOOKUP($A239,Hitters!$A1:$R401,12,FALSE)-AVERAGE(Rankings!U2:U651))/STDEV(Rankings!U2:U651)</f>
        <v>0.63250307944749584</v>
      </c>
      <c r="O239" s="121">
        <f>(VLOOKUP($A239,Hitters!$A1:$R401,13,FALSE)-AVERAGE(Rankings!V2:V651))/STDEV(Rankings!V2:V651)</f>
        <v>2.866493332663957</v>
      </c>
      <c r="P239" s="121">
        <f>(VLOOKUP($A239,Hitters!$A1:$R401,14,FALSE)-AVERAGE(Rankings!W2:W651))/STDEV(Rankings!W2:W651)</f>
        <v>0.36748045790798317</v>
      </c>
      <c r="Q239" s="121">
        <f>(VLOOKUP($A239,Hitters!$A1:$R401,15,FALSE)-AVERAGE(Rankings!X2:X651))/STDEV(Rankings!X2:X651)</f>
        <v>0.94573691145040661</v>
      </c>
      <c r="R239" s="121">
        <f>(VLOOKUP($A239,Hitters!$A1:$R401,16,FALSE)-AVERAGE(Rankings!Y2:Y651))/STDEV(Rankings!Y2:Y651)</f>
        <v>-3.4718514893911097E-2</v>
      </c>
      <c r="S239" s="121">
        <f>(VLOOKUP($A239,Hitters!$A1:$R401,17,FALSE)-AVERAGE(Rankings!Z2:Z651))/STDEV(Rankings!Z2:Z651)</f>
        <v>0.14752496944613133</v>
      </c>
      <c r="T239" s="121">
        <f>IFERROR((VLOOKUP($A239,Hitters!$A1:$R401,18,FALSE)-AVERAGE(Rankings!AA2:AA651))/STDEV(Rankings!AA2:AA651),0)</f>
        <v>0</v>
      </c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</row>
    <row r="240" spans="1:37" ht="18.600000000000001" customHeight="1">
      <c r="A240" s="25" t="s">
        <v>143</v>
      </c>
      <c r="B240" s="26" t="s">
        <v>77</v>
      </c>
      <c r="C240" s="126" t="s">
        <v>23</v>
      </c>
      <c r="D240" s="67">
        <f>(F240*Settings!$C$2)+(G240*Settings!$C$3)+(H240*Settings!$C$4)+(I240*Settings!$C$5)+(J240*Settings!$C$6)+(M240*Settings!$C$9)+(N240*Settings!$C$10)+(O240*Settings!$C$11)+(P240*Settings!$C$12)+(Q240*Settings!$C$13)+(T240*Settings!$C$16)+(K240*Settings!$C$7)+(L240*Settings!$C$8)+(R240*Settings!$C$14)+(S240*Settings!$C$15)</f>
        <v>4.8140052644662266</v>
      </c>
      <c r="E240" s="67"/>
      <c r="F240" s="121">
        <f>(VLOOKUP($A240,Hitters!$A1:$R401,4,FALSE)-AVERAGE(Rankings!M2:M651))/STDEV(Rankings!M2:M651)</f>
        <v>1.1917813081751019</v>
      </c>
      <c r="G240" s="121">
        <f>(VLOOKUP($A240,Hitters!$A1:$R401,5,FALSE)-AVERAGE(Rankings!N2:N651))/STDEV(Rankings!N2:N651)</f>
        <v>1.4735818691560771</v>
      </c>
      <c r="H240" s="121">
        <f>(VLOOKUP($A240,Hitters!$A1:$R401,6,FALSE)-AVERAGE(Rankings!O2:O651))/STDEV(Rankings!O2:O651)</f>
        <v>-0.71805968993481972</v>
      </c>
      <c r="I240" s="121">
        <f>(VLOOKUP($A240,Hitters!$A1:$R401,7,FALSE)-AVERAGE(Rankings!P2:P651))/STDEV(Rankings!P2:P651)</f>
        <v>0.13073946250077423</v>
      </c>
      <c r="J240" s="121">
        <f>(VLOOKUP($A240,Hitters!$A1:$R401,8,FALSE)-AVERAGE(Rankings!Q2:Q651))/STDEV(Rankings!Q2:Q651)</f>
        <v>1.7885754184271108</v>
      </c>
      <c r="K240" s="121">
        <f>(VLOOKUP($A240,Hitters!$A1:$R401,9,FALSE)-AVERAGE(Rankings!R2:R651))/STDEV(Rankings!R2:R651)</f>
        <v>2.1391682043170834</v>
      </c>
      <c r="L240" s="121">
        <f>(VLOOKUP($A240,Hitters!$A1:$R401,10,FALSE)-AVERAGE(Rankings!S2:S651))/STDEV(Rankings!S2:S651)</f>
        <v>2.0540777005046023</v>
      </c>
      <c r="M240" s="121">
        <f>(VLOOKUP($A240,Hitters!$A1:$R401,11,FALSE)-AVERAGE(Rankings!T2:T651))/STDEV(Rankings!T2:T651)</f>
        <v>1.6384446498751712</v>
      </c>
      <c r="N240" s="121">
        <f>(VLOOKUP($A240,Hitters!$A1:$R401,12,FALSE)-AVERAGE(Rankings!U2:U651))/STDEV(Rankings!U2:U651)</f>
        <v>0.94714545197667432</v>
      </c>
      <c r="O240" s="121">
        <f>(VLOOKUP($A240,Hitters!$A1:$R401,13,FALSE)-AVERAGE(Rankings!V2:V651))/STDEV(Rankings!V2:V651)</f>
        <v>3.4195942071503063</v>
      </c>
      <c r="P240" s="121">
        <f>(VLOOKUP($A240,Hitters!$A1:$R401,14,FALSE)-AVERAGE(Rankings!W2:W651))/STDEV(Rankings!W2:W651)</f>
        <v>1.2331013160298634</v>
      </c>
      <c r="Q240" s="121">
        <f>(VLOOKUP($A240,Hitters!$A1:$R401,15,FALSE)-AVERAGE(Rankings!X2:X651))/STDEV(Rankings!X2:X651)</f>
        <v>-0.91785184381735474</v>
      </c>
      <c r="R240" s="121">
        <f>(VLOOKUP($A240,Hitters!$A1:$R401,16,FALSE)-AVERAGE(Rankings!Y2:Y651))/STDEV(Rankings!Y2:Y651)</f>
        <v>-6.6935298472267549E-2</v>
      </c>
      <c r="S240" s="121">
        <f>(VLOOKUP($A240,Hitters!$A1:$R401,17,FALSE)-AVERAGE(Rankings!Z2:Z651))/STDEV(Rankings!Z2:Z651)</f>
        <v>0.75755134812858649</v>
      </c>
      <c r="T240" s="121">
        <f>IFERROR((VLOOKUP($A240,Hitters!$A1:$R401,18,FALSE)-AVERAGE(Rankings!AA2:AA651))/STDEV(Rankings!AA2:AA651),0)</f>
        <v>0</v>
      </c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</row>
    <row r="241" spans="1:37" ht="18.600000000000001" customHeight="1">
      <c r="A241" s="25" t="s">
        <v>168</v>
      </c>
      <c r="B241" s="26" t="s">
        <v>101</v>
      </c>
      <c r="C241" s="126" t="s">
        <v>23</v>
      </c>
      <c r="D241" s="67">
        <f>(F241*Settings!$C$2)+(G241*Settings!$C$3)+(H241*Settings!$C$4)+(I241*Settings!$C$5)+(J241*Settings!$C$6)+(M241*Settings!$C$9)+(N241*Settings!$C$10)+(O241*Settings!$C$11)+(P241*Settings!$C$12)+(Q241*Settings!$C$13)+(T241*Settings!$C$16)+(K241*Settings!$C$7)+(L241*Settings!$C$8)+(R241*Settings!$C$14)+(S241*Settings!$C$15)</f>
        <v>3.8018356766044987</v>
      </c>
      <c r="E241" s="67"/>
      <c r="F241" s="121">
        <f>(VLOOKUP($A241,Hitters!$A1:$R401,4,FALSE)-AVERAGE(Rankings!M2:M651))/STDEV(Rankings!M2:M651)</f>
        <v>1.4190048129579849</v>
      </c>
      <c r="G241" s="121">
        <f>(VLOOKUP($A241,Hitters!$A1:$R401,5,FALSE)-AVERAGE(Rankings!N2:N651))/STDEV(Rankings!N2:N651)</f>
        <v>1.1214378937645648</v>
      </c>
      <c r="H241" s="121">
        <f>(VLOOKUP($A241,Hitters!$A1:$R401,6,FALSE)-AVERAGE(Rankings!O2:O651))/STDEV(Rankings!O2:O651)</f>
        <v>1.9092789459692165</v>
      </c>
      <c r="I241" s="121">
        <f>(VLOOKUP($A241,Hitters!$A1:$R401,7,FALSE)-AVERAGE(Rankings!P2:P651))/STDEV(Rankings!P2:P651)</f>
        <v>1.721589402038183</v>
      </c>
      <c r="J241" s="121">
        <f>(VLOOKUP($A241,Hitters!$A1:$R401,8,FALSE)-AVERAGE(Rankings!Q2:Q651))/STDEV(Rankings!Q2:Q651)</f>
        <v>-0.76649942460841547</v>
      </c>
      <c r="K241" s="121">
        <f>(VLOOKUP($A241,Hitters!$A1:$R401,9,FALSE)-AVERAGE(Rankings!R2:R651))/STDEV(Rankings!R2:R651)</f>
        <v>-0.18397114055904998</v>
      </c>
      <c r="L241" s="121">
        <f>(VLOOKUP($A241,Hitters!$A1:$R401,10,FALSE)-AVERAGE(Rankings!S2:S651))/STDEV(Rankings!S2:S651)</f>
        <v>-0.49737907830101424</v>
      </c>
      <c r="M241" s="121">
        <f>(VLOOKUP($A241,Hitters!$A1:$R401,11,FALSE)-AVERAGE(Rankings!T2:T651))/STDEV(Rankings!T2:T651)</f>
        <v>1.1407377789555835</v>
      </c>
      <c r="N241" s="121">
        <f>(VLOOKUP($A241,Hitters!$A1:$R401,12,FALSE)-AVERAGE(Rankings!U2:U651))/STDEV(Rankings!U2:U651)</f>
        <v>1.2405282047403634</v>
      </c>
      <c r="O241" s="121">
        <f>(VLOOKUP($A241,Hitters!$A1:$R401,13,FALSE)-AVERAGE(Rankings!V2:V651))/STDEV(Rankings!V2:V651)</f>
        <v>-0.61804217660002114</v>
      </c>
      <c r="P241" s="121">
        <f>(VLOOKUP($A241,Hitters!$A1:$R401,14,FALSE)-AVERAGE(Rankings!W2:W651))/STDEV(Rankings!W2:W651)</f>
        <v>0.49193667570662097</v>
      </c>
      <c r="Q241" s="121">
        <f>(VLOOKUP($A241,Hitters!$A1:$R401,15,FALSE)-AVERAGE(Rankings!X2:X651))/STDEV(Rankings!X2:X651)</f>
        <v>0.87945865027978598</v>
      </c>
      <c r="R241" s="121">
        <f>(VLOOKUP($A241,Hitters!$A1:$R401,16,FALSE)-AVERAGE(Rankings!Y2:Y651))/STDEV(Rankings!Y2:Y651)</f>
        <v>0.94993919449055264</v>
      </c>
      <c r="S241" s="121">
        <f>(VLOOKUP($A241,Hitters!$A1:$R401,17,FALSE)-AVERAGE(Rankings!Z2:Z651))/STDEV(Rankings!Z2:Z651)</f>
        <v>0.4962357910834263</v>
      </c>
      <c r="T241" s="121">
        <f>IFERROR((VLOOKUP($A241,Hitters!$A1:$R401,18,FALSE)-AVERAGE(Rankings!AA2:AA651))/STDEV(Rankings!AA2:AA651),0)</f>
        <v>0</v>
      </c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</row>
    <row r="242" spans="1:37" ht="18.600000000000001" customHeight="1">
      <c r="A242" s="25" t="s">
        <v>151</v>
      </c>
      <c r="B242" s="26" t="s">
        <v>125</v>
      </c>
      <c r="C242" s="126" t="s">
        <v>23</v>
      </c>
      <c r="D242" s="67">
        <f>(F242*Settings!$C$2)+(G242*Settings!$C$3)+(H242*Settings!$C$4)+(I242*Settings!$C$5)+(J242*Settings!$C$6)+(M242*Settings!$C$9)+(N242*Settings!$C$10)+(O242*Settings!$C$11)+(P242*Settings!$C$12)+(Q242*Settings!$C$13)+(T242*Settings!$C$16)+(K242*Settings!$C$7)+(L242*Settings!$C$8)+(R242*Settings!$C$14)+(S242*Settings!$C$15)</f>
        <v>4.2327308114636431</v>
      </c>
      <c r="E242" s="67"/>
      <c r="F242" s="121">
        <f>(VLOOKUP($A242,Hitters!$A1:$R401,4,FALSE)-AVERAGE(Rankings!M2:M651))/STDEV(Rankings!M2:M651)</f>
        <v>0.62241666400649576</v>
      </c>
      <c r="G242" s="121">
        <f>(VLOOKUP($A242,Hitters!$A1:$R401,5,FALSE)-AVERAGE(Rankings!N2:N651))/STDEV(Rankings!N2:N651)</f>
        <v>0.86340136007250556</v>
      </c>
      <c r="H242" s="121">
        <f>(VLOOKUP($A242,Hitters!$A1:$R401,6,FALSE)-AVERAGE(Rankings!O2:O651))/STDEV(Rankings!O2:O651)</f>
        <v>1.2701965750736413</v>
      </c>
      <c r="I242" s="121">
        <f>(VLOOKUP($A242,Hitters!$A1:$R401,7,FALSE)-AVERAGE(Rankings!P2:P651))/STDEV(Rankings!P2:P651)</f>
        <v>1.0279048353794293</v>
      </c>
      <c r="J242" s="121">
        <f>(VLOOKUP($A242,Hitters!$A1:$R401,8,FALSE)-AVERAGE(Rankings!Q2:Q651))/STDEV(Rankings!Q2:Q651)</f>
        <v>1.311695044972552</v>
      </c>
      <c r="K242" s="121">
        <f>(VLOOKUP($A242,Hitters!$A1:$R401,9,FALSE)-AVERAGE(Rankings!R2:R651))/STDEV(Rankings!R2:R651)</f>
        <v>-0.24046700403448529</v>
      </c>
      <c r="L242" s="121">
        <f>(VLOOKUP($A242,Hitters!$A1:$R401,10,FALSE)-AVERAGE(Rankings!S2:S651))/STDEV(Rankings!S2:S651)</f>
        <v>-0.1565657465135086</v>
      </c>
      <c r="M242" s="121">
        <f>(VLOOKUP($A242,Hitters!$A1:$R401,11,FALSE)-AVERAGE(Rankings!T2:T651))/STDEV(Rankings!T2:T651)</f>
        <v>0.44376618275008817</v>
      </c>
      <c r="N242" s="121">
        <f>(VLOOKUP($A242,Hitters!$A1:$R401,12,FALSE)-AVERAGE(Rankings!U2:U651))/STDEV(Rankings!U2:U651)</f>
        <v>4.9989497873209478E-2</v>
      </c>
      <c r="O242" s="121">
        <f>(VLOOKUP($A242,Hitters!$A1:$R401,13,FALSE)-AVERAGE(Rankings!V2:V651))/STDEV(Rankings!V2:V651)</f>
        <v>-0.14790643328662451</v>
      </c>
      <c r="P242" s="121">
        <f>(VLOOKUP($A242,Hitters!$A1:$R401,14,FALSE)-AVERAGE(Rankings!W2:W651))/STDEV(Rankings!W2:W651)</f>
        <v>0.40463156769861819</v>
      </c>
      <c r="Q242" s="121">
        <f>(VLOOKUP($A242,Hitters!$A1:$R401,15,FALSE)-AVERAGE(Rankings!X2:X651))/STDEV(Rankings!X2:X651)</f>
        <v>1.5773297531938739</v>
      </c>
      <c r="R242" s="121">
        <f>(VLOOKUP($A242,Hitters!$A1:$R401,16,FALSE)-AVERAGE(Rankings!Y2:Y651))/STDEV(Rankings!Y2:Y651)</f>
        <v>0.82654099818582771</v>
      </c>
      <c r="S242" s="121">
        <f>(VLOOKUP($A242,Hitters!$A1:$R401,17,FALSE)-AVERAGE(Rankings!Z2:Z651))/STDEV(Rankings!Z2:Z651)</f>
        <v>0.54019049076246828</v>
      </c>
      <c r="T242" s="121">
        <f>IFERROR((VLOOKUP($A242,Hitters!$A1:$R401,18,FALSE)-AVERAGE(Rankings!AA2:AA651))/STDEV(Rankings!AA2:AA651),0)</f>
        <v>0</v>
      </c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</row>
    <row r="243" spans="1:37" ht="18.600000000000001" customHeight="1">
      <c r="A243" s="25" t="s">
        <v>159</v>
      </c>
      <c r="B243" s="26" t="s">
        <v>160</v>
      </c>
      <c r="C243" s="126" t="s">
        <v>23</v>
      </c>
      <c r="D243" s="67">
        <f>(F243*Settings!$C$2)+(G243*Settings!$C$3)+(H243*Settings!$C$4)+(I243*Settings!$C$5)+(J243*Settings!$C$6)+(M243*Settings!$C$9)+(N243*Settings!$C$10)+(O243*Settings!$C$11)+(P243*Settings!$C$12)+(Q243*Settings!$C$13)+(T243*Settings!$C$16)+(K243*Settings!$C$7)+(L243*Settings!$C$8)+(R243*Settings!$C$14)+(S243*Settings!$C$15)</f>
        <v>3.9509610017206085</v>
      </c>
      <c r="E243" s="67"/>
      <c r="F243" s="121">
        <f>(VLOOKUP($A243,Hitters!$A1:$R401,4,FALSE)-AVERAGE(Rankings!M2:M651))/STDEV(Rankings!M2:M651)</f>
        <v>0.93060486589592895</v>
      </c>
      <c r="G243" s="121">
        <f>(VLOOKUP($A243,Hitters!$A1:$R401,5,FALSE)-AVERAGE(Rankings!N2:N651))/STDEV(Rankings!N2:N651)</f>
        <v>0.87402639381276481</v>
      </c>
      <c r="H243" s="121">
        <f>(VLOOKUP($A243,Hitters!$A1:$R401,6,FALSE)-AVERAGE(Rankings!O2:O651))/STDEV(Rankings!O2:O651)</f>
        <v>0.83161063426295234</v>
      </c>
      <c r="I243" s="121">
        <f>(VLOOKUP($A243,Hitters!$A1:$R401,7,FALSE)-AVERAGE(Rankings!P2:P651))/STDEV(Rankings!P2:P651)</f>
        <v>0.88608487952919801</v>
      </c>
      <c r="J243" s="121">
        <f>(VLOOKUP($A243,Hitters!$A1:$R401,8,FALSE)-AVERAGE(Rankings!Q2:Q651))/STDEV(Rankings!Q2:Q651)</f>
        <v>0.67418128256485532</v>
      </c>
      <c r="K243" s="121">
        <f>(VLOOKUP($A243,Hitters!$A1:$R401,9,FALSE)-AVERAGE(Rankings!R2:R651))/STDEV(Rankings!R2:R651)</f>
        <v>0.68505781155083778</v>
      </c>
      <c r="L243" s="121">
        <f>(VLOOKUP($A243,Hitters!$A1:$R401,10,FALSE)-AVERAGE(Rankings!S2:S651))/STDEV(Rankings!S2:S651)</f>
        <v>1.0751906598335732</v>
      </c>
      <c r="M243" s="121">
        <f>(VLOOKUP($A243,Hitters!$A1:$R401,11,FALSE)-AVERAGE(Rankings!T2:T651))/STDEV(Rankings!T2:T651)</f>
        <v>0.9651300530186967</v>
      </c>
      <c r="N243" s="121">
        <f>(VLOOKUP($A243,Hitters!$A1:$R401,12,FALSE)-AVERAGE(Rankings!U2:U651))/STDEV(Rankings!U2:U651)</f>
        <v>0.84084735314924219</v>
      </c>
      <c r="O243" s="121">
        <f>(VLOOKUP($A243,Hitters!$A1:$R401,13,FALSE)-AVERAGE(Rankings!V2:V651))/STDEV(Rankings!V2:V651)</f>
        <v>0.23926417885381215</v>
      </c>
      <c r="P243" s="121">
        <f>(VLOOKUP($A243,Hitters!$A1:$R401,14,FALSE)-AVERAGE(Rankings!W2:W651))/STDEV(Rankings!W2:W651)</f>
        <v>1.1810897623229712</v>
      </c>
      <c r="Q243" s="121">
        <f>(VLOOKUP($A243,Hitters!$A1:$R401,15,FALSE)-AVERAGE(Rankings!X2:X651))/STDEV(Rankings!X2:X651)</f>
        <v>1.1085085234429459</v>
      </c>
      <c r="R243" s="121">
        <f>(VLOOKUP($A243,Hitters!$A1:$R401,16,FALSE)-AVERAGE(Rankings!Y2:Y651))/STDEV(Rankings!Y2:Y651)</f>
        <v>0.73371501967166231</v>
      </c>
      <c r="S243" s="121">
        <f>(VLOOKUP($A243,Hitters!$A1:$R401,17,FALSE)-AVERAGE(Rankings!Z2:Z651))/STDEV(Rankings!Z2:Z651)</f>
        <v>0.95611521696965551</v>
      </c>
      <c r="T243" s="121">
        <f>IFERROR((VLOOKUP($A243,Hitters!$A1:$R401,18,FALSE)-AVERAGE(Rankings!AA2:AA651))/STDEV(Rankings!AA2:AA651),0)</f>
        <v>0</v>
      </c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</row>
    <row r="244" spans="1:37" ht="18.600000000000001" customHeight="1">
      <c r="A244" s="25" t="s">
        <v>157</v>
      </c>
      <c r="B244" s="26" t="s">
        <v>158</v>
      </c>
      <c r="C244" s="126" t="s">
        <v>23</v>
      </c>
      <c r="D244" s="67">
        <f>(F244*Settings!$C$2)+(G244*Settings!$C$3)+(H244*Settings!$C$4)+(I244*Settings!$C$5)+(J244*Settings!$C$6)+(M244*Settings!$C$9)+(N244*Settings!$C$10)+(O244*Settings!$C$11)+(P244*Settings!$C$12)+(Q244*Settings!$C$13)+(T244*Settings!$C$16)+(K244*Settings!$C$7)+(L244*Settings!$C$8)+(R244*Settings!$C$14)+(S244*Settings!$C$15)</f>
        <v>3.9629540314233296</v>
      </c>
      <c r="E244" s="67"/>
      <c r="F244" s="121">
        <f>(VLOOKUP($A244,Hitters!$A1:$R401,4,FALSE)-AVERAGE(Rankings!M2:M651))/STDEV(Rankings!M2:M651)</f>
        <v>0.43959315441107555</v>
      </c>
      <c r="G244" s="121">
        <f>(VLOOKUP($A244,Hitters!$A1:$R401,5,FALSE)-AVERAGE(Rankings!N2:N651))/STDEV(Rankings!N2:N651)</f>
        <v>0.98786604102984921</v>
      </c>
      <c r="H244" s="121">
        <f>(VLOOKUP($A244,Hitters!$A1:$R401,6,FALSE)-AVERAGE(Rankings!O2:O651))/STDEV(Rankings!O2:O651)</f>
        <v>2.0304122058121603</v>
      </c>
      <c r="I244" s="121">
        <f>(VLOOKUP($A244,Hitters!$A1:$R401,7,FALSE)-AVERAGE(Rankings!P2:P651))/STDEV(Rankings!P2:P651)</f>
        <v>0.72576666856806249</v>
      </c>
      <c r="J244" s="121">
        <f>(VLOOKUP($A244,Hitters!$A1:$R401,8,FALSE)-AVERAGE(Rankings!Q2:Q651))/STDEV(Rankings!Q2:Q651)</f>
        <v>0.44327078594475344</v>
      </c>
      <c r="K244" s="121">
        <f>(VLOOKUP($A244,Hitters!$A1:$R401,9,FALSE)-AVERAGE(Rankings!R2:R651))/STDEV(Rankings!R2:R651)</f>
        <v>-0.22436166993149589</v>
      </c>
      <c r="L244" s="121">
        <f>(VLOOKUP($A244,Hitters!$A1:$R401,10,FALSE)-AVERAGE(Rankings!S2:S651))/STDEV(Rankings!S2:S651)</f>
        <v>-0.55264095994158569</v>
      </c>
      <c r="M244" s="121">
        <f>(VLOOKUP($A244,Hitters!$A1:$R401,11,FALSE)-AVERAGE(Rankings!T2:T651))/STDEV(Rankings!T2:T651)</f>
        <v>0.29181545616219479</v>
      </c>
      <c r="N244" s="121">
        <f>(VLOOKUP($A244,Hitters!$A1:$R401,12,FALSE)-AVERAGE(Rankings!U2:U651))/STDEV(Rankings!U2:U651)</f>
        <v>0.50069343690149481</v>
      </c>
      <c r="O244" s="121">
        <f>(VLOOKUP($A244,Hitters!$A1:$R401,13,FALSE)-AVERAGE(Rankings!V2:V651))/STDEV(Rankings!V2:V651)</f>
        <v>1.0965705343076537</v>
      </c>
      <c r="P244" s="121">
        <f>(VLOOKUP($A244,Hitters!$A1:$R401,14,FALSE)-AVERAGE(Rankings!W2:W651))/STDEV(Rankings!W2:W651)</f>
        <v>-9.319330349593892E-2</v>
      </c>
      <c r="Q244" s="121">
        <f>(VLOOKUP($A244,Hitters!$A1:$R401,15,FALSE)-AVERAGE(Rankings!X2:X651))/STDEV(Rankings!X2:X651)</f>
        <v>1.2176727183121769</v>
      </c>
      <c r="R244" s="121">
        <f>(VLOOKUP($A244,Hitters!$A1:$R401,16,FALSE)-AVERAGE(Rankings!Y2:Y651))/STDEV(Rankings!Y2:Y651)</f>
        <v>2.3645777267259951</v>
      </c>
      <c r="S244" s="121">
        <f>(VLOOKUP($A244,Hitters!$A1:$R401,17,FALSE)-AVERAGE(Rankings!Z2:Z651))/STDEV(Rankings!Z2:Z651)</f>
        <v>1.50427166536593</v>
      </c>
      <c r="T244" s="121">
        <f>IFERROR((VLOOKUP($A244,Hitters!$A1:$R401,18,FALSE)-AVERAGE(Rankings!AA2:AA651))/STDEV(Rankings!AA2:AA651),0)</f>
        <v>0</v>
      </c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</row>
    <row r="245" spans="1:37" ht="18.600000000000001" customHeight="1">
      <c r="A245" s="25" t="s">
        <v>175</v>
      </c>
      <c r="B245" s="26" t="s">
        <v>69</v>
      </c>
      <c r="C245" s="126" t="s">
        <v>23</v>
      </c>
      <c r="D245" s="67">
        <f>(F245*Settings!$C$2)+(G245*Settings!$C$3)+(H245*Settings!$C$4)+(I245*Settings!$C$5)+(J245*Settings!$C$6)+(M245*Settings!$C$9)+(N245*Settings!$C$10)+(O245*Settings!$C$11)+(P245*Settings!$C$12)+(Q245*Settings!$C$13)+(T245*Settings!$C$16)+(K245*Settings!$C$7)+(L245*Settings!$C$8)+(R245*Settings!$C$14)+(S245*Settings!$C$15)</f>
        <v>3.6101007092227553</v>
      </c>
      <c r="E245" s="67"/>
      <c r="F245" s="121">
        <f>(VLOOKUP($A245,Hitters!$A1:$R401,4,FALSE)-AVERAGE(Rankings!M2:M651))/STDEV(Rankings!M2:M651)</f>
        <v>0.70860488995862381</v>
      </c>
      <c r="G245" s="121">
        <f>(VLOOKUP($A245,Hitters!$A1:$R401,5,FALSE)-AVERAGE(Rankings!N2:N651))/STDEV(Rankings!N2:N651)</f>
        <v>0.72831164537489679</v>
      </c>
      <c r="H245" s="121">
        <f>(VLOOKUP($A245,Hitters!$A1:$R401,6,FALSE)-AVERAGE(Rankings!O2:O651))/STDEV(Rankings!O2:O651)</f>
        <v>2.2350856448571572</v>
      </c>
      <c r="I245" s="121">
        <f>(VLOOKUP($A245,Hitters!$A1:$R401,7,FALSE)-AVERAGE(Rankings!P2:P651))/STDEV(Rankings!P2:P651)</f>
        <v>1.7046326681865276</v>
      </c>
      <c r="J245" s="121">
        <f>(VLOOKUP($A245,Hitters!$A1:$R401,8,FALSE)-AVERAGE(Rankings!Q2:Q651))/STDEV(Rankings!Q2:Q651)</f>
        <v>-0.82171715206105023</v>
      </c>
      <c r="K245" s="121">
        <f>(VLOOKUP($A245,Hitters!$A1:$R401,9,FALSE)-AVERAGE(Rankings!R2:R651))/STDEV(Rankings!R2:R651)</f>
        <v>-0.23621209713477601</v>
      </c>
      <c r="L245" s="121">
        <f>(VLOOKUP($A245,Hitters!$A1:$R401,10,FALSE)-AVERAGE(Rankings!S2:S651))/STDEV(Rankings!S2:S651)</f>
        <v>0.53314200813113077</v>
      </c>
      <c r="M245" s="121">
        <f>(VLOOKUP($A245,Hitters!$A1:$R401,11,FALSE)-AVERAGE(Rankings!T2:T651))/STDEV(Rankings!T2:T651)</f>
        <v>0.51837671915850148</v>
      </c>
      <c r="N245" s="121">
        <f>(VLOOKUP($A245,Hitters!$A1:$R401,12,FALSE)-AVERAGE(Rankings!U2:U651))/STDEV(Rankings!U2:U651)</f>
        <v>-0.3411875058117011</v>
      </c>
      <c r="O245" s="121">
        <f>(VLOOKUP($A245,Hitters!$A1:$R401,13,FALSE)-AVERAGE(Rankings!V2:V651))/STDEV(Rankings!V2:V651)</f>
        <v>-0.86693757011887684</v>
      </c>
      <c r="P245" s="121">
        <f>(VLOOKUP($A245,Hitters!$A1:$R401,14,FALSE)-AVERAGE(Rankings!W2:W651))/STDEV(Rankings!W2:W651)</f>
        <v>1.1662293184067138</v>
      </c>
      <c r="Q245" s="121">
        <f>(VLOOKUP($A245,Hitters!$A1:$R401,15,FALSE)-AVERAGE(Rankings!X2:X651))/STDEV(Rankings!X2:X651)</f>
        <v>1.7683670942150362</v>
      </c>
      <c r="R245" s="121">
        <f>(VLOOKUP($A245,Hitters!$A1:$R401,16,FALSE)-AVERAGE(Rankings!Y2:Y651))/STDEV(Rankings!Y2:Y651)</f>
        <v>1.5972018379742223</v>
      </c>
      <c r="S245" s="121">
        <f>(VLOOKUP($A245,Hitters!$A1:$R401,17,FALSE)-AVERAGE(Rankings!Z2:Z651))/STDEV(Rankings!Z2:Z651)</f>
        <v>1.3718877199521997</v>
      </c>
      <c r="T245" s="121">
        <f>IFERROR((VLOOKUP($A245,Hitters!$A1:$R401,18,FALSE)-AVERAGE(Rankings!AA2:AA651))/STDEV(Rankings!AA2:AA651),0)</f>
        <v>0</v>
      </c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</row>
    <row r="246" spans="1:37" ht="18.600000000000001" customHeight="1">
      <c r="A246" s="25" t="s">
        <v>170</v>
      </c>
      <c r="B246" s="26" t="s">
        <v>85</v>
      </c>
      <c r="C246" s="126" t="s">
        <v>23</v>
      </c>
      <c r="D246" s="67">
        <f>(F246*Settings!$C$2)+(G246*Settings!$C$3)+(H246*Settings!$C$4)+(I246*Settings!$C$5)+(J246*Settings!$C$6)+(M246*Settings!$C$9)+(N246*Settings!$C$10)+(O246*Settings!$C$11)+(P246*Settings!$C$12)+(Q246*Settings!$C$13)+(T246*Settings!$C$16)+(K246*Settings!$C$7)+(L246*Settings!$C$8)+(R246*Settings!$C$14)+(S246*Settings!$C$15)</f>
        <v>3.7511878238030461</v>
      </c>
      <c r="E246" s="67"/>
      <c r="F246" s="121">
        <f>(VLOOKUP($A246,Hitters!$A1:$R401,4,FALSE)-AVERAGE(Rankings!M2:M651))/STDEV(Rankings!M2:M651)</f>
        <v>0.97500486108338313</v>
      </c>
      <c r="G246" s="121">
        <f>(VLOOKUP($A246,Hitters!$A1:$R401,5,FALSE)-AVERAGE(Rankings!N2:N651))/STDEV(Rankings!N2:N651)</f>
        <v>1.3293849826811022</v>
      </c>
      <c r="H246" s="121">
        <f>(VLOOKUP($A246,Hitters!$A1:$R401,6,FALSE)-AVERAGE(Rankings!O2:O651))/STDEV(Rankings!O2:O651)</f>
        <v>0.80237157154223115</v>
      </c>
      <c r="I246" s="121">
        <f>(VLOOKUP($A246,Hitters!$A1:$R401,7,FALSE)-AVERAGE(Rankings!P2:P651))/STDEV(Rankings!P2:P651)</f>
        <v>0.70726841345716207</v>
      </c>
      <c r="J246" s="121">
        <f>(VLOOKUP($A246,Hitters!$A1:$R401,8,FALSE)-AVERAGE(Rankings!Q2:Q651))/STDEV(Rankings!Q2:Q651)</f>
        <v>-8.5106204858908293E-3</v>
      </c>
      <c r="K246" s="121">
        <f>(VLOOKUP($A246,Hitters!$A1:$R401,9,FALSE)-AVERAGE(Rankings!R2:R651))/STDEV(Rankings!R2:R651)</f>
        <v>0.92067347660844212</v>
      </c>
      <c r="L246" s="121">
        <f>(VLOOKUP($A246,Hitters!$A1:$R401,10,FALSE)-AVERAGE(Rankings!S2:S651))/STDEV(Rankings!S2:S651)</f>
        <v>1.2684529676482876</v>
      </c>
      <c r="M246" s="121">
        <f>(VLOOKUP($A246,Hitters!$A1:$R401,11,FALSE)-AVERAGE(Rankings!T2:T651))/STDEV(Rankings!T2:T651)</f>
        <v>1.0724964346795876</v>
      </c>
      <c r="N246" s="121">
        <f>(VLOOKUP($A246,Hitters!$A1:$R401,12,FALSE)-AVERAGE(Rankings!U2:U651))/STDEV(Rankings!U2:U651)</f>
        <v>0.96415314778905759</v>
      </c>
      <c r="O246" s="121">
        <f>(VLOOKUP($A246,Hitters!$A1:$R401,13,FALSE)-AVERAGE(Rankings!V2:V651))/STDEV(Rankings!V2:V651)</f>
        <v>0.32222931002676414</v>
      </c>
      <c r="P246" s="121">
        <f>(VLOOKUP($A246,Hitters!$A1:$R401,14,FALSE)-AVERAGE(Rankings!W2:W651))/STDEV(Rankings!W2:W651)</f>
        <v>1.2331013160298634</v>
      </c>
      <c r="Q246" s="121">
        <f>(VLOOKUP($A246,Hitters!$A1:$R401,15,FALSE)-AVERAGE(Rankings!X2:X651))/STDEV(Rankings!X2:X651)</f>
        <v>1.0012936891963595</v>
      </c>
      <c r="R246" s="121">
        <f>(VLOOKUP($A246,Hitters!$A1:$R401,16,FALSE)-AVERAGE(Rankings!Y2:Y651))/STDEV(Rankings!Y2:Y651)</f>
        <v>0.81701678637261643</v>
      </c>
      <c r="S246" s="121">
        <f>(VLOOKUP($A246,Hitters!$A1:$R401,17,FALSE)-AVERAGE(Rankings!Z2:Z651))/STDEV(Rankings!Z2:Z651)</f>
        <v>1.0926113154062684</v>
      </c>
      <c r="T246" s="121">
        <f>IFERROR((VLOOKUP($A246,Hitters!$A1:$R401,18,FALSE)-AVERAGE(Rankings!AA2:AA651))/STDEV(Rankings!AA2:AA651),0)</f>
        <v>0</v>
      </c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</row>
    <row r="247" spans="1:37" ht="18.600000000000001" customHeight="1">
      <c r="A247" s="25" t="s">
        <v>141</v>
      </c>
      <c r="B247" s="26" t="s">
        <v>142</v>
      </c>
      <c r="C247" s="126" t="s">
        <v>23</v>
      </c>
      <c r="D247" s="67">
        <f>(F247*Settings!$C$2)+(G247*Settings!$C$3)+(H247*Settings!$C$4)+(I247*Settings!$C$5)+(J247*Settings!$C$6)+(M247*Settings!$C$9)+(N247*Settings!$C$10)+(O247*Settings!$C$11)+(P247*Settings!$C$12)+(Q247*Settings!$C$13)+(T247*Settings!$C$16)+(K247*Settings!$C$7)+(L247*Settings!$C$8)+(R247*Settings!$C$14)+(S247*Settings!$C$15)</f>
        <v>4.8848263102899283</v>
      </c>
      <c r="E247" s="67"/>
      <c r="F247" s="121">
        <f>(VLOOKUP($A247,Hitters!$A1:$R401,4,FALSE)-AVERAGE(Rankings!M2:M651))/STDEV(Rankings!M2:M651)</f>
        <v>0.90187545724521678</v>
      </c>
      <c r="G247" s="121">
        <f>(VLOOKUP($A247,Hitters!$A1:$R401,5,FALSE)-AVERAGE(Rankings!N2:N651))/STDEV(Rankings!N2:N651)</f>
        <v>0.50412343345538702</v>
      </c>
      <c r="H247" s="121">
        <f>(VLOOKUP($A247,Hitters!$A1:$R401,6,FALSE)-AVERAGE(Rankings!O2:O651))/STDEV(Rankings!O2:O651)</f>
        <v>-0.14037935075274088</v>
      </c>
      <c r="I247" s="121">
        <f>(VLOOKUP($A247,Hitters!$A1:$R401,7,FALSE)-AVERAGE(Rankings!P2:P651))/STDEV(Rankings!P2:P651)</f>
        <v>3.624420930926138E-2</v>
      </c>
      <c r="J247" s="121">
        <f>(VLOOKUP($A247,Hitters!$A1:$R401,8,FALSE)-AVERAGE(Rankings!Q2:Q651))/STDEV(Rankings!Q2:Q651)</f>
        <v>4.9384957799296627</v>
      </c>
      <c r="K247" s="121">
        <f>(VLOOKUP($A247,Hitters!$A1:$R401,9,FALSE)-AVERAGE(Rankings!R2:R651))/STDEV(Rankings!R2:R651)</f>
        <v>-0.45365776165164184</v>
      </c>
      <c r="L247" s="121">
        <f>(VLOOKUP($A247,Hitters!$A1:$R401,10,FALSE)-AVERAGE(Rankings!S2:S651))/STDEV(Rankings!S2:S651)</f>
        <v>-0.48923565106782152</v>
      </c>
      <c r="M247" s="121">
        <f>(VLOOKUP($A247,Hitters!$A1:$R401,11,FALSE)-AVERAGE(Rankings!T2:T651))/STDEV(Rankings!T2:T651)</f>
        <v>0.62292245858932715</v>
      </c>
      <c r="N247" s="121">
        <f>(VLOOKUP($A247,Hitters!$A1:$R401,12,FALSE)-AVERAGE(Rankings!U2:U651))/STDEV(Rankings!U2:U651)</f>
        <v>1.0534435508040938</v>
      </c>
      <c r="O247" s="121">
        <f>(VLOOKUP($A247,Hitters!$A1:$R401,13,FALSE)-AVERAGE(Rankings!V2:V651))/STDEV(Rankings!V2:V651)</f>
        <v>0.65962084346343774</v>
      </c>
      <c r="P247" s="121">
        <f>(VLOOKUP($A247,Hitters!$A1:$R401,14,FALSE)-AVERAGE(Rankings!W2:W651))/STDEV(Rankings!W2:W651)</f>
        <v>0.42060654490859456</v>
      </c>
      <c r="Q247" s="121">
        <f>(VLOOKUP($A247,Hitters!$A1:$R401,15,FALSE)-AVERAGE(Rankings!X2:X651))/STDEV(Rankings!X2:X651)</f>
        <v>0.75801348348776487</v>
      </c>
      <c r="R247" s="121">
        <f>(VLOOKUP($A247,Hitters!$A1:$R401,16,FALSE)-AVERAGE(Rankings!Y2:Y651))/STDEV(Rankings!Y2:Y651)</f>
        <v>-0.70196266929211859</v>
      </c>
      <c r="S247" s="121">
        <f>(VLOOKUP($A247,Hitters!$A1:$R401,17,FALSE)-AVERAGE(Rankings!Z2:Z651))/STDEV(Rankings!Z2:Z651)</f>
        <v>-0.70300119765601676</v>
      </c>
      <c r="T247" s="121">
        <f>IFERROR((VLOOKUP($A247,Hitters!$A1:$R401,18,FALSE)-AVERAGE(Rankings!AA2:AA651))/STDEV(Rankings!AA2:AA651),0)</f>
        <v>0</v>
      </c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</row>
    <row r="248" spans="1:37" ht="18.600000000000001" customHeight="1">
      <c r="A248" s="25" t="s">
        <v>167</v>
      </c>
      <c r="B248" s="26" t="s">
        <v>99</v>
      </c>
      <c r="C248" s="126" t="s">
        <v>23</v>
      </c>
      <c r="D248" s="67">
        <f>(F248*Settings!$C$2)+(G248*Settings!$C$3)+(H248*Settings!$C$4)+(I248*Settings!$C$5)+(J248*Settings!$C$6)+(M248*Settings!$C$9)+(N248*Settings!$C$10)+(O248*Settings!$C$11)+(P248*Settings!$C$12)+(Q248*Settings!$C$13)+(T248*Settings!$C$16)+(K248*Settings!$C$7)+(L248*Settings!$C$8)+(R248*Settings!$C$14)+(S248*Settings!$C$15)</f>
        <v>3.8035033340316677</v>
      </c>
      <c r="E248" s="67"/>
      <c r="F248" s="121">
        <f>(VLOOKUP($A248,Hitters!$A1:$R401,4,FALSE)-AVERAGE(Rankings!M2:M651))/STDEV(Rankings!M2:M651)</f>
        <v>1.1734989572155621</v>
      </c>
      <c r="G248" s="121">
        <f>(VLOOKUP($A248,Hitters!$A1:$R401,5,FALSE)-AVERAGE(Rankings!N2:N651))/STDEV(Rankings!N2:N651)</f>
        <v>1.7240290930336628</v>
      </c>
      <c r="H248" s="121">
        <f>(VLOOKUP($A248,Hitters!$A1:$R401,6,FALSE)-AVERAGE(Rankings!O2:O651))/STDEV(Rankings!O2:O651)</f>
        <v>0.40973272929266602</v>
      </c>
      <c r="I248" s="121">
        <f>(VLOOKUP($A248,Hitters!$A1:$R401,7,FALSE)-AVERAGE(Rankings!P2:P651))/STDEV(Rankings!P2:P651)</f>
        <v>0.45291740568228606</v>
      </c>
      <c r="J248" s="121">
        <f>(VLOOKUP($A248,Hitters!$A1:$R401,8,FALSE)-AVERAGE(Rankings!Q2:Q651))/STDEV(Rankings!Q2:Q651)</f>
        <v>1.2715366977342679</v>
      </c>
      <c r="K248" s="121">
        <f>(VLOOKUP($A248,Hitters!$A1:$R401,9,FALSE)-AVERAGE(Rankings!R2:R651))/STDEV(Rankings!R2:R651)</f>
        <v>-5.4712591711215119E-2</v>
      </c>
      <c r="L248" s="121">
        <f>(VLOOKUP($A248,Hitters!$A1:$R401,10,FALSE)-AVERAGE(Rankings!S2:S651))/STDEV(Rankings!S2:S651)</f>
        <v>1.599338948319964</v>
      </c>
      <c r="M248" s="121">
        <f>(VLOOKUP($A248,Hitters!$A1:$R401,11,FALSE)-AVERAGE(Rankings!T2:T651))/STDEV(Rankings!T2:T651)</f>
        <v>0.96876959138007435</v>
      </c>
      <c r="N248" s="121">
        <f>(VLOOKUP($A248,Hitters!$A1:$R401,12,FALSE)-AVERAGE(Rankings!U2:U651))/STDEV(Rankings!U2:U651)</f>
        <v>0.68777809083775177</v>
      </c>
      <c r="O248" s="121">
        <f>(VLOOKUP($A248,Hitters!$A1:$R401,13,FALSE)-AVERAGE(Rankings!V2:V651))/STDEV(Rankings!V2:V651)</f>
        <v>1.0965705343076537</v>
      </c>
      <c r="P248" s="121">
        <f>(VLOOKUP($A248,Hitters!$A1:$R401,14,FALSE)-AVERAGE(Rankings!W2:W651))/STDEV(Rankings!W2:W651)</f>
        <v>2.7098579302077526</v>
      </c>
      <c r="Q248" s="121">
        <f>(VLOOKUP($A248,Hitters!$A1:$R401,15,FALSE)-AVERAGE(Rankings!X2:X651))/STDEV(Rankings!X2:X651)</f>
        <v>1.789810061064371</v>
      </c>
      <c r="R248" s="121">
        <f>(VLOOKUP($A248,Hitters!$A1:$R401,16,FALSE)-AVERAGE(Rankings!Y2:Y651))/STDEV(Rankings!Y2:Y651)</f>
        <v>-0.24610989112061807</v>
      </c>
      <c r="S248" s="121">
        <f>(VLOOKUP($A248,Hitters!$A1:$R401,17,FALSE)-AVERAGE(Rankings!Z2:Z651))/STDEV(Rankings!Z2:Z651)</f>
        <v>0.44863290642044784</v>
      </c>
      <c r="T248" s="121">
        <f>IFERROR((VLOOKUP($A248,Hitters!$A1:$R401,18,FALSE)-AVERAGE(Rankings!AA2:AA651))/STDEV(Rankings!AA2:AA651),0)</f>
        <v>0</v>
      </c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</row>
    <row r="249" spans="1:37" ht="18.600000000000001" customHeight="1">
      <c r="A249" s="25" t="s">
        <v>177</v>
      </c>
      <c r="B249" s="26" t="s">
        <v>178</v>
      </c>
      <c r="C249" s="126" t="s">
        <v>23</v>
      </c>
      <c r="D249" s="67">
        <f>(F249*Settings!$C$2)+(G249*Settings!$C$3)+(H249*Settings!$C$4)+(I249*Settings!$C$5)+(J249*Settings!$C$6)+(M249*Settings!$C$9)+(N249*Settings!$C$10)+(O249*Settings!$C$11)+(P249*Settings!$C$12)+(Q249*Settings!$C$13)+(T249*Settings!$C$16)+(K249*Settings!$C$7)+(L249*Settings!$C$8)+(R249*Settings!$C$14)+(S249*Settings!$C$15)</f>
        <v>3.5868104693778924</v>
      </c>
      <c r="E249" s="67"/>
      <c r="F249" s="121">
        <f>(VLOOKUP($A249,Hitters!$A1:$R401,4,FALSE)-AVERAGE(Rankings!M2:M651))/STDEV(Rankings!M2:M651)</f>
        <v>0.80785193802471345</v>
      </c>
      <c r="G249" s="121">
        <f>(VLOOKUP($A249,Hitters!$A1:$R401,5,FALSE)-AVERAGE(Rankings!N2:N651))/STDEV(Rankings!N2:N651)</f>
        <v>1.2534918845363823</v>
      </c>
      <c r="H249" s="121">
        <f>(VLOOKUP($A249,Hitters!$A1:$R401,6,FALSE)-AVERAGE(Rankings!O2:O651))/STDEV(Rankings!O2:O651)</f>
        <v>0.71047737441999592</v>
      </c>
      <c r="I249" s="121">
        <f>(VLOOKUP($A249,Hitters!$A1:$R401,7,FALSE)-AVERAGE(Rankings!P2:P651))/STDEV(Rankings!P2:P651)</f>
        <v>0.63481691427280218</v>
      </c>
      <c r="J249" s="121">
        <f>(VLOOKUP($A249,Hitters!$A1:$R401,8,FALSE)-AVERAGE(Rankings!Q2:Q651))/STDEV(Rankings!Q2:Q651)</f>
        <v>-0.15408462922465435</v>
      </c>
      <c r="K249" s="121">
        <f>(VLOOKUP($A249,Hitters!$A1:$R401,9,FALSE)-AVERAGE(Rankings!R2:R651))/STDEV(Rankings!R2:R651)</f>
        <v>1.1421089253733663</v>
      </c>
      <c r="L249" s="121">
        <f>(VLOOKUP($A249,Hitters!$A1:$R401,10,FALSE)-AVERAGE(Rankings!S2:S651))/STDEV(Rankings!S2:S651)</f>
        <v>1.284617525597348</v>
      </c>
      <c r="M249" s="121">
        <f>(VLOOKUP($A249,Hitters!$A1:$R401,11,FALSE)-AVERAGE(Rankings!T2:T651))/STDEV(Rankings!T2:T651)</f>
        <v>0.97604866810285618</v>
      </c>
      <c r="N249" s="121">
        <f>(VLOOKUP($A249,Hitters!$A1:$R401,12,FALSE)-AVERAGE(Rankings!U2:U651))/STDEV(Rankings!U2:U651)</f>
        <v>1.2022608891624913</v>
      </c>
      <c r="O249" s="121">
        <f>(VLOOKUP($A249,Hitters!$A1:$R401,13,FALSE)-AVERAGE(Rankings!V2:V651))/STDEV(Rankings!V2:V651)</f>
        <v>0.23926417885381215</v>
      </c>
      <c r="P249" s="121">
        <f>(VLOOKUP($A249,Hitters!$A1:$R401,14,FALSE)-AVERAGE(Rankings!W2:W651))/STDEV(Rankings!W2:W651)</f>
        <v>0.92660466025709387</v>
      </c>
      <c r="Q249" s="121">
        <f>(VLOOKUP($A249,Hitters!$A1:$R401,15,FALSE)-AVERAGE(Rankings!X2:X651))/STDEV(Rankings!X2:X651)</f>
        <v>0.62116836777668005</v>
      </c>
      <c r="R249" s="121">
        <f>(VLOOKUP($A249,Hitters!$A1:$R401,16,FALSE)-AVERAGE(Rankings!Y2:Y651))/STDEV(Rankings!Y2:Y651)</f>
        <v>1.0773047018561077</v>
      </c>
      <c r="S249" s="121">
        <f>(VLOOKUP($A249,Hitters!$A1:$R401,17,FALSE)-AVERAGE(Rankings!Z2:Z651))/STDEV(Rankings!Z2:Z651)</f>
        <v>1.288422084048183</v>
      </c>
      <c r="T249" s="121">
        <f>IFERROR((VLOOKUP($A249,Hitters!$A1:$R401,18,FALSE)-AVERAGE(Rankings!AA2:AA651))/STDEV(Rankings!AA2:AA651),0)</f>
        <v>0</v>
      </c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</row>
    <row r="250" spans="1:37" ht="18.600000000000001" customHeight="1">
      <c r="A250" s="25" t="s">
        <v>186</v>
      </c>
      <c r="B250" s="26" t="s">
        <v>105</v>
      </c>
      <c r="C250" s="126" t="s">
        <v>23</v>
      </c>
      <c r="D250" s="67">
        <f>(F250*Settings!$C$2)+(G250*Settings!$C$3)+(H250*Settings!$C$4)+(I250*Settings!$C$5)+(J250*Settings!$C$6)+(M250*Settings!$C$9)+(N250*Settings!$C$10)+(O250*Settings!$C$11)+(P250*Settings!$C$12)+(Q250*Settings!$C$13)+(T250*Settings!$C$16)+(K250*Settings!$C$7)+(L250*Settings!$C$8)+(R250*Settings!$C$14)+(S250*Settings!$C$15)</f>
        <v>3.3799929587097051</v>
      </c>
      <c r="E250" s="67"/>
      <c r="F250" s="121">
        <f>(VLOOKUP($A250,Hitters!$A1:$R401,4,FALSE)-AVERAGE(Rankings!M2:M651))/STDEV(Rankings!M2:M651)</f>
        <v>1.3537107023881934</v>
      </c>
      <c r="G250" s="121">
        <f>(VLOOKUP($A250,Hitters!$A1:$R401,5,FALSE)-AVERAGE(Rankings!N2:N651))/STDEV(Rankings!N2:N651)</f>
        <v>1.0607234152487834</v>
      </c>
      <c r="H250" s="121">
        <f>(VLOOKUP($A250,Hitters!$A1:$R401,6,FALSE)-AVERAGE(Rankings!O2:O651))/STDEV(Rankings!O2:O651)</f>
        <v>-7.897731903924439E-2</v>
      </c>
      <c r="I250" s="121">
        <f>(VLOOKUP($A250,Hitters!$A1:$R401,7,FALSE)-AVERAGE(Rankings!P2:P651))/STDEV(Rankings!P2:P651)</f>
        <v>0.92308138975099807</v>
      </c>
      <c r="J250" s="121">
        <f>(VLOOKUP($A250,Hitters!$A1:$R401,8,FALSE)-AVERAGE(Rankings!Q2:Q651))/STDEV(Rankings!Q2:Q651)</f>
        <v>-0.29965863796341652</v>
      </c>
      <c r="K250" s="121">
        <f>(VLOOKUP($A250,Hitters!$A1:$R401,9,FALSE)-AVERAGE(Rankings!R2:R651))/STDEV(Rankings!R2:R651)</f>
        <v>1.7748241107125846</v>
      </c>
      <c r="L250" s="121">
        <f>(VLOOKUP($A250,Hitters!$A1:$R401,10,FALSE)-AVERAGE(Rankings!S2:S651))/STDEV(Rankings!S2:S651)</f>
        <v>1.050247662207149</v>
      </c>
      <c r="M250" s="121">
        <f>(VLOOKUP($A250,Hitters!$A1:$R401,11,FALSE)-AVERAGE(Rankings!T2:T651))/STDEV(Rankings!T2:T651)</f>
        <v>1.6912179561152927</v>
      </c>
      <c r="N250" s="121">
        <f>(VLOOKUP($A250,Hitters!$A1:$R401,12,FALSE)-AVERAGE(Rankings!U2:U651))/STDEV(Rankings!U2:U651)</f>
        <v>1.946347580954453</v>
      </c>
      <c r="O250" s="121">
        <f>(VLOOKUP($A250,Hitters!$A1:$R401,13,FALSE)-AVERAGE(Rankings!V2:V651))/STDEV(Rankings!V2:V651)</f>
        <v>-6.494130211367255E-2</v>
      </c>
      <c r="P250" s="121">
        <f>(VLOOKUP($A250,Hitters!$A1:$R401,14,FALSE)-AVERAGE(Rankings!W2:W651))/STDEV(Rankings!W2:W651)</f>
        <v>0.46035823238457629</v>
      </c>
      <c r="Q250" s="121">
        <f>(VLOOKUP($A250,Hitters!$A1:$R401,15,FALSE)-AVERAGE(Rankings!X2:X651))/STDEV(Rankings!X2:X651)</f>
        <v>-7.962677607139669E-2</v>
      </c>
      <c r="R250" s="121">
        <f>(VLOOKUP($A250,Hitters!$A1:$R401,16,FALSE)-AVERAGE(Rankings!Y2:Y651))/STDEV(Rankings!Y2:Y651)</f>
        <v>0.26554717293416952</v>
      </c>
      <c r="S250" s="121">
        <f>(VLOOKUP($A250,Hitters!$A1:$R401,17,FALSE)-AVERAGE(Rankings!Z2:Z651))/STDEV(Rankings!Z2:Z651)</f>
        <v>0.6055411253332732</v>
      </c>
      <c r="T250" s="121">
        <f>IFERROR((VLOOKUP($A250,Hitters!$A1:$R401,18,FALSE)-AVERAGE(Rankings!AA2:AA651))/STDEV(Rankings!AA2:AA651),0)</f>
        <v>0</v>
      </c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</row>
    <row r="251" spans="1:37" ht="18.600000000000001" customHeight="1">
      <c r="A251" s="25" t="s">
        <v>189</v>
      </c>
      <c r="B251" s="26" t="s">
        <v>92</v>
      </c>
      <c r="C251" s="126" t="s">
        <v>23</v>
      </c>
      <c r="D251" s="67">
        <f>(F251*Settings!$C$2)+(G251*Settings!$C$3)+(H251*Settings!$C$4)+(I251*Settings!$C$5)+(J251*Settings!$C$6)+(M251*Settings!$C$9)+(N251*Settings!$C$10)+(O251*Settings!$C$11)+(P251*Settings!$C$12)+(Q251*Settings!$C$13)+(T251*Settings!$C$16)+(K251*Settings!$C$7)+(L251*Settings!$C$8)+(R251*Settings!$C$14)+(S251*Settings!$C$15)</f>
        <v>3.3137692439028723</v>
      </c>
      <c r="E251" s="67"/>
      <c r="F251" s="121">
        <f>(VLOOKUP($A251,Hitters!$A1:$R401,4,FALSE)-AVERAGE(Rankings!M2:M651))/STDEV(Rankings!M2:M651)</f>
        <v>1.0925342601090127</v>
      </c>
      <c r="G251" s="121">
        <f>(VLOOKUP($A251,Hitters!$A1:$R401,5,FALSE)-AVERAGE(Rankings!N2:N651))/STDEV(Rankings!N2:N651)</f>
        <v>0.77840109015041425</v>
      </c>
      <c r="H251" s="121">
        <f>(VLOOKUP($A251,Hitters!$A1:$R401,6,FALSE)-AVERAGE(Rankings!O2:O651))/STDEV(Rankings!O2:O651)</f>
        <v>0.83161063426295234</v>
      </c>
      <c r="I251" s="121">
        <f>(VLOOKUP($A251,Hitters!$A1:$R401,7,FALSE)-AVERAGE(Rankings!P2:P651))/STDEV(Rankings!P2:P651)</f>
        <v>1.1866815250813247</v>
      </c>
      <c r="J251" s="121">
        <f>(VLOOKUP($A251,Hitters!$A1:$R401,8,FALSE)-AVERAGE(Rankings!Q2:Q651))/STDEV(Rankings!Q2:Q651)</f>
        <v>-0.29463884455863204</v>
      </c>
      <c r="K251" s="121">
        <f>(VLOOKUP($A251,Hitters!$A1:$R401,9,FALSE)-AVERAGE(Rankings!R2:R651))/STDEV(Rankings!R2:R651)</f>
        <v>0.81171483896681262</v>
      </c>
      <c r="L251" s="121">
        <f>(VLOOKUP($A251,Hitters!$A1:$R401,10,FALSE)-AVERAGE(Rankings!S2:S651))/STDEV(Rankings!S2:S651)</f>
        <v>-6.8138653243160402E-2</v>
      </c>
      <c r="M251" s="121">
        <f>(VLOOKUP($A251,Hitters!$A1:$R401,11,FALSE)-AVERAGE(Rankings!T2:T651))/STDEV(Rankings!T2:T651)</f>
        <v>1.1507465094494058</v>
      </c>
      <c r="N251" s="121">
        <f>(VLOOKUP($A251,Hitters!$A1:$R401,12,FALSE)-AVERAGE(Rankings!U2:U651))/STDEV(Rankings!U2:U651)</f>
        <v>1.4106051628642371</v>
      </c>
      <c r="O251" s="121">
        <f>(VLOOKUP($A251,Hitters!$A1:$R401,13,FALSE)-AVERAGE(Rankings!V2:V651))/STDEV(Rankings!V2:V651)</f>
        <v>-0.25852660818389916</v>
      </c>
      <c r="P251" s="121">
        <f>(VLOOKUP($A251,Hitters!$A1:$R401,14,FALSE)-AVERAGE(Rankings!W2:W651))/STDEV(Rankings!W2:W651)</f>
        <v>-8.390552604827739E-2</v>
      </c>
      <c r="Q251" s="121">
        <f>(VLOOKUP($A251,Hitters!$A1:$R401,15,FALSE)-AVERAGE(Rankings!X2:X651))/STDEV(Rankings!X2:X651)</f>
        <v>1.0665972700556279</v>
      </c>
      <c r="R251" s="121">
        <f>(VLOOKUP($A251,Hitters!$A1:$R401,16,FALSE)-AVERAGE(Rankings!Y2:Y651))/STDEV(Rankings!Y2:Y651)</f>
        <v>0.76880831983693365</v>
      </c>
      <c r="S251" s="121">
        <f>(VLOOKUP($A251,Hitters!$A1:$R401,17,FALSE)-AVERAGE(Rankings!Z2:Z651))/STDEV(Rankings!Z2:Z651)</f>
        <v>0.53287610849986766</v>
      </c>
      <c r="T251" s="121">
        <f>IFERROR((VLOOKUP($A251,Hitters!$A1:$R401,18,FALSE)-AVERAGE(Rankings!AA2:AA651))/STDEV(Rankings!AA2:AA651),0)</f>
        <v>0</v>
      </c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</row>
    <row r="252" spans="1:37" ht="18.600000000000001" customHeight="1">
      <c r="A252" s="25" t="s">
        <v>197</v>
      </c>
      <c r="B252" s="26" t="s">
        <v>85</v>
      </c>
      <c r="C252" s="126" t="s">
        <v>23</v>
      </c>
      <c r="D252" s="67">
        <f>(F252*Settings!$C$2)+(G252*Settings!$C$3)+(H252*Settings!$C$4)+(I252*Settings!$C$5)+(J252*Settings!$C$6)+(M252*Settings!$C$9)+(N252*Settings!$C$10)+(O252*Settings!$C$11)+(P252*Settings!$C$12)+(Q252*Settings!$C$13)+(T252*Settings!$C$16)+(K252*Settings!$C$7)+(L252*Settings!$C$8)+(R252*Settings!$C$14)+(S252*Settings!$C$15)</f>
        <v>3.0118034457014837</v>
      </c>
      <c r="E252" s="67"/>
      <c r="F252" s="121">
        <f>(VLOOKUP($A252,Hitters!$A1:$R401,4,FALSE)-AVERAGE(Rankings!M2:M651))/STDEV(Rankings!M2:M651)</f>
        <v>0.79479311591075186</v>
      </c>
      <c r="G252" s="121">
        <f>(VLOOKUP($A252,Hitters!$A1:$R401,5,FALSE)-AVERAGE(Rankings!N2:N651))/STDEV(Rankings!N2:N651)</f>
        <v>0.77536536622462804</v>
      </c>
      <c r="H252" s="121">
        <f>(VLOOKUP($A252,Hitters!$A1:$R401,6,FALSE)-AVERAGE(Rankings!O2:O651))/STDEV(Rankings!O2:O651)</f>
        <v>1.7421985875651362</v>
      </c>
      <c r="I252" s="121">
        <f>(VLOOKUP($A252,Hitters!$A1:$R401,7,FALSE)-AVERAGE(Rankings!P2:P651))/STDEV(Rankings!P2:P651)</f>
        <v>1.3824547250050161</v>
      </c>
      <c r="J252" s="121">
        <f>(VLOOKUP($A252,Hitters!$A1:$R401,8,FALSE)-AVERAGE(Rankings!Q2:Q651))/STDEV(Rankings!Q2:Q651)</f>
        <v>-0.6560639697031474</v>
      </c>
      <c r="K252" s="121">
        <f>(VLOOKUP($A252,Hitters!$A1:$R401,9,FALSE)-AVERAGE(Rankings!R2:R651))/STDEV(Rankings!R2:R651)</f>
        <v>-0.23215126339014905</v>
      </c>
      <c r="L252" s="121">
        <f>(VLOOKUP($A252,Hitters!$A1:$R401,10,FALSE)-AVERAGE(Rankings!S2:S651))/STDEV(Rankings!S2:S651)</f>
        <v>-0.41194078850511356</v>
      </c>
      <c r="M252" s="121">
        <f>(VLOOKUP($A252,Hitters!$A1:$R401,11,FALSE)-AVERAGE(Rankings!T2:T651))/STDEV(Rankings!T2:T651)</f>
        <v>0.59298725556691434</v>
      </c>
      <c r="N252" s="121">
        <f>(VLOOKUP($A252,Hitters!$A1:$R401,12,FALSE)-AVERAGE(Rankings!U2:U651))/STDEV(Rankings!U2:U651)</f>
        <v>0.69203001479085746</v>
      </c>
      <c r="O252" s="121">
        <f>(VLOOKUP($A252,Hitters!$A1:$R401,13,FALSE)-AVERAGE(Rankings!V2:V651))/STDEV(Rankings!V2:V651)</f>
        <v>-0.56273208915138628</v>
      </c>
      <c r="P252" s="121">
        <f>(VLOOKUP($A252,Hitters!$A1:$R401,14,FALSE)-AVERAGE(Rankings!W2:W651))/STDEV(Rankings!W2:W651)</f>
        <v>0.25602712853606702</v>
      </c>
      <c r="Q252" s="121">
        <f>(VLOOKUP($A252,Hitters!$A1:$R401,15,FALSE)-AVERAGE(Rankings!X2:X651))/STDEV(Rankings!X2:X651)</f>
        <v>0.89797757619512342</v>
      </c>
      <c r="R252" s="121">
        <f>(VLOOKUP($A252,Hitters!$A1:$R401,16,FALSE)-AVERAGE(Rankings!Y2:Y651))/STDEV(Rankings!Y2:Y651)</f>
        <v>1.3354651636102615</v>
      </c>
      <c r="S252" s="121">
        <f>(VLOOKUP($A252,Hitters!$A1:$R401,17,FALSE)-AVERAGE(Rankings!Z2:Z651))/STDEV(Rankings!Z2:Z651)</f>
        <v>0.81039998838070193</v>
      </c>
      <c r="T252" s="121">
        <f>IFERROR((VLOOKUP($A252,Hitters!$A1:$R401,18,FALSE)-AVERAGE(Rankings!AA2:AA651))/STDEV(Rankings!AA2:AA651),0)</f>
        <v>0</v>
      </c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</row>
    <row r="253" spans="1:37" ht="18.600000000000001" customHeight="1">
      <c r="A253" s="25" t="s">
        <v>180</v>
      </c>
      <c r="B253" s="26" t="s">
        <v>122</v>
      </c>
      <c r="C253" s="126" t="s">
        <v>23</v>
      </c>
      <c r="D253" s="67">
        <f>(F253*Settings!$C$2)+(G253*Settings!$C$3)+(H253*Settings!$C$4)+(I253*Settings!$C$5)+(J253*Settings!$C$6)+(M253*Settings!$C$9)+(N253*Settings!$C$10)+(O253*Settings!$C$11)+(P253*Settings!$C$12)+(Q253*Settings!$C$13)+(T253*Settings!$C$16)+(K253*Settings!$C$7)+(L253*Settings!$C$8)+(R253*Settings!$C$14)+(S253*Settings!$C$15)</f>
        <v>3.5238783066078114</v>
      </c>
      <c r="E253" s="67"/>
      <c r="F253" s="121">
        <f>(VLOOKUP($A253,Hitters!$A1:$R401,4,FALSE)-AVERAGE(Rankings!M2:M651))/STDEV(Rankings!M2:M651)</f>
        <v>0.86269899090334035</v>
      </c>
      <c r="G253" s="121">
        <f>(VLOOKUP($A253,Hitters!$A1:$R401,5,FALSE)-AVERAGE(Rankings!N2:N651))/STDEV(Rankings!N2:N651)</f>
        <v>1.0523751744528651</v>
      </c>
      <c r="H253" s="121">
        <f>(VLOOKUP($A253,Hitters!$A1:$R401,6,FALSE)-AVERAGE(Rankings!O2:O651))/STDEV(Rankings!O2:O651)</f>
        <v>0.48491889057449861</v>
      </c>
      <c r="I253" s="121">
        <f>(VLOOKUP($A253,Hitters!$A1:$R401,7,FALSE)-AVERAGE(Rankings!P2:P651))/STDEV(Rankings!P2:P651)</f>
        <v>0.38123666712754795</v>
      </c>
      <c r="J253" s="121">
        <f>(VLOOKUP($A253,Hitters!$A1:$R401,8,FALSE)-AVERAGE(Rankings!Q2:Q651))/STDEV(Rankings!Q2:Q651)</f>
        <v>1.7684962448079764</v>
      </c>
      <c r="K253" s="121">
        <f>(VLOOKUP($A253,Hitters!$A1:$R401,9,FALSE)-AVERAGE(Rankings!R2:R651))/STDEV(Rankings!R2:R651)</f>
        <v>-0.16314867035507655</v>
      </c>
      <c r="L253" s="121">
        <f>(VLOOKUP($A253,Hitters!$A1:$R401,10,FALSE)-AVERAGE(Rankings!S2:S651))/STDEV(Rankings!S2:S651)</f>
        <v>0.26673156433407602</v>
      </c>
      <c r="M253" s="121">
        <f>(VLOOKUP($A253,Hitters!$A1:$R401,11,FALSE)-AVERAGE(Rankings!T2:T651))/STDEV(Rankings!T2:T651)</f>
        <v>0.6698725034512123</v>
      </c>
      <c r="N253" s="121">
        <f>(VLOOKUP($A253,Hitters!$A1:$R401,12,FALSE)-AVERAGE(Rankings!U2:U651))/STDEV(Rankings!U2:U651)</f>
        <v>0.4347886156284877</v>
      </c>
      <c r="O253" s="121">
        <f>(VLOOKUP($A253,Hitters!$A1:$R401,13,FALSE)-AVERAGE(Rankings!V2:V651))/STDEV(Rankings!V2:V651)</f>
        <v>4.1939354314311874</v>
      </c>
      <c r="P253" s="121">
        <f>(VLOOKUP($A253,Hitters!$A1:$R401,14,FALSE)-AVERAGE(Rankings!W2:W651))/STDEV(Rankings!W2:W651)</f>
        <v>0.9516816593657752</v>
      </c>
      <c r="Q253" s="121">
        <f>(VLOOKUP($A253,Hitters!$A1:$R401,15,FALSE)-AVERAGE(Rankings!X2:X651))/STDEV(Rankings!X2:X651)</f>
        <v>1.4925325661079454</v>
      </c>
      <c r="R253" s="121">
        <f>(VLOOKUP($A253,Hitters!$A1:$R401,16,FALSE)-AVERAGE(Rankings!Y2:Y651))/STDEV(Rankings!Y2:Y651)</f>
        <v>0.32448843913685171</v>
      </c>
      <c r="S253" s="121">
        <f>(VLOOKUP($A253,Hitters!$A1:$R401,17,FALSE)-AVERAGE(Rankings!Z2:Z651))/STDEV(Rankings!Z2:Z651)</f>
        <v>0.34089635986991512</v>
      </c>
      <c r="T253" s="121">
        <f>IFERROR((VLOOKUP($A253,Hitters!$A1:$R401,18,FALSE)-AVERAGE(Rankings!AA2:AA651))/STDEV(Rankings!AA2:AA651),0)</f>
        <v>0</v>
      </c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</row>
    <row r="254" spans="1:37" ht="18.600000000000001" customHeight="1">
      <c r="A254" s="25" t="s">
        <v>193</v>
      </c>
      <c r="B254" s="26" t="s">
        <v>105</v>
      </c>
      <c r="C254" s="126" t="s">
        <v>23</v>
      </c>
      <c r="D254" s="67">
        <f>(F254*Settings!$C$2)+(G254*Settings!$C$3)+(H254*Settings!$C$4)+(I254*Settings!$C$5)+(J254*Settings!$C$6)+(M254*Settings!$C$9)+(N254*Settings!$C$10)+(O254*Settings!$C$11)+(P254*Settings!$C$12)+(Q254*Settings!$C$13)+(T254*Settings!$C$16)+(K254*Settings!$C$7)+(L254*Settings!$C$8)+(R254*Settings!$C$14)+(S254*Settings!$C$15)</f>
        <v>3.1217994126794659</v>
      </c>
      <c r="E254" s="67"/>
      <c r="F254" s="121">
        <f>(VLOOKUP($A254,Hitters!$A1:$R401,4,FALSE)-AVERAGE(Rankings!M2:M651))/STDEV(Rankings!M2:M651)</f>
        <v>0.58585196208741686</v>
      </c>
      <c r="G254" s="121">
        <f>(VLOOKUP($A254,Hitters!$A1:$R401,5,FALSE)-AVERAGE(Rankings!N2:N651))/STDEV(Rankings!N2:N651)</f>
        <v>0.88616928951592244</v>
      </c>
      <c r="H254" s="121">
        <f>(VLOOKUP($A254,Hitters!$A1:$R401,6,FALSE)-AVERAGE(Rankings!O2:O651))/STDEV(Rankings!O2:O651)</f>
        <v>0.1716432185668636</v>
      </c>
      <c r="I254" s="121">
        <f>(VLOOKUP($A254,Hitters!$A1:$R401,7,FALSE)-AVERAGE(Rankings!P2:P651))/STDEV(Rankings!P2:P651)</f>
        <v>0.46679109701546095</v>
      </c>
      <c r="J254" s="121">
        <f>(VLOOKUP($A254,Hitters!$A1:$R401,8,FALSE)-AVERAGE(Rankings!Q2:Q651))/STDEV(Rankings!Q2:Q651)</f>
        <v>-0.44523264670218016</v>
      </c>
      <c r="K254" s="121">
        <f>(VLOOKUP($A254,Hitters!$A1:$R401,9,FALSE)-AVERAGE(Rankings!R2:R651))/STDEV(Rankings!R2:R651)</f>
        <v>2.042428454283399</v>
      </c>
      <c r="L254" s="121">
        <f>(VLOOKUP($A254,Hitters!$A1:$R401,10,FALSE)-AVERAGE(Rankings!S2:S651))/STDEV(Rankings!S2:S651)</f>
        <v>2.2165532248031243</v>
      </c>
      <c r="M254" s="121">
        <f>(VLOOKUP($A254,Hitters!$A1:$R401,11,FALSE)-AVERAGE(Rankings!T2:T651))/STDEV(Rankings!T2:T651)</f>
        <v>0.99424635990977028</v>
      </c>
      <c r="N254" s="121">
        <f>(VLOOKUP($A254,Hitters!$A1:$R401,12,FALSE)-AVERAGE(Rankings!U2:U651))/STDEV(Rankings!U2:U651)</f>
        <v>0.85785504896163811</v>
      </c>
      <c r="O254" s="121">
        <f>(VLOOKUP($A254,Hitters!$A1:$R401,13,FALSE)-AVERAGE(Rankings!V2:V651))/STDEV(Rankings!V2:V651)</f>
        <v>-0.14790643328662451</v>
      </c>
      <c r="P254" s="121">
        <f>(VLOOKUP($A254,Hitters!$A1:$R401,14,FALSE)-AVERAGE(Rankings!W2:W651))/STDEV(Rankings!W2:W651)</f>
        <v>1.010194657286031</v>
      </c>
      <c r="Q254" s="121">
        <f>(VLOOKUP($A254,Hitters!$A1:$R401,15,FALSE)-AVERAGE(Rankings!X2:X651))/STDEV(Rankings!X2:X651)</f>
        <v>-0.8632697463827359</v>
      </c>
      <c r="R254" s="121">
        <f>(VLOOKUP($A254,Hitters!$A1:$R401,16,FALSE)-AVERAGE(Rankings!Y2:Y651))/STDEV(Rankings!Y2:Y651)</f>
        <v>0.9412002660597919</v>
      </c>
      <c r="S254" s="121">
        <f>(VLOOKUP($A254,Hitters!$A1:$R401,17,FALSE)-AVERAGE(Rankings!Z2:Z651))/STDEV(Rankings!Z2:Z651)</f>
        <v>1.5551573263194443</v>
      </c>
      <c r="T254" s="121">
        <f>IFERROR((VLOOKUP($A254,Hitters!$A1:$R401,18,FALSE)-AVERAGE(Rankings!AA2:AA651))/STDEV(Rankings!AA2:AA651),0)</f>
        <v>0</v>
      </c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</row>
    <row r="255" spans="1:37" ht="18.600000000000001" customHeight="1">
      <c r="A255" s="25" t="s">
        <v>196</v>
      </c>
      <c r="B255" s="26" t="s">
        <v>97</v>
      </c>
      <c r="C255" s="126" t="s">
        <v>23</v>
      </c>
      <c r="D255" s="67">
        <f>(F255*Settings!$C$2)+(G255*Settings!$C$3)+(H255*Settings!$C$4)+(I255*Settings!$C$5)+(J255*Settings!$C$6)+(M255*Settings!$C$9)+(N255*Settings!$C$10)+(O255*Settings!$C$11)+(P255*Settings!$C$12)+(Q255*Settings!$C$13)+(T255*Settings!$C$16)+(K255*Settings!$C$7)+(L255*Settings!$C$8)+(R255*Settings!$C$14)+(S255*Settings!$C$15)</f>
        <v>3.0234975531694639</v>
      </c>
      <c r="E255" s="67"/>
      <c r="F255" s="121">
        <f>(VLOOKUP($A255,Hitters!$A1:$R401,4,FALSE)-AVERAGE(Rankings!M2:M651))/STDEV(Rankings!M2:M651)</f>
        <v>1.0742519091494729</v>
      </c>
      <c r="G255" s="121">
        <f>(VLOOKUP($A255,Hitters!$A1:$R401,5,FALSE)-AVERAGE(Rankings!N2:N651))/STDEV(Rankings!N2:N651)</f>
        <v>1.6299216513342052</v>
      </c>
      <c r="H255" s="121">
        <f>(VLOOKUP($A255,Hitters!$A1:$R401,6,FALSE)-AVERAGE(Rankings!O2:O651))/STDEV(Rankings!O2:O651)</f>
        <v>0.12151911104564196</v>
      </c>
      <c r="I255" s="121">
        <f>(VLOOKUP($A255,Hitters!$A1:$R401,7,FALSE)-AVERAGE(Rankings!P2:P651))/STDEV(Rankings!P2:P651)</f>
        <v>0.29568223723963527</v>
      </c>
      <c r="J255" s="121">
        <f>(VLOOKUP($A255,Hitters!$A1:$R401,8,FALSE)-AVERAGE(Rankings!Q2:Q651))/STDEV(Rankings!Q2:Q651)</f>
        <v>-0.21432215008207361</v>
      </c>
      <c r="K255" s="121">
        <f>(VLOOKUP($A255,Hitters!$A1:$R401,9,FALSE)-AVERAGE(Rankings!R2:R651))/STDEV(Rankings!R2:R651)</f>
        <v>1.190696703632055</v>
      </c>
      <c r="L255" s="121">
        <f>(VLOOKUP($A255,Hitters!$A1:$R401,10,FALSE)-AVERAGE(Rankings!S2:S651))/STDEV(Rankings!S2:S651)</f>
        <v>1.9902515212823304</v>
      </c>
      <c r="M255" s="121">
        <f>(VLOOKUP($A255,Hitters!$A1:$R401,11,FALSE)-AVERAGE(Rankings!T2:T651))/STDEV(Rankings!T2:T651)</f>
        <v>1.2435547376647604</v>
      </c>
      <c r="N255" s="121">
        <f>(VLOOKUP($A255,Hitters!$A1:$R401,12,FALSE)-AVERAGE(Rankings!U2:U651))/STDEV(Rankings!U2:U651)</f>
        <v>0.98116084360144118</v>
      </c>
      <c r="O255" s="121">
        <f>(VLOOKUP($A255,Hitters!$A1:$R401,13,FALSE)-AVERAGE(Rankings!V2:V651))/STDEV(Rankings!V2:V651)</f>
        <v>3.0877336824584987</v>
      </c>
      <c r="P255" s="121">
        <f>(VLOOKUP($A255,Hitters!$A1:$R401,14,FALSE)-AVERAGE(Rankings!W2:W651))/STDEV(Rankings!W2:W651)</f>
        <v>1.9389724020520009</v>
      </c>
      <c r="Q255" s="121">
        <f>(VLOOKUP($A255,Hitters!$A1:$R401,15,FALSE)-AVERAGE(Rankings!X2:X651))/STDEV(Rankings!X2:X651)</f>
        <v>0.50225736979410374</v>
      </c>
      <c r="R255" s="121">
        <f>(VLOOKUP($A255,Hitters!$A1:$R401,16,FALSE)-AVERAGE(Rankings!Y2:Y651))/STDEV(Rankings!Y2:Y651)</f>
        <v>0.42600581214006916</v>
      </c>
      <c r="S255" s="121">
        <f>(VLOOKUP($A255,Hitters!$A1:$R401,17,FALSE)-AVERAGE(Rankings!Z2:Z651))/STDEV(Rankings!Z2:Z651)</f>
        <v>1.0913141067996097</v>
      </c>
      <c r="T255" s="121">
        <f>IFERROR((VLOOKUP($A255,Hitters!$A1:$R401,18,FALSE)-AVERAGE(Rankings!AA2:AA651))/STDEV(Rankings!AA2:AA651),0)</f>
        <v>0</v>
      </c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</row>
    <row r="256" spans="1:37" ht="18.600000000000001" customHeight="1">
      <c r="A256" s="25" t="s">
        <v>192</v>
      </c>
      <c r="B256" s="26" t="s">
        <v>160</v>
      </c>
      <c r="C256" s="126" t="s">
        <v>23</v>
      </c>
      <c r="D256" s="67">
        <f>(F256*Settings!$C$2)+(G256*Settings!$C$3)+(H256*Settings!$C$4)+(I256*Settings!$C$5)+(J256*Settings!$C$6)+(M256*Settings!$C$9)+(N256*Settings!$C$10)+(O256*Settings!$C$11)+(P256*Settings!$C$12)+(Q256*Settings!$C$13)+(T256*Settings!$C$16)+(K256*Settings!$C$7)+(L256*Settings!$C$8)+(R256*Settings!$C$14)+(S256*Settings!$C$15)</f>
        <v>3.128171059347661</v>
      </c>
      <c r="E256" s="67"/>
      <c r="F256" s="121">
        <f>(VLOOKUP($A256,Hitters!$A1:$R401,4,FALSE)-AVERAGE(Rankings!M2:M651))/STDEV(Rankings!M2:M651)</f>
        <v>1.1108166110685598</v>
      </c>
      <c r="G256" s="121">
        <f>(VLOOKUP($A256,Hitters!$A1:$R401,5,FALSE)-AVERAGE(Rankings!N2:N651))/STDEV(Rankings!N2:N651)</f>
        <v>0.86643708399829555</v>
      </c>
      <c r="H256" s="121">
        <f>(VLOOKUP($A256,Hitters!$A1:$R401,6,FALSE)-AVERAGE(Rankings!O2:O651))/STDEV(Rankings!O2:O651)</f>
        <v>0.81490259842253676</v>
      </c>
      <c r="I256" s="121">
        <f>(VLOOKUP($A256,Hitters!$A1:$R401,7,FALSE)-AVERAGE(Rankings!P2:P651))/STDEV(Rankings!P2:P651)</f>
        <v>0.9693270275282484</v>
      </c>
      <c r="J256" s="121">
        <f>(VLOOKUP($A256,Hitters!$A1:$R401,8,FALSE)-AVERAGE(Rankings!Q2:Q651))/STDEV(Rankings!Q2:Q651)</f>
        <v>0.32781553763469928</v>
      </c>
      <c r="K256" s="121">
        <f>(VLOOKUP($A256,Hitters!$A1:$R401,9,FALSE)-AVERAGE(Rankings!R2:R651))/STDEV(Rankings!R2:R651)</f>
        <v>0.1496888117638811</v>
      </c>
      <c r="L256" s="121">
        <f>(VLOOKUP($A256,Hitters!$A1:$R401,10,FALSE)-AVERAGE(Rankings!S2:S651))/STDEV(Rankings!S2:S651)</f>
        <v>0.71462090653024835</v>
      </c>
      <c r="M256" s="121">
        <f>(VLOOKUP($A256,Hitters!$A1:$R401,11,FALSE)-AVERAGE(Rankings!T2:T651))/STDEV(Rankings!T2:T651)</f>
        <v>0.9742288989221537</v>
      </c>
      <c r="N256" s="121">
        <f>(VLOOKUP($A256,Hitters!$A1:$R401,12,FALSE)-AVERAGE(Rankings!U2:U651))/STDEV(Rankings!U2:U651)</f>
        <v>1.236276280787258</v>
      </c>
      <c r="O256" s="121">
        <f>(VLOOKUP($A256,Hitters!$A1:$R401,13,FALSE)-AVERAGE(Rankings!V2:V651))/STDEV(Rankings!V2:V651)</f>
        <v>0.18395409140518312</v>
      </c>
      <c r="P256" s="121">
        <f>(VLOOKUP($A256,Hitters!$A1:$R401,14,FALSE)-AVERAGE(Rankings!W2:W651))/STDEV(Rankings!W2:W651)</f>
        <v>1.3854208661714806</v>
      </c>
      <c r="Q256" s="121">
        <f>(VLOOKUP($A256,Hitters!$A1:$R401,15,FALSE)-AVERAGE(Rankings!X2:X651))/STDEV(Rankings!X2:X651)</f>
        <v>1.5977980397318565</v>
      </c>
      <c r="R256" s="121">
        <f>(VLOOKUP($A256,Hitters!$A1:$R401,16,FALSE)-AVERAGE(Rankings!Y2:Y651))/STDEV(Rankings!Y2:Y651)</f>
        <v>0.41328356000548688</v>
      </c>
      <c r="S256" s="121">
        <f>(VLOOKUP($A256,Hitters!$A1:$R401,17,FALSE)-AVERAGE(Rankings!Z2:Z651))/STDEV(Rankings!Z2:Z651)</f>
        <v>0.58133825650815107</v>
      </c>
      <c r="T256" s="121">
        <f>IFERROR((VLOOKUP($A256,Hitters!$A1:$R401,18,FALSE)-AVERAGE(Rankings!AA2:AA651))/STDEV(Rankings!AA2:AA651),0)</f>
        <v>0</v>
      </c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</row>
    <row r="257" spans="1:37" ht="18.600000000000001" customHeight="1">
      <c r="A257" s="25" t="s">
        <v>206</v>
      </c>
      <c r="B257" s="26" t="s">
        <v>77</v>
      </c>
      <c r="C257" s="126" t="s">
        <v>23</v>
      </c>
      <c r="D257" s="67">
        <f>(F257*Settings!$C$2)+(G257*Settings!$C$3)+(H257*Settings!$C$4)+(I257*Settings!$C$5)+(J257*Settings!$C$6)+(M257*Settings!$C$9)+(N257*Settings!$C$10)+(O257*Settings!$C$11)+(P257*Settings!$C$12)+(Q257*Settings!$C$13)+(T257*Settings!$C$16)+(K257*Settings!$C$7)+(L257*Settings!$C$8)+(R257*Settings!$C$14)+(S257*Settings!$C$15)</f>
        <v>2.5699233098299246</v>
      </c>
      <c r="E257" s="67"/>
      <c r="F257" s="121">
        <f>(VLOOKUP($A257,Hitters!$A1:$R401,4,FALSE)-AVERAGE(Rankings!M2:M651))/STDEV(Rankings!M2:M651)</f>
        <v>0.87575781301730193</v>
      </c>
      <c r="G257" s="121">
        <f>(VLOOKUP($A257,Hitters!$A1:$R401,5,FALSE)-AVERAGE(Rankings!N2:N651))/STDEV(Rankings!N2:N651)</f>
        <v>0.28509595220971695</v>
      </c>
      <c r="H257" s="121">
        <f>(VLOOKUP($A257,Hitters!$A1:$R401,6,FALSE)-AVERAGE(Rankings!O2:O651))/STDEV(Rankings!O2:O651)</f>
        <v>0.51833496225531739</v>
      </c>
      <c r="I257" s="121">
        <f>(VLOOKUP($A257,Hitters!$A1:$R401,7,FALSE)-AVERAGE(Rankings!P2:P651))/STDEV(Rankings!P2:P651)</f>
        <v>0.80284273153014774</v>
      </c>
      <c r="J257" s="121">
        <f>(VLOOKUP($A257,Hitters!$A1:$R401,8,FALSE)-AVERAGE(Rankings!Q2:Q651))/STDEV(Rankings!Q2:Q651)</f>
        <v>-0.63096500267922218</v>
      </c>
      <c r="K257" s="121">
        <f>(VLOOKUP($A257,Hitters!$A1:$R401,9,FALSE)-AVERAGE(Rankings!R2:R651))/STDEV(Rankings!R2:R651)</f>
        <v>1.5946146665139649</v>
      </c>
      <c r="L257" s="121">
        <f>(VLOOKUP($A257,Hitters!$A1:$R401,10,FALSE)-AVERAGE(Rankings!S2:S651))/STDEV(Rankings!S2:S651)</f>
        <v>-4.4854175220341991E-2</v>
      </c>
      <c r="M257" s="121">
        <f>(VLOOKUP($A257,Hitters!$A1:$R401,11,FALSE)-AVERAGE(Rankings!T2:T651))/STDEV(Rankings!T2:T651)</f>
        <v>1.1653046628949422</v>
      </c>
      <c r="N257" s="121">
        <f>(VLOOKUP($A257,Hitters!$A1:$R401,12,FALSE)-AVERAGE(Rankings!U2:U651))/STDEV(Rankings!U2:U651)</f>
        <v>1.5211551856447625</v>
      </c>
      <c r="O257" s="121">
        <f>(VLOOKUP($A257,Hitters!$A1:$R401,13,FALSE)-AVERAGE(Rankings!V2:V651))/STDEV(Rankings!V2:V651)</f>
        <v>-0.673352264048656</v>
      </c>
      <c r="P257" s="121">
        <f>(VLOOKUP($A257,Hitters!$A1:$R401,14,FALSE)-AVERAGE(Rankings!W2:W651))/STDEV(Rankings!W2:W651)</f>
        <v>-0.80277950049713664</v>
      </c>
      <c r="Q257" s="121">
        <f>(VLOOKUP($A257,Hitters!$A1:$R401,15,FALSE)-AVERAGE(Rankings!X2:X651))/STDEV(Rankings!X2:X651)</f>
        <v>0.28685302098963844</v>
      </c>
      <c r="R257" s="121">
        <f>(VLOOKUP($A257,Hitters!$A1:$R401,16,FALSE)-AVERAGE(Rankings!Y2:Y651))/STDEV(Rankings!Y2:Y651)</f>
        <v>1.0138922027909198</v>
      </c>
      <c r="S257" s="121">
        <f>(VLOOKUP($A257,Hitters!$A1:$R401,17,FALSE)-AVERAGE(Rankings!Z2:Z651))/STDEV(Rankings!Z2:Z651)</f>
        <v>0.72041446917399088</v>
      </c>
      <c r="T257" s="121">
        <f>IFERROR((VLOOKUP($A257,Hitters!$A1:$R401,18,FALSE)-AVERAGE(Rankings!AA2:AA651))/STDEV(Rankings!AA2:AA651),0)</f>
        <v>0</v>
      </c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</row>
    <row r="258" spans="1:37" ht="18.600000000000001" customHeight="1">
      <c r="A258" s="25" t="s">
        <v>218</v>
      </c>
      <c r="B258" s="26" t="s">
        <v>219</v>
      </c>
      <c r="C258" s="126" t="s">
        <v>23</v>
      </c>
      <c r="D258" s="67">
        <f>(F258*Settings!$C$2)+(G258*Settings!$C$3)+(H258*Settings!$C$4)+(I258*Settings!$C$5)+(J258*Settings!$C$6)+(M258*Settings!$C$9)+(N258*Settings!$C$10)+(O258*Settings!$C$11)+(P258*Settings!$C$12)+(Q258*Settings!$C$13)+(T258*Settings!$C$16)+(K258*Settings!$C$7)+(L258*Settings!$C$8)+(R258*Settings!$C$14)+(S258*Settings!$C$15)</f>
        <v>2.3220478662015851</v>
      </c>
      <c r="E258" s="67"/>
      <c r="F258" s="121">
        <f>(VLOOKUP($A258,Hitters!$A1:$R401,4,FALSE)-AVERAGE(Rankings!M2:M651))/STDEV(Rankings!M2:M651)</f>
        <v>0.72688724091817181</v>
      </c>
      <c r="G258" s="121">
        <f>(VLOOKUP($A258,Hitters!$A1:$R401,5,FALSE)-AVERAGE(Rankings!N2:N651))/STDEV(Rankings!N2:N651)</f>
        <v>0.87250853184987176</v>
      </c>
      <c r="H258" s="121">
        <f>(VLOOKUP($A258,Hitters!$A1:$R401,6,FALSE)-AVERAGE(Rankings!O2:O651))/STDEV(Rankings!O2:O651)</f>
        <v>1.2158954585923094</v>
      </c>
      <c r="I258" s="121">
        <f>(VLOOKUP($A258,Hitters!$A1:$R401,7,FALSE)-AVERAGE(Rankings!P2:P651))/STDEV(Rankings!P2:P651)</f>
        <v>0.91074921967706346</v>
      </c>
      <c r="J258" s="121">
        <f>(VLOOKUP($A258,Hitters!$A1:$R401,8,FALSE)-AVERAGE(Rankings!Q2:Q651))/STDEV(Rankings!Q2:Q651)</f>
        <v>-0.69120252353664136</v>
      </c>
      <c r="K258" s="121">
        <f>(VLOOKUP($A258,Hitters!$A1:$R401,9,FALSE)-AVERAGE(Rankings!R2:R651))/STDEV(Rankings!R2:R651)</f>
        <v>1.4097179618981817E-2</v>
      </c>
      <c r="L258" s="121">
        <f>(VLOOKUP($A258,Hitters!$A1:$R401,10,FALSE)-AVERAGE(Rankings!S2:S651))/STDEV(Rankings!S2:S651)</f>
        <v>7.2145206886720548E-2</v>
      </c>
      <c r="M258" s="121">
        <f>(VLOOKUP($A258,Hitters!$A1:$R401,11,FALSE)-AVERAGE(Rankings!T2:T651))/STDEV(Rankings!T2:T651)</f>
        <v>0.6002663322896965</v>
      </c>
      <c r="N258" s="121">
        <f>(VLOOKUP($A258,Hitters!$A1:$R401,12,FALSE)-AVERAGE(Rankings!U2:U651))/STDEV(Rankings!U2:U651)</f>
        <v>2.8729878107733198E-2</v>
      </c>
      <c r="O258" s="121">
        <f>(VLOOKUP($A258,Hitters!$A1:$R401,13,FALSE)-AVERAGE(Rankings!V2:V651))/STDEV(Rankings!V2:V651)</f>
        <v>-3.7286258389357937E-2</v>
      </c>
      <c r="P258" s="121">
        <f>(VLOOKUP($A258,Hitters!$A1:$R401,14,FALSE)-AVERAGE(Rankings!W2:W651))/STDEV(Rankings!W2:W651)</f>
        <v>0.50679711962287843</v>
      </c>
      <c r="Q258" s="121">
        <f>(VLOOKUP($A258,Hitters!$A1:$R401,15,FALSE)-AVERAGE(Rankings!X2:X651))/STDEV(Rankings!X2:X651)</f>
        <v>1.0568504669423124</v>
      </c>
      <c r="R258" s="121">
        <f>(VLOOKUP($A258,Hitters!$A1:$R401,16,FALSE)-AVERAGE(Rankings!Y2:Y651))/STDEV(Rankings!Y2:Y651)</f>
        <v>0.7551469787026508</v>
      </c>
      <c r="S258" s="121">
        <f>(VLOOKUP($A258,Hitters!$A1:$R401,17,FALSE)-AVERAGE(Rankings!Z2:Z651))/STDEV(Rankings!Z2:Z651)</f>
        <v>0.5779966376377732</v>
      </c>
      <c r="T258" s="121">
        <f>IFERROR((VLOOKUP($A258,Hitters!$A1:$R401,18,FALSE)-AVERAGE(Rankings!AA2:AA651))/STDEV(Rankings!AA2:AA651),0)</f>
        <v>0</v>
      </c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</row>
    <row r="259" spans="1:37" ht="18.600000000000001" customHeight="1">
      <c r="A259" s="25" t="s">
        <v>214</v>
      </c>
      <c r="B259" s="26" t="s">
        <v>178</v>
      </c>
      <c r="C259" s="126" t="s">
        <v>23</v>
      </c>
      <c r="D259" s="67">
        <f>(F259*Settings!$C$2)+(G259*Settings!$C$3)+(H259*Settings!$C$4)+(I259*Settings!$C$5)+(J259*Settings!$C$6)+(M259*Settings!$C$9)+(N259*Settings!$C$10)+(O259*Settings!$C$11)+(P259*Settings!$C$12)+(Q259*Settings!$C$13)+(T259*Settings!$C$16)+(K259*Settings!$C$7)+(L259*Settings!$C$8)+(R259*Settings!$C$14)+(S259*Settings!$C$15)</f>
        <v>2.3532455745413472</v>
      </c>
      <c r="E259" s="67"/>
      <c r="F259" s="121">
        <f>(VLOOKUP($A259,Hitters!$A1:$R401,4,FALSE)-AVERAGE(Rankings!M2:M651))/STDEV(Rankings!M2:M651)</f>
        <v>0.96194603896942998</v>
      </c>
      <c r="G259" s="121">
        <f>(VLOOKUP($A259,Hitters!$A1:$R401,5,FALSE)-AVERAGE(Rankings!N2:N651))/STDEV(Rankings!N2:N651)</f>
        <v>0.69795440611701065</v>
      </c>
      <c r="H259" s="121">
        <f>(VLOOKUP($A259,Hitters!$A1:$R401,6,FALSE)-AVERAGE(Rankings!O2:O651))/STDEV(Rankings!O2:O651)</f>
        <v>5.4686967684017408E-2</v>
      </c>
      <c r="I259" s="121">
        <f>(VLOOKUP($A259,Hitters!$A1:$R401,7,FALSE)-AVERAGE(Rankings!P2:P651))/STDEV(Rankings!P2:P651)</f>
        <v>0.92462291101023841</v>
      </c>
      <c r="J259" s="121">
        <f>(VLOOKUP($A259,Hitters!$A1:$R401,8,FALSE)-AVERAGE(Rankings!Q2:Q651))/STDEV(Rankings!Q2:Q651)</f>
        <v>-0.38499512584476092</v>
      </c>
      <c r="K259" s="121">
        <f>(VLOOKUP($A259,Hitters!$A1:$R401,9,FALSE)-AVERAGE(Rankings!R2:R651))/STDEV(Rankings!R2:R651)</f>
        <v>1.0609764155748418</v>
      </c>
      <c r="L259" s="121">
        <f>(VLOOKUP($A259,Hitters!$A1:$R401,10,FALSE)-AVERAGE(Rankings!S2:S651))/STDEV(Rankings!S2:S651)</f>
        <v>0.35621825608427837</v>
      </c>
      <c r="M259" s="121">
        <f>(VLOOKUP($A259,Hitters!$A1:$R401,11,FALSE)-AVERAGE(Rankings!T2:T651))/STDEV(Rankings!T2:T651)</f>
        <v>1.099792972389986</v>
      </c>
      <c r="N259" s="121">
        <f>(VLOOKUP($A259,Hitters!$A1:$R401,12,FALSE)-AVERAGE(Rankings!U2:U651))/STDEV(Rankings!U2:U651)</f>
        <v>0.46242612132362221</v>
      </c>
      <c r="O259" s="121">
        <f>(VLOOKUP($A259,Hitters!$A1:$R401,13,FALSE)-AVERAGE(Rankings!V2:V651))/STDEV(Rankings!V2:V651)</f>
        <v>2.3410475019019321</v>
      </c>
      <c r="P259" s="121">
        <f>(VLOOKUP($A259,Hitters!$A1:$R401,14,FALSE)-AVERAGE(Rankings!W2:W651))/STDEV(Rankings!W2:W651)</f>
        <v>9.2562245457252848E-2</v>
      </c>
      <c r="Q259" s="121">
        <f>(VLOOKUP($A259,Hitters!$A1:$R401,15,FALSE)-AVERAGE(Rankings!X2:X651))/STDEV(Rankings!X2:X651)</f>
        <v>0.19815711265836039</v>
      </c>
      <c r="R259" s="121">
        <f>(VLOOKUP($A259,Hitters!$A1:$R401,16,FALSE)-AVERAGE(Rankings!Y2:Y651))/STDEV(Rankings!Y2:Y651)</f>
        <v>0.13382116733286251</v>
      </c>
      <c r="S259" s="121">
        <f>(VLOOKUP($A259,Hitters!$A1:$R401,17,FALSE)-AVERAGE(Rankings!Z2:Z651))/STDEV(Rankings!Z2:Z651)</f>
        <v>0.23723366903030754</v>
      </c>
      <c r="T259" s="121">
        <f>IFERROR((VLOOKUP($A259,Hitters!$A1:$R401,18,FALSE)-AVERAGE(Rankings!AA2:AA651))/STDEV(Rankings!AA2:AA651),0)</f>
        <v>0</v>
      </c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</row>
    <row r="260" spans="1:37" ht="18.600000000000001" customHeight="1">
      <c r="A260" s="25" t="s">
        <v>217</v>
      </c>
      <c r="B260" s="26" t="s">
        <v>122</v>
      </c>
      <c r="C260" s="126" t="s">
        <v>23</v>
      </c>
      <c r="D260" s="67">
        <f>(F260*Settings!$C$2)+(G260*Settings!$C$3)+(H260*Settings!$C$4)+(I260*Settings!$C$5)+(J260*Settings!$C$6)+(M260*Settings!$C$9)+(N260*Settings!$C$10)+(O260*Settings!$C$11)+(P260*Settings!$C$12)+(Q260*Settings!$C$13)+(T260*Settings!$C$16)+(K260*Settings!$C$7)+(L260*Settings!$C$8)+(R260*Settings!$C$14)+(S260*Settings!$C$15)</f>
        <v>2.3364442855658885</v>
      </c>
      <c r="E260" s="67"/>
      <c r="F260" s="121">
        <f>(VLOOKUP($A260,Hitters!$A1:$R401,4,FALSE)-AVERAGE(Rankings!M2:M651))/STDEV(Rankings!M2:M651)</f>
        <v>0.87575781301730193</v>
      </c>
      <c r="G260" s="121">
        <f>(VLOOKUP($A260,Hitters!$A1:$R401,5,FALSE)-AVERAGE(Rankings!N2:N651))/STDEV(Rankings!N2:N651)</f>
        <v>0.36250691231733412</v>
      </c>
      <c r="H260" s="121">
        <f>(VLOOKUP($A260,Hitters!$A1:$R401,6,FALSE)-AVERAGE(Rankings!O2:O651))/STDEV(Rankings!O2:O651)</f>
        <v>-4.5561247358425885E-2</v>
      </c>
      <c r="I260" s="121">
        <f>(VLOOKUP($A260,Hitters!$A1:$R401,7,FALSE)-AVERAGE(Rankings!P2:P651))/STDEV(Rankings!P2:P651)</f>
        <v>0.70418537093867761</v>
      </c>
      <c r="J260" s="121">
        <f>(VLOOKUP($A260,Hitters!$A1:$R401,8,FALSE)-AVERAGE(Rankings!Q2:Q651))/STDEV(Rankings!Q2:Q651)</f>
        <v>-0.38499512584476092</v>
      </c>
      <c r="K260" s="121">
        <f>(VLOOKUP($A260,Hitters!$A1:$R401,9,FALSE)-AVERAGE(Rankings!R2:R651))/STDEV(Rankings!R2:R651)</f>
        <v>1.7003083755130635</v>
      </c>
      <c r="L260" s="121">
        <f>(VLOOKUP($A260,Hitters!$A1:$R401,10,FALSE)-AVERAGE(Rankings!S2:S651))/STDEV(Rankings!S2:S651)</f>
        <v>0.63166193691867989</v>
      </c>
      <c r="M260" s="121">
        <f>(VLOOKUP($A260,Hitters!$A1:$R401,11,FALSE)-AVERAGE(Rankings!T2:T651))/STDEV(Rankings!T2:T651)</f>
        <v>1.1944209697860431</v>
      </c>
      <c r="N260" s="121">
        <f>(VLOOKUP($A260,Hitters!$A1:$R401,12,FALSE)-AVERAGE(Rankings!U2:U651))/STDEV(Rankings!U2:U651)</f>
        <v>1.359582075427074</v>
      </c>
      <c r="O260" s="121">
        <f>(VLOOKUP($A260,Hitters!$A1:$R401,13,FALSE)-AVERAGE(Rankings!V2:V651))/STDEV(Rankings!V2:V651)</f>
        <v>0.18395409140518312</v>
      </c>
      <c r="P260" s="121">
        <f>(VLOOKUP($A260,Hitters!$A1:$R401,14,FALSE)-AVERAGE(Rankings!W2:W651))/STDEV(Rankings!W2:W651)</f>
        <v>-0.19721641090972936</v>
      </c>
      <c r="Q260" s="121">
        <f>(VLOOKUP($A260,Hitters!$A1:$R401,15,FALSE)-AVERAGE(Rankings!X2:X651))/STDEV(Rankings!X2:X651)</f>
        <v>0.14065097428975296</v>
      </c>
      <c r="R260" s="121">
        <f>(VLOOKUP($A260,Hitters!$A1:$R401,16,FALSE)-AVERAGE(Rankings!Y2:Y651))/STDEV(Rankings!Y2:Y651)</f>
        <v>0.47981832504394478</v>
      </c>
      <c r="S260" s="121">
        <f>(VLOOKUP($A260,Hitters!$A1:$R401,17,FALSE)-AVERAGE(Rankings!Z2:Z651))/STDEV(Rankings!Z2:Z651)</f>
        <v>0.597206120839883</v>
      </c>
      <c r="T260" s="121">
        <f>IFERROR((VLOOKUP($A260,Hitters!$A1:$R401,18,FALSE)-AVERAGE(Rankings!AA2:AA651))/STDEV(Rankings!AA2:AA651),0)</f>
        <v>0</v>
      </c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</row>
    <row r="261" spans="1:37" ht="18.600000000000001" customHeight="1">
      <c r="A261" s="25" t="s">
        <v>220</v>
      </c>
      <c r="B261" s="26" t="s">
        <v>116</v>
      </c>
      <c r="C261" s="126" t="s">
        <v>23</v>
      </c>
      <c r="D261" s="67">
        <f>(F261*Settings!$C$2)+(G261*Settings!$C$3)+(H261*Settings!$C$4)+(I261*Settings!$C$5)+(J261*Settings!$C$6)+(M261*Settings!$C$9)+(N261*Settings!$C$10)+(O261*Settings!$C$11)+(P261*Settings!$C$12)+(Q261*Settings!$C$13)+(T261*Settings!$C$16)+(K261*Settings!$C$7)+(L261*Settings!$C$8)+(R261*Settings!$C$14)+(S261*Settings!$C$15)</f>
        <v>2.3150222744444511</v>
      </c>
      <c r="E261" s="67"/>
      <c r="F261" s="121">
        <f>(VLOOKUP($A261,Hitters!$A1:$R401,4,FALSE)-AVERAGE(Rankings!M2:M651))/STDEV(Rankings!M2:M651)</f>
        <v>0.75561664956887542</v>
      </c>
      <c r="G261" s="121">
        <f>(VLOOKUP($A261,Hitters!$A1:$R401,5,FALSE)-AVERAGE(Rankings!N2:N651))/STDEV(Rankings!N2:N651)</f>
        <v>0.54616820982756176</v>
      </c>
      <c r="H261" s="121">
        <f>(VLOOKUP($A261,Hitters!$A1:$R401,6,FALSE)-AVERAGE(Rankings!O2:O651))/STDEV(Rankings!O2:O651)</f>
        <v>-0.27529674016403322</v>
      </c>
      <c r="I261" s="121">
        <f>(VLOOKUP($A261,Hitters!$A1:$R401,7,FALSE)-AVERAGE(Rankings!P2:P651))/STDEV(Rankings!P2:P651)</f>
        <v>0.35271852383157565</v>
      </c>
      <c r="J261" s="121">
        <f>(VLOOKUP($A261,Hitters!$A1:$R401,8,FALSE)-AVERAGE(Rankings!Q2:Q651))/STDEV(Rankings!Q2:Q651)</f>
        <v>0.3529145046586244</v>
      </c>
      <c r="K261" s="121">
        <f>(VLOOKUP($A261,Hitters!$A1:$R401,9,FALSE)-AVERAGE(Rankings!R2:R651))/STDEV(Rankings!R2:R651)</f>
        <v>1.3385177762907223</v>
      </c>
      <c r="L261" s="121">
        <f>(VLOOKUP($A261,Hitters!$A1:$R401,10,FALSE)-AVERAGE(Rankings!S2:S651))/STDEV(Rankings!S2:S651)</f>
        <v>1.2284553798731881</v>
      </c>
      <c r="M261" s="121">
        <f>(VLOOKUP($A261,Hitters!$A1:$R401,11,FALSE)-AVERAGE(Rankings!T2:T651))/STDEV(Rankings!T2:T651)</f>
        <v>0.9787783218738958</v>
      </c>
      <c r="N261" s="121">
        <f>(VLOOKUP($A261,Hitters!$A1:$R401,12,FALSE)-AVERAGE(Rankings!U2:U651))/STDEV(Rankings!U2:U651)</f>
        <v>0.67927424293156646</v>
      </c>
      <c r="O261" s="121">
        <f>(VLOOKUP($A261,Hitters!$A1:$R401,13,FALSE)-AVERAGE(Rankings!V2:V651))/STDEV(Rankings!V2:V651)</f>
        <v>0.32222931002676414</v>
      </c>
      <c r="P261" s="121">
        <f>(VLOOKUP($A261,Hitters!$A1:$R401,14,FALSE)-AVERAGE(Rankings!W2:W651))/STDEV(Rankings!W2:W651)</f>
        <v>0.66283178074356086</v>
      </c>
      <c r="Q261" s="121">
        <f>(VLOOKUP($A261,Hitters!$A1:$R401,15,FALSE)-AVERAGE(Rankings!X2:X651))/STDEV(Rankings!X2:X651)</f>
        <v>-7.5728054826064789E-2</v>
      </c>
      <c r="R261" s="121">
        <f>(VLOOKUP($A261,Hitters!$A1:$R401,16,FALSE)-AVERAGE(Rankings!Y2:Y651))/STDEV(Rankings!Y2:Y651)</f>
        <v>-7.4679469303337298E-2</v>
      </c>
      <c r="S261" s="121">
        <f>(VLOOKUP($A261,Hitters!$A1:$R401,17,FALSE)-AVERAGE(Rankings!Z2:Z651))/STDEV(Rankings!Z2:Z651)</f>
        <v>0.42783799422769575</v>
      </c>
      <c r="T261" s="121">
        <f>IFERROR((VLOOKUP($A261,Hitters!$A1:$R401,18,FALSE)-AVERAGE(Rankings!AA2:AA651))/STDEV(Rankings!AA2:AA651),0)</f>
        <v>0</v>
      </c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</row>
    <row r="262" spans="1:37" ht="18.600000000000001" customHeight="1">
      <c r="A262" s="25" t="s">
        <v>207</v>
      </c>
      <c r="B262" s="26" t="s">
        <v>69</v>
      </c>
      <c r="C262" s="126" t="s">
        <v>23</v>
      </c>
      <c r="D262" s="67">
        <f>(F262*Settings!$C$2)+(G262*Settings!$C$3)+(H262*Settings!$C$4)+(I262*Settings!$C$5)+(J262*Settings!$C$6)+(M262*Settings!$C$9)+(N262*Settings!$C$10)+(O262*Settings!$C$11)+(P262*Settings!$C$12)+(Q262*Settings!$C$13)+(T262*Settings!$C$16)+(K262*Settings!$C$7)+(L262*Settings!$C$8)+(R262*Settings!$C$14)+(S262*Settings!$C$15)</f>
        <v>2.5368259181853752</v>
      </c>
      <c r="E262" s="67"/>
      <c r="F262" s="121">
        <f>(VLOOKUP($A262,Hitters!$A1:$R401,4,FALSE)-AVERAGE(Rankings!M2:M651))/STDEV(Rankings!M2:M651)</f>
        <v>0.67073430582814608</v>
      </c>
      <c r="G262" s="121">
        <f>(VLOOKUP($A262,Hitters!$A1:$R401,5,FALSE)-AVERAGE(Rankings!N2:N651))/STDEV(Rankings!N2:N651)</f>
        <v>0.40121239237114281</v>
      </c>
      <c r="H262" s="121">
        <f>(VLOOKUP($A262,Hitters!$A1:$R401,6,FALSE)-AVERAGE(Rankings!O2:O651))/STDEV(Rankings!O2:O651)</f>
        <v>0.15284667824640547</v>
      </c>
      <c r="I262" s="121">
        <f>(VLOOKUP($A262,Hitters!$A1:$R401,7,FALSE)-AVERAGE(Rankings!P2:P651))/STDEV(Rankings!P2:P651)</f>
        <v>0.32805418368371025</v>
      </c>
      <c r="J262" s="121">
        <f>(VLOOKUP($A262,Hitters!$A1:$R401,8,FALSE)-AVERAGE(Rankings!Q2:Q651))/STDEV(Rankings!Q2:Q651)</f>
        <v>1.6781399635218475</v>
      </c>
      <c r="K262" s="121">
        <f>(VLOOKUP($A262,Hitters!$A1:$R401,9,FALSE)-AVERAGE(Rankings!R2:R651))/STDEV(Rankings!R2:R651)</f>
        <v>-2.3427299637730947E-2</v>
      </c>
      <c r="L262" s="121">
        <f>(VLOOKUP($A262,Hitters!$A1:$R401,10,FALSE)-AVERAGE(Rankings!S2:S651))/STDEV(Rankings!S2:S651)</f>
        <v>-0.47002954478539255</v>
      </c>
      <c r="M262" s="121">
        <f>(VLOOKUP($A262,Hitters!$A1:$R401,11,FALSE)-AVERAGE(Rankings!T2:T651))/STDEV(Rankings!T2:T651)</f>
        <v>0.54157877621233985</v>
      </c>
      <c r="N262" s="121">
        <f>(VLOOKUP($A262,Hitters!$A1:$R401,12,FALSE)-AVERAGE(Rankings!U2:U651))/STDEV(Rankings!U2:U651)</f>
        <v>0.29447512517628821</v>
      </c>
      <c r="O262" s="121">
        <f>(VLOOKUP($A262,Hitters!$A1:$R401,13,FALSE)-AVERAGE(Rankings!V2:V651))/STDEV(Rankings!V2:V651)</f>
        <v>1.165708143618444</v>
      </c>
      <c r="P262" s="121">
        <f>(VLOOKUP($A262,Hitters!$A1:$R401,14,FALSE)-AVERAGE(Rankings!W2:W651))/STDEV(Rankings!W2:W651)</f>
        <v>-3.4680305575683086E-2</v>
      </c>
      <c r="Q262" s="121">
        <f>(VLOOKUP($A262,Hitters!$A1:$R401,15,FALSE)-AVERAGE(Rankings!X2:X651))/STDEV(Rankings!X2:X651)</f>
        <v>0.52028895555376498</v>
      </c>
      <c r="R262" s="121">
        <f>(VLOOKUP($A262,Hitters!$A1:$R401,16,FALSE)-AVERAGE(Rankings!Y2:Y651))/STDEV(Rankings!Y2:Y651)</f>
        <v>-0.18539369582057141</v>
      </c>
      <c r="S262" s="121">
        <f>(VLOOKUP($A262,Hitters!$A1:$R401,17,FALSE)-AVERAGE(Rankings!Z2:Z651))/STDEV(Rankings!Z2:Z651)</f>
        <v>-0.3194473781036713</v>
      </c>
      <c r="T262" s="121">
        <f>IFERROR((VLOOKUP($A262,Hitters!$A1:$R401,18,FALSE)-AVERAGE(Rankings!AA2:AA651))/STDEV(Rankings!AA2:AA651),0)</f>
        <v>0</v>
      </c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</row>
    <row r="263" spans="1:37" ht="18.600000000000001" customHeight="1">
      <c r="A263" s="25" t="s">
        <v>231</v>
      </c>
      <c r="B263" s="26" t="s">
        <v>178</v>
      </c>
      <c r="C263" s="126" t="s">
        <v>23</v>
      </c>
      <c r="D263" s="67">
        <f>(F263*Settings!$C$2)+(G263*Settings!$C$3)+(H263*Settings!$C$4)+(I263*Settings!$C$5)+(J263*Settings!$C$6)+(M263*Settings!$C$9)+(N263*Settings!$C$10)+(O263*Settings!$C$11)+(P263*Settings!$C$12)+(Q263*Settings!$C$13)+(T263*Settings!$C$16)+(K263*Settings!$C$7)+(L263*Settings!$C$8)+(R263*Settings!$C$14)+(S263*Settings!$C$15)</f>
        <v>2.0060688980107759</v>
      </c>
      <c r="E263" s="67"/>
      <c r="F263" s="121">
        <f>(VLOOKUP($A263,Hitters!$A1:$R401,4,FALSE)-AVERAGE(Rankings!M2:M651))/STDEV(Rankings!M2:M651)</f>
        <v>0.72949900534096068</v>
      </c>
      <c r="G263" s="121">
        <f>(VLOOKUP($A263,Hitters!$A1:$R401,5,FALSE)-AVERAGE(Rankings!N2:N651))/STDEV(Rankings!N2:N651)</f>
        <v>0.44295359635074194</v>
      </c>
      <c r="H263" s="121">
        <f>(VLOOKUP($A263,Hitters!$A1:$R401,6,FALSE)-AVERAGE(Rankings!O2:O651))/STDEV(Rankings!O2:O651)</f>
        <v>0.76895549986142531</v>
      </c>
      <c r="I263" s="121">
        <f>(VLOOKUP($A263,Hitters!$A1:$R401,7,FALSE)-AVERAGE(Rankings!P2:P651))/STDEV(Rankings!P2:P651)</f>
        <v>0.90304161338085354</v>
      </c>
      <c r="J263" s="121">
        <f>(VLOOKUP($A263,Hitters!$A1:$R401,8,FALSE)-AVERAGE(Rankings!Q2:Q651))/STDEV(Rankings!Q2:Q651)</f>
        <v>-0.56068789501223415</v>
      </c>
      <c r="K263" s="121">
        <f>(VLOOKUP($A263,Hitters!$A1:$R401,9,FALSE)-AVERAGE(Rankings!R2:R651))/STDEV(Rankings!R2:R651)</f>
        <v>0.45180608342998929</v>
      </c>
      <c r="L263" s="121">
        <f>(VLOOKUP($A263,Hitters!$A1:$R401,10,FALSE)-AVERAGE(Rankings!S2:S651))/STDEV(Rankings!S2:S651)</f>
        <v>-0.73399371707289918</v>
      </c>
      <c r="M263" s="121">
        <f>(VLOOKUP($A263,Hitters!$A1:$R401,11,FALSE)-AVERAGE(Rankings!T2:T651))/STDEV(Rankings!T2:T651)</f>
        <v>0.71855132903474661</v>
      </c>
      <c r="N263" s="121">
        <f>(VLOOKUP($A263,Hitters!$A1:$R401,12,FALSE)-AVERAGE(Rankings!U2:U651))/STDEV(Rankings!U2:U651)</f>
        <v>0.35612802249619002</v>
      </c>
      <c r="O263" s="121">
        <f>(VLOOKUP($A263,Hitters!$A1:$R401,13,FALSE)-AVERAGE(Rankings!V2:V651))/STDEV(Rankings!V2:V651)</f>
        <v>0.40519444119971604</v>
      </c>
      <c r="P263" s="121">
        <f>(VLOOKUP($A263,Hitters!$A1:$R401,14,FALSE)-AVERAGE(Rankings!W2:W651))/STDEV(Rankings!W2:W651)</f>
        <v>-0.62259661801254074</v>
      </c>
      <c r="Q263" s="121">
        <f>(VLOOKUP($A263,Hitters!$A1:$R401,15,FALSE)-AVERAGE(Rankings!X2:X651))/STDEV(Rankings!X2:X651)</f>
        <v>0.59095327812538223</v>
      </c>
      <c r="R263" s="121">
        <f>(VLOOKUP($A263,Hitters!$A1:$R401,16,FALSE)-AVERAGE(Rankings!Y2:Y651))/STDEV(Rankings!Y2:Y651)</f>
        <v>0.61757955007939669</v>
      </c>
      <c r="S263" s="121">
        <f>(VLOOKUP($A263,Hitters!$A1:$R401,17,FALSE)-AVERAGE(Rankings!Z2:Z651))/STDEV(Rankings!Z2:Z651)</f>
        <v>0.16143151990194349</v>
      </c>
      <c r="T263" s="121">
        <f>IFERROR((VLOOKUP($A263,Hitters!$A1:$R401,18,FALSE)-AVERAGE(Rankings!AA2:AA651))/STDEV(Rankings!AA2:AA651),0)</f>
        <v>0</v>
      </c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</row>
    <row r="264" spans="1:37" ht="18.600000000000001" customHeight="1">
      <c r="A264" s="25" t="s">
        <v>237</v>
      </c>
      <c r="B264" s="26" t="s">
        <v>101</v>
      </c>
      <c r="C264" s="126" t="s">
        <v>23</v>
      </c>
      <c r="D264" s="67">
        <f>(F264*Settings!$C$2)+(G264*Settings!$C$3)+(H264*Settings!$C$4)+(I264*Settings!$C$5)+(J264*Settings!$C$6)+(M264*Settings!$C$9)+(N264*Settings!$C$10)+(O264*Settings!$C$11)+(P264*Settings!$C$12)+(Q264*Settings!$C$13)+(T264*Settings!$C$16)+(K264*Settings!$C$7)+(L264*Settings!$C$8)+(R264*Settings!$C$14)+(S264*Settings!$C$15)</f>
        <v>1.8775934065757378</v>
      </c>
      <c r="E264" s="67"/>
      <c r="F264" s="121">
        <f>(VLOOKUP($A264,Hitters!$A1:$R401,4,FALSE)-AVERAGE(Rankings!M2:M651))/STDEV(Rankings!M2:M651)</f>
        <v>1.0611930870355117</v>
      </c>
      <c r="G264" s="121">
        <f>(VLOOKUP($A264,Hitters!$A1:$R401,5,FALSE)-AVERAGE(Rankings!N2:N651))/STDEV(Rankings!N2:N651)</f>
        <v>0.66607930489622746</v>
      </c>
      <c r="H264" s="121">
        <f>(VLOOKUP($A264,Hitters!$A1:$R401,6,FALSE)-AVERAGE(Rankings!O2:O651))/STDEV(Rankings!O2:O651)</f>
        <v>0.54757402497602559</v>
      </c>
      <c r="I264" s="121">
        <f>(VLOOKUP($A264,Hitters!$A1:$R401,7,FALSE)-AVERAGE(Rankings!P2:P651))/STDEV(Rankings!P2:P651)</f>
        <v>0.71497601975337199</v>
      </c>
      <c r="J264" s="121">
        <f>(VLOOKUP($A264,Hitters!$A1:$R401,8,FALSE)-AVERAGE(Rankings!Q2:Q651))/STDEV(Rankings!Q2:Q651)</f>
        <v>-0.27957946434427727</v>
      </c>
      <c r="K264" s="121">
        <f>(VLOOKUP($A264,Hitters!$A1:$R401,9,FALSE)-AVERAGE(Rankings!R2:R651))/STDEV(Rankings!R2:R651)</f>
        <v>0.22854352129439023</v>
      </c>
      <c r="L264" s="121">
        <f>(VLOOKUP($A264,Hitters!$A1:$R401,10,FALSE)-AVERAGE(Rankings!S2:S651))/STDEV(Rankings!S2:S651)</f>
        <v>-0.63370329251250423</v>
      </c>
      <c r="M264" s="121">
        <f>(VLOOKUP($A264,Hitters!$A1:$R401,11,FALSE)-AVERAGE(Rankings!T2:T651))/STDEV(Rankings!T2:T651)</f>
        <v>0.95330155334417277</v>
      </c>
      <c r="N264" s="121">
        <f>(VLOOKUP($A264,Hitters!$A1:$R401,12,FALSE)-AVERAGE(Rankings!U2:U651))/STDEV(Rankings!U2:U651)</f>
        <v>1.125726258006746</v>
      </c>
      <c r="O264" s="121">
        <f>(VLOOKUP($A264,Hitters!$A1:$R401,13,FALSE)-AVERAGE(Rankings!V2:V651))/STDEV(Rankings!V2:V651)</f>
        <v>0.59877974726994232</v>
      </c>
      <c r="P264" s="121">
        <f>(VLOOKUP($A264,Hitters!$A1:$R401,14,FALSE)-AVERAGE(Rankings!W2:W651))/STDEV(Rankings!W2:W651)</f>
        <v>-0.20464663286785509</v>
      </c>
      <c r="Q264" s="121">
        <f>(VLOOKUP($A264,Hitters!$A1:$R401,15,FALSE)-AVERAGE(Rankings!X2:X651))/STDEV(Rankings!X2:X651)</f>
        <v>0.51492821384144605</v>
      </c>
      <c r="R264" s="121">
        <f>(VLOOKUP($A264,Hitters!$A1:$R401,16,FALSE)-AVERAGE(Rankings!Y2:Y651))/STDEV(Rankings!Y2:Y651)</f>
        <v>0.2255577414194434</v>
      </c>
      <c r="S264" s="121">
        <f>(VLOOKUP($A264,Hitters!$A1:$R401,17,FALSE)-AVERAGE(Rankings!Z2:Z651))/STDEV(Rankings!Z2:Z651)</f>
        <v>-8.4558137341624956E-2</v>
      </c>
      <c r="T264" s="121">
        <f>IFERROR((VLOOKUP($A264,Hitters!$A1:$R401,18,FALSE)-AVERAGE(Rankings!AA2:AA651))/STDEV(Rankings!AA2:AA651),0)</f>
        <v>0</v>
      </c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</row>
    <row r="265" spans="1:37" ht="18.600000000000001" customHeight="1">
      <c r="A265" s="25" t="s">
        <v>259</v>
      </c>
      <c r="B265" s="26" t="s">
        <v>260</v>
      </c>
      <c r="C265" s="126" t="s">
        <v>23</v>
      </c>
      <c r="D265" s="67">
        <f>(F265*Settings!$C$2)+(G265*Settings!$C$3)+(H265*Settings!$C$4)+(I265*Settings!$C$5)+(J265*Settings!$C$6)+(M265*Settings!$C$9)+(N265*Settings!$C$10)+(O265*Settings!$C$11)+(P265*Settings!$C$12)+(Q265*Settings!$C$13)+(T265*Settings!$C$16)+(K265*Settings!$C$7)+(L265*Settings!$C$8)+(R265*Settings!$C$14)+(S265*Settings!$C$15)</f>
        <v>1.3432206698606119</v>
      </c>
      <c r="E265" s="67"/>
      <c r="F265" s="121">
        <f>(VLOOKUP($A265,Hitters!$A1:$R401,4,FALSE)-AVERAGE(Rankings!M2:M651))/STDEV(Rankings!M2:M651)</f>
        <v>1.2309577745169782</v>
      </c>
      <c r="G265" s="121">
        <f>(VLOOKUP($A265,Hitters!$A1:$R401,5,FALSE)-AVERAGE(Rankings!N2:N651))/STDEV(Rankings!N2:N651)</f>
        <v>0.78447253800199501</v>
      </c>
      <c r="H265" s="121">
        <f>(VLOOKUP($A265,Hitters!$A1:$R401,6,FALSE)-AVERAGE(Rankings!O2:O651))/STDEV(Rankings!O2:O651)</f>
        <v>-0.34630589248575555</v>
      </c>
      <c r="I265" s="121">
        <f>(VLOOKUP($A265,Hitters!$A1:$R401,7,FALSE)-AVERAGE(Rankings!P2:P651))/STDEV(Rankings!P2:P651)</f>
        <v>0.41129633168276086</v>
      </c>
      <c r="J265" s="121">
        <f>(VLOOKUP($A265,Hitters!$A1:$R401,8,FALSE)-AVERAGE(Rankings!Q2:Q651))/STDEV(Rankings!Q2:Q651)</f>
        <v>0.11196442122894758</v>
      </c>
      <c r="K265" s="121">
        <f>(VLOOKUP($A265,Hitters!$A1:$R401,9,FALSE)-AVERAGE(Rankings!R2:R651))/STDEV(Rankings!R2:R651)</f>
        <v>0.38179327143266395</v>
      </c>
      <c r="L265" s="121">
        <f>(VLOOKUP($A265,Hitters!$A1:$R401,10,FALSE)-AVERAGE(Rankings!S2:S651))/STDEV(Rankings!S2:S651)</f>
        <v>0.41582369709228861</v>
      </c>
      <c r="M265" s="121">
        <f>(VLOOKUP($A265,Hitters!$A1:$R401,11,FALSE)-AVERAGE(Rankings!T2:T651))/STDEV(Rankings!T2:T651)</f>
        <v>1.1498366248590406</v>
      </c>
      <c r="N265" s="121">
        <f>(VLOOKUP($A265,Hitters!$A1:$R401,12,FALSE)-AVERAGE(Rankings!U2:U651))/STDEV(Rankings!U2:U651)</f>
        <v>0.62399923154129744</v>
      </c>
      <c r="O265" s="121">
        <f>(VLOOKUP($A265,Hitters!$A1:$R401,13,FALSE)-AVERAGE(Rankings!V2:V651))/STDEV(Rankings!V2:V651)</f>
        <v>3.1706988136314509</v>
      </c>
      <c r="P265" s="121">
        <f>(VLOOKUP($A265,Hitters!$A1:$R401,14,FALSE)-AVERAGE(Rankings!W2:W651))/STDEV(Rankings!W2:W651)</f>
        <v>0.92103199378849843</v>
      </c>
      <c r="Q265" s="121">
        <f>(VLOOKUP($A265,Hitters!$A1:$R401,15,FALSE)-AVERAGE(Rankings!X2:X651))/STDEV(Rankings!X2:X651)</f>
        <v>2.0100878114255094</v>
      </c>
      <c r="R265" s="121">
        <f>(VLOOKUP($A265,Hitters!$A1:$R401,16,FALSE)-AVERAGE(Rankings!Y2:Y651))/STDEV(Rankings!Y2:Y651)</f>
        <v>-0.66376343327194098</v>
      </c>
      <c r="S265" s="121">
        <f>(VLOOKUP($A265,Hitters!$A1:$R401,17,FALSE)-AVERAGE(Rankings!Z2:Z651))/STDEV(Rankings!Z2:Z651)</f>
        <v>-0.31993842784803767</v>
      </c>
      <c r="T265" s="121">
        <f>IFERROR((VLOOKUP($A265,Hitters!$A1:$R401,18,FALSE)-AVERAGE(Rankings!AA2:AA651))/STDEV(Rankings!AA2:AA651),0)</f>
        <v>0</v>
      </c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</row>
    <row r="266" spans="1:37" ht="18.600000000000001" customHeight="1">
      <c r="A266" s="25" t="s">
        <v>261</v>
      </c>
      <c r="B266" s="26" t="s">
        <v>219</v>
      </c>
      <c r="C266" s="126" t="s">
        <v>23</v>
      </c>
      <c r="D266" s="67">
        <f>(F266*Settings!$C$2)+(G266*Settings!$C$3)+(H266*Settings!$C$4)+(I266*Settings!$C$5)+(J266*Settings!$C$6)+(M266*Settings!$C$9)+(N266*Settings!$C$10)+(O266*Settings!$C$11)+(P266*Settings!$C$12)+(Q266*Settings!$C$13)+(T266*Settings!$C$16)+(K266*Settings!$C$7)+(L266*Settings!$C$8)+(R266*Settings!$C$14)+(S266*Settings!$C$15)</f>
        <v>1.3186072209490365</v>
      </c>
      <c r="E266" s="67"/>
      <c r="F266" s="121">
        <f>(VLOOKUP($A266,Hitters!$A1:$R401,4,FALSE)-AVERAGE(Rankings!M2:M651))/STDEV(Rankings!M2:M651)</f>
        <v>0.30116964000310953</v>
      </c>
      <c r="G266" s="121">
        <f>(VLOOKUP($A266,Hitters!$A1:$R401,5,FALSE)-AVERAGE(Rankings!N2:N651))/STDEV(Rankings!N2:N651)</f>
        <v>0.29572098594997659</v>
      </c>
      <c r="H266" s="121">
        <f>(VLOOKUP($A266,Hitters!$A1:$R401,6,FALSE)-AVERAGE(Rankings!O2:O651))/STDEV(Rankings!O2:O651)</f>
        <v>0.8775577328240638</v>
      </c>
      <c r="I266" s="121">
        <f>(VLOOKUP($A266,Hitters!$A1:$R401,7,FALSE)-AVERAGE(Rankings!P2:P651))/STDEV(Rankings!P2:P651)</f>
        <v>0.67952103079081216</v>
      </c>
      <c r="J266" s="121">
        <f>(VLOOKUP($A266,Hitters!$A1:$R401,8,FALSE)-AVERAGE(Rankings!Q2:Q651))/STDEV(Rankings!Q2:Q651)</f>
        <v>-0.44523264670218016</v>
      </c>
      <c r="K266" s="121">
        <f>(VLOOKUP($A266,Hitters!$A1:$R401,9,FALSE)-AVERAGE(Rankings!R2:R651))/STDEV(Rankings!R2:R651)</f>
        <v>-8.8959881913635866E-2</v>
      </c>
      <c r="L266" s="121">
        <f>(VLOOKUP($A266,Hitters!$A1:$R401,10,FALSE)-AVERAGE(Rankings!S2:S651))/STDEV(Rankings!S2:S651)</f>
        <v>0.13356114426448765</v>
      </c>
      <c r="M266" s="121">
        <f>(VLOOKUP($A266,Hitters!$A1:$R401,11,FALSE)-AVERAGE(Rankings!T2:T651))/STDEV(Rankings!T2:T651)</f>
        <v>0.2053764200792576</v>
      </c>
      <c r="N266" s="121">
        <f>(VLOOKUP($A266,Hitters!$A1:$R401,12,FALSE)-AVERAGE(Rankings!U2:U651))/STDEV(Rankings!U2:U651)</f>
        <v>-4.355282909491897E-2</v>
      </c>
      <c r="O266" s="121">
        <f>(VLOOKUP($A266,Hitters!$A1:$R401,13,FALSE)-AVERAGE(Rankings!V2:V651))/STDEV(Rankings!V2:V651)</f>
        <v>0.68174487844289422</v>
      </c>
      <c r="P266" s="121">
        <f>(VLOOKUP($A266,Hitters!$A1:$R401,14,FALSE)-AVERAGE(Rankings!W2:W651))/STDEV(Rankings!W2:W651)</f>
        <v>0.34147468105453399</v>
      </c>
      <c r="Q266" s="121">
        <f>(VLOOKUP($A266,Hitters!$A1:$R401,15,FALSE)-AVERAGE(Rankings!X2:X651))/STDEV(Rankings!X2:X651)</f>
        <v>0.53052309882275661</v>
      </c>
      <c r="R266" s="121">
        <f>(VLOOKUP($A266,Hitters!$A1:$R401,16,FALSE)-AVERAGE(Rankings!Y2:Y651))/STDEV(Rankings!Y2:Y651)</f>
        <v>0.91666599492743006</v>
      </c>
      <c r="S266" s="121">
        <f>(VLOOKUP($A266,Hitters!$A1:$R401,17,FALSE)-AVERAGE(Rankings!Z2:Z651))/STDEV(Rankings!Z2:Z651)</f>
        <v>0.71967491851599585</v>
      </c>
      <c r="T266" s="121">
        <f>IFERROR((VLOOKUP($A266,Hitters!$A1:$R401,18,FALSE)-AVERAGE(Rankings!AA2:AA651))/STDEV(Rankings!AA2:AA651),0)</f>
        <v>0</v>
      </c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</row>
    <row r="267" spans="1:37" ht="18.600000000000001" customHeight="1">
      <c r="A267" s="25" t="s">
        <v>252</v>
      </c>
      <c r="B267" s="26" t="s">
        <v>142</v>
      </c>
      <c r="C267" s="126" t="s">
        <v>23</v>
      </c>
      <c r="D267" s="67">
        <f>(F267*Settings!$C$2)+(G267*Settings!$C$3)+(H267*Settings!$C$4)+(I267*Settings!$C$5)+(J267*Settings!$C$6)+(M267*Settings!$C$9)+(N267*Settings!$C$10)+(O267*Settings!$C$11)+(P267*Settings!$C$12)+(Q267*Settings!$C$13)+(T267*Settings!$C$16)+(K267*Settings!$C$7)+(L267*Settings!$C$8)+(R267*Settings!$C$14)+(S267*Settings!$C$15)</f>
        <v>1.4879561525249265</v>
      </c>
      <c r="E267" s="67"/>
      <c r="F267" s="121">
        <f>(VLOOKUP($A267,Hitters!$A1:$R401,4,FALSE)-AVERAGE(Rankings!M2:M651))/STDEV(Rankings!M2:M651)</f>
        <v>0.73211076976374967</v>
      </c>
      <c r="G267" s="121">
        <f>(VLOOKUP($A267,Hitters!$A1:$R401,5,FALSE)-AVERAGE(Rankings!N2:N651))/STDEV(Rankings!N2:N651)</f>
        <v>0.49000731720046875</v>
      </c>
      <c r="H267" s="121">
        <f>(VLOOKUP($A267,Hitters!$A1:$R401,6,FALSE)-AVERAGE(Rankings!O2:O651))/STDEV(Rankings!O2:O651)</f>
        <v>0.46403384577398543</v>
      </c>
      <c r="I267" s="121">
        <f>(VLOOKUP($A267,Hitters!$A1:$R401,7,FALSE)-AVERAGE(Rankings!P2:P651))/STDEV(Rankings!P2:P651)</f>
        <v>0.27410093961025006</v>
      </c>
      <c r="J267" s="121">
        <f>(VLOOKUP($A267,Hitters!$A1:$R401,8,FALSE)-AVERAGE(Rankings!Q2:Q651))/STDEV(Rankings!Q2:Q651)</f>
        <v>1.2062793834720684</v>
      </c>
      <c r="K267" s="121">
        <f>(VLOOKUP($A267,Hitters!$A1:$R401,9,FALSE)-AVERAGE(Rankings!R2:R651))/STDEV(Rankings!R2:R651)</f>
        <v>-0.94646533353184659</v>
      </c>
      <c r="L267" s="121">
        <f>(VLOOKUP($A267,Hitters!$A1:$R401,10,FALSE)-AVERAGE(Rankings!S2:S651))/STDEV(Rankings!S2:S651)</f>
        <v>-1.0402053412092194</v>
      </c>
      <c r="M267" s="121">
        <f>(VLOOKUP($A267,Hitters!$A1:$R401,11,FALSE)-AVERAGE(Rankings!T2:T651))/STDEV(Rankings!T2:T651)</f>
        <v>0.35004806994436882</v>
      </c>
      <c r="N267" s="121">
        <f>(VLOOKUP($A267,Hitters!$A1:$R401,12,FALSE)-AVERAGE(Rankings!U2:U651))/STDEV(Rankings!U2:U651)</f>
        <v>0.8153358094306602</v>
      </c>
      <c r="O267" s="121">
        <f>(VLOOKUP($A267,Hitters!$A1:$R401,13,FALSE)-AVERAGE(Rankings!V2:V651))/STDEV(Rankings!V2:V651)</f>
        <v>-0.20321652073526184</v>
      </c>
      <c r="P267" s="121">
        <f>(VLOOKUP($A267,Hitters!$A1:$R401,14,FALSE)-AVERAGE(Rankings!W2:W651))/STDEV(Rankings!W2:W651)</f>
        <v>0.15200402112227657</v>
      </c>
      <c r="Q267" s="121">
        <f>(VLOOKUP($A267,Hitters!$A1:$R401,15,FALSE)-AVERAGE(Rankings!X2:X651))/STDEV(Rankings!X2:X651)</f>
        <v>1.3521786012760642</v>
      </c>
      <c r="R267" s="121">
        <f>(VLOOKUP($A267,Hitters!$A1:$R401,16,FALSE)-AVERAGE(Rankings!Y2:Y651))/STDEV(Rankings!Y2:Y651)</f>
        <v>-0.27954913353202243</v>
      </c>
      <c r="S267" s="121">
        <f>(VLOOKUP($A267,Hitters!$A1:$R401,17,FALSE)-AVERAGE(Rankings!Z2:Z651))/STDEV(Rankings!Z2:Z651)</f>
        <v>-0.61179142332955716</v>
      </c>
      <c r="T267" s="121">
        <f>IFERROR((VLOOKUP($A267,Hitters!$A1:$R401,18,FALSE)-AVERAGE(Rankings!AA2:AA651))/STDEV(Rankings!AA2:AA651),0)</f>
        <v>0</v>
      </c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</row>
    <row r="268" spans="1:37" ht="18.600000000000001" customHeight="1">
      <c r="A268" s="25" t="s">
        <v>269</v>
      </c>
      <c r="B268" s="26" t="s">
        <v>79</v>
      </c>
      <c r="C268" s="126" t="s">
        <v>23</v>
      </c>
      <c r="D268" s="67">
        <f>(F268*Settings!$C$2)+(G268*Settings!$C$3)+(H268*Settings!$C$4)+(I268*Settings!$C$5)+(J268*Settings!$C$6)+(M268*Settings!$C$9)+(N268*Settings!$C$10)+(O268*Settings!$C$11)+(P268*Settings!$C$12)+(Q268*Settings!$C$13)+(T268*Settings!$C$16)+(K268*Settings!$C$7)+(L268*Settings!$C$8)+(R268*Settings!$C$14)+(S268*Settings!$C$15)</f>
        <v>1.1322131540879738</v>
      </c>
      <c r="E268" s="67"/>
      <c r="F268" s="121">
        <f>(VLOOKUP($A268,Hitters!$A1:$R401,4,FALSE)-AVERAGE(Rankings!M2:M651))/STDEV(Rankings!M2:M651)</f>
        <v>0.4082519813375744</v>
      </c>
      <c r="G268" s="121">
        <f>(VLOOKUP($A268,Hitters!$A1:$R401,5,FALSE)-AVERAGE(Rankings!N2:N651))/STDEV(Rankings!N2:N651)</f>
        <v>0.37161408409470098</v>
      </c>
      <c r="H268" s="121">
        <f>(VLOOKUP($A268,Hitters!$A1:$R401,6,FALSE)-AVERAGE(Rankings!O2:O651))/STDEV(Rankings!O2:O651)</f>
        <v>-0.60528044801207115</v>
      </c>
      <c r="I268" s="121">
        <f>(VLOOKUP($A268,Hitters!$A1:$R401,7,FALSE)-AVERAGE(Rankings!P2:P651))/STDEV(Rankings!P2:P651)</f>
        <v>-5.2701567348981897E-2</v>
      </c>
      <c r="J268" s="121">
        <f>(VLOOKUP($A268,Hitters!$A1:$R401,8,FALSE)-AVERAGE(Rankings!Q2:Q651))/STDEV(Rankings!Q2:Q651)</f>
        <v>-0.63598479608400815</v>
      </c>
      <c r="K268" s="121">
        <f>(VLOOKUP($A268,Hitters!$A1:$R401,9,FALSE)-AVERAGE(Rankings!R2:R651))/STDEV(Rankings!R2:R651)</f>
        <v>2.0545658814383341</v>
      </c>
      <c r="L268" s="121">
        <f>(VLOOKUP($A268,Hitters!$A1:$R401,10,FALSE)-AVERAGE(Rankings!S2:S651))/STDEV(Rankings!S2:S651)</f>
        <v>1.5858957311581114</v>
      </c>
      <c r="M268" s="121">
        <f>(VLOOKUP($A268,Hitters!$A1:$R401,11,FALSE)-AVERAGE(Rankings!T2:T651))/STDEV(Rankings!T2:T651)</f>
        <v>0.81681886479218091</v>
      </c>
      <c r="N268" s="121">
        <f>(VLOOKUP($A268,Hitters!$A1:$R401,12,FALSE)-AVERAGE(Rankings!U2:U651))/STDEV(Rankings!U2:U651)</f>
        <v>0.65376269921298491</v>
      </c>
      <c r="O268" s="121">
        <f>(VLOOKUP($A268,Hitters!$A1:$R401,13,FALSE)-AVERAGE(Rankings!V2:V651))/STDEV(Rankings!V2:V651)</f>
        <v>0.32222931002676414</v>
      </c>
      <c r="P268" s="121">
        <f>(VLOOKUP($A268,Hitters!$A1:$R401,14,FALSE)-AVERAGE(Rankings!W2:W651))/STDEV(Rankings!W2:W651)</f>
        <v>0.21887601874542645</v>
      </c>
      <c r="Q268" s="121">
        <f>(VLOOKUP($A268,Hitters!$A1:$R401,15,FALSE)-AVERAGE(Rankings!X2:X651))/STDEV(Rankings!X2:X651)</f>
        <v>-1.0153198749506078</v>
      </c>
      <c r="R268" s="121">
        <f>(VLOOKUP($A268,Hitters!$A1:$R401,16,FALSE)-AVERAGE(Rankings!Y2:Y651))/STDEV(Rankings!Y2:Y651)</f>
        <v>0.14705221611909119</v>
      </c>
      <c r="S268" s="121">
        <f>(VLOOKUP($A268,Hitters!$A1:$R401,17,FALSE)-AVERAGE(Rankings!Z2:Z651))/STDEV(Rankings!Z2:Z651)</f>
        <v>0.72954218157814732</v>
      </c>
      <c r="T268" s="121">
        <f>IFERROR((VLOOKUP($A268,Hitters!$A1:$R401,18,FALSE)-AVERAGE(Rankings!AA2:AA651))/STDEV(Rankings!AA2:AA651),0)</f>
        <v>0</v>
      </c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</row>
    <row r="269" spans="1:37" ht="18.600000000000001" customHeight="1">
      <c r="A269" s="25" t="s">
        <v>279</v>
      </c>
      <c r="B269" s="26" t="s">
        <v>219</v>
      </c>
      <c r="C269" s="126" t="s">
        <v>23</v>
      </c>
      <c r="D269" s="67">
        <f>(F269*Settings!$C$2)+(G269*Settings!$C$3)+(H269*Settings!$C$4)+(I269*Settings!$C$5)+(J269*Settings!$C$6)+(M269*Settings!$C$9)+(N269*Settings!$C$10)+(O269*Settings!$C$11)+(P269*Settings!$C$12)+(Q269*Settings!$C$13)+(T269*Settings!$C$16)+(K269*Settings!$C$7)+(L269*Settings!$C$8)+(R269*Settings!$C$14)+(S269*Settings!$C$15)</f>
        <v>0.96552144912749704</v>
      </c>
      <c r="E269" s="67"/>
      <c r="F269" s="121">
        <f>(VLOOKUP($A269,Hitters!$A1:$R401,4,FALSE)-AVERAGE(Rankings!M2:M651))/STDEV(Rankings!M2:M651)</f>
        <v>0.73733429860933597</v>
      </c>
      <c r="G269" s="121">
        <f>(VLOOKUP($A269,Hitters!$A1:$R401,5,FALSE)-AVERAGE(Rankings!N2:N651))/STDEV(Rankings!N2:N651)</f>
        <v>0.86643708399829555</v>
      </c>
      <c r="H269" s="121">
        <f>(VLOOKUP($A269,Hitters!$A1:$R401,6,FALSE)-AVERAGE(Rankings!O2:O651))/STDEV(Rankings!O2:O651)</f>
        <v>0.66870728481898201</v>
      </c>
      <c r="I269" s="121">
        <f>(VLOOKUP($A269,Hitters!$A1:$R401,7,FALSE)-AVERAGE(Rankings!P2:P651))/STDEV(Rankings!P2:P651)</f>
        <v>0.5561993300514767</v>
      </c>
      <c r="J269" s="121">
        <f>(VLOOKUP($A269,Hitters!$A1:$R401,8,FALSE)-AVERAGE(Rankings!Q2:Q651))/STDEV(Rankings!Q2:Q651)</f>
        <v>-0.25950029072513803</v>
      </c>
      <c r="K269" s="121">
        <f>(VLOOKUP($A269,Hitters!$A1:$R401,9,FALSE)-AVERAGE(Rankings!R2:R651))/STDEV(Rankings!R2:R651)</f>
        <v>-0.86632195901611908</v>
      </c>
      <c r="L269" s="121">
        <f>(VLOOKUP($A269,Hitters!$A1:$R401,10,FALSE)-AVERAGE(Rankings!S2:S651))/STDEV(Rankings!S2:S651)</f>
        <v>-7.6832310793521555E-2</v>
      </c>
      <c r="M269" s="121">
        <f>(VLOOKUP($A269,Hitters!$A1:$R401,11,FALSE)-AVERAGE(Rankings!T2:T651))/STDEV(Rankings!T2:T651)</f>
        <v>0.37552483847409229</v>
      </c>
      <c r="N269" s="121">
        <f>(VLOOKUP($A269,Hitters!$A1:$R401,12,FALSE)-AVERAGE(Rankings!U2:U651))/STDEV(Rankings!U2:U651)</f>
        <v>1.0661993226633844</v>
      </c>
      <c r="O269" s="121">
        <f>(VLOOKUP($A269,Hitters!$A1:$R401,13,FALSE)-AVERAGE(Rankings!V2:V651))/STDEV(Rankings!V2:V651)</f>
        <v>1.1518806217562829</v>
      </c>
      <c r="P269" s="121">
        <f>(VLOOKUP($A269,Hitters!$A1:$R401,14,FALSE)-AVERAGE(Rankings!W2:W651))/STDEV(Rankings!W2:W651)</f>
        <v>1.0547759890347976</v>
      </c>
      <c r="Q269" s="121">
        <f>(VLOOKUP($A269,Hitters!$A1:$R401,15,FALSE)-AVERAGE(Rankings!X2:X651))/STDEV(Rankings!X2:X651)</f>
        <v>1.2127993167555047</v>
      </c>
      <c r="R269" s="121">
        <f>(VLOOKUP($A269,Hitters!$A1:$R401,16,FALSE)-AVERAGE(Rankings!Y2:Y651))/STDEV(Rankings!Y2:Y651)</f>
        <v>0.23460557835970125</v>
      </c>
      <c r="S269" s="121">
        <f>(VLOOKUP($A269,Hitters!$A1:$R401,17,FALSE)-AVERAGE(Rankings!Z2:Z651))/STDEV(Rankings!Z2:Z651)</f>
        <v>0.14061290358223158</v>
      </c>
      <c r="T269" s="121">
        <f>IFERROR((VLOOKUP($A269,Hitters!$A1:$R401,18,FALSE)-AVERAGE(Rankings!AA2:AA651))/STDEV(Rankings!AA2:AA651),0)</f>
        <v>0</v>
      </c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</row>
    <row r="270" spans="1:37" ht="18.600000000000001" customHeight="1">
      <c r="A270" s="25" t="s">
        <v>282</v>
      </c>
      <c r="B270" s="26" t="s">
        <v>219</v>
      </c>
      <c r="C270" s="126" t="s">
        <v>23</v>
      </c>
      <c r="D270" s="67">
        <f>(F270*Settings!$C$2)+(G270*Settings!$C$3)+(H270*Settings!$C$4)+(I270*Settings!$C$5)+(J270*Settings!$C$6)+(M270*Settings!$C$9)+(N270*Settings!$C$10)+(O270*Settings!$C$11)+(P270*Settings!$C$12)+(Q270*Settings!$C$13)+(T270*Settings!$C$16)+(K270*Settings!$C$7)+(L270*Settings!$C$8)+(R270*Settings!$C$14)+(S270*Settings!$C$15)</f>
        <v>0.94078073392239037</v>
      </c>
      <c r="E270" s="67"/>
      <c r="F270" s="121">
        <f>(VLOOKUP($A270,Hitters!$A1:$R401,4,FALSE)-AVERAGE(Rankings!M2:M651))/STDEV(Rankings!M2:M651)</f>
        <v>0.52055785151761724</v>
      </c>
      <c r="G270" s="121">
        <f>(VLOOKUP($A270,Hitters!$A1:$R401,5,FALSE)-AVERAGE(Rankings!N2:N651))/STDEV(Rankings!N2:N651)</f>
        <v>0.4884894552375757</v>
      </c>
      <c r="H270" s="121">
        <f>(VLOOKUP($A270,Hitters!$A1:$R401,6,FALSE)-AVERAGE(Rankings!O2:O651))/STDEV(Rankings!O2:O651)</f>
        <v>0.41808674721287403</v>
      </c>
      <c r="I270" s="121">
        <f>(VLOOKUP($A270,Hitters!$A1:$R401,7,FALSE)-AVERAGE(Rankings!P2:P651))/STDEV(Rankings!P2:P651)</f>
        <v>0.60090344656948669</v>
      </c>
      <c r="J270" s="121">
        <f>(VLOOKUP($A270,Hitters!$A1:$R401,8,FALSE)-AVERAGE(Rankings!Q2:Q651))/STDEV(Rankings!Q2:Q651)</f>
        <v>-0.56068789501223415</v>
      </c>
      <c r="K270" s="121">
        <f>(VLOOKUP($A270,Hitters!$A1:$R401,9,FALSE)-AVERAGE(Rankings!R2:R651))/STDEV(Rankings!R2:R651)</f>
        <v>-6.0110200853119569E-3</v>
      </c>
      <c r="L270" s="121">
        <f>(VLOOKUP($A270,Hitters!$A1:$R401,10,FALSE)-AVERAGE(Rankings!S2:S651))/STDEV(Rankings!S2:S651)</f>
        <v>0.90663835525059511</v>
      </c>
      <c r="M270" s="121">
        <f>(VLOOKUP($A270,Hitters!$A1:$R401,11,FALSE)-AVERAGE(Rankings!T2:T651))/STDEV(Rankings!T2:T651)</f>
        <v>0.41555976044932502</v>
      </c>
      <c r="N270" s="121">
        <f>(VLOOKUP($A270,Hitters!$A1:$R401,12,FALSE)-AVERAGE(Rankings!U2:U651))/STDEV(Rankings!U2:U651)</f>
        <v>0.24557799971567792</v>
      </c>
      <c r="O270" s="121">
        <f>(VLOOKUP($A270,Hitters!$A1:$R401,13,FALSE)-AVERAGE(Rankings!V2:V651))/STDEV(Rankings!V2:V651)</f>
        <v>-0.47976695797843194</v>
      </c>
      <c r="P270" s="121">
        <f>(VLOOKUP($A270,Hitters!$A1:$R401,14,FALSE)-AVERAGE(Rankings!W2:W651))/STDEV(Rankings!W2:W651)</f>
        <v>1.2033804281973544</v>
      </c>
      <c r="Q270" s="121">
        <f>(VLOOKUP($A270,Hitters!$A1:$R401,15,FALSE)-AVERAGE(Rankings!X2:X651))/STDEV(Rankings!X2:X651)</f>
        <v>0.74787680824989688</v>
      </c>
      <c r="R270" s="121">
        <f>(VLOOKUP($A270,Hitters!$A1:$R401,16,FALSE)-AVERAGE(Rankings!Y2:Y651))/STDEV(Rankings!Y2:Y651)</f>
        <v>7.7108298702207437E-2</v>
      </c>
      <c r="S270" s="121">
        <f>(VLOOKUP($A270,Hitters!$A1:$R401,17,FALSE)-AVERAGE(Rankings!Z2:Z651))/STDEV(Rankings!Z2:Z651)</f>
        <v>0.4120048065468585</v>
      </c>
      <c r="T270" s="121">
        <f>IFERROR((VLOOKUP($A270,Hitters!$A1:$R401,18,FALSE)-AVERAGE(Rankings!AA2:AA651))/STDEV(Rankings!AA2:AA651),0)</f>
        <v>0</v>
      </c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</row>
    <row r="271" spans="1:37" ht="18.600000000000001" customHeight="1">
      <c r="A271" s="25" t="s">
        <v>283</v>
      </c>
      <c r="B271" s="26" t="s">
        <v>97</v>
      </c>
      <c r="C271" s="126" t="s">
        <v>23</v>
      </c>
      <c r="D271" s="67">
        <f>(F271*Settings!$C$2)+(G271*Settings!$C$3)+(H271*Settings!$C$4)+(I271*Settings!$C$5)+(J271*Settings!$C$6)+(M271*Settings!$C$9)+(N271*Settings!$C$10)+(O271*Settings!$C$11)+(P271*Settings!$C$12)+(Q271*Settings!$C$13)+(T271*Settings!$C$16)+(K271*Settings!$C$7)+(L271*Settings!$C$8)+(R271*Settings!$C$14)+(S271*Settings!$C$15)</f>
        <v>0.88276831856529758</v>
      </c>
      <c r="E271" s="67"/>
      <c r="F271" s="121">
        <f>(VLOOKUP($A271,Hitters!$A1:$R401,4,FALSE)-AVERAGE(Rankings!M2:M651))/STDEV(Rankings!M2:M651)</f>
        <v>0.63808725054324633</v>
      </c>
      <c r="G271" s="121">
        <f>(VLOOKUP($A271,Hitters!$A1:$R401,5,FALSE)-AVERAGE(Rankings!N2:N651))/STDEV(Rankings!N2:N651)</f>
        <v>0.7359009551893706</v>
      </c>
      <c r="H271" s="121">
        <f>(VLOOKUP($A271,Hitters!$A1:$R401,6,FALSE)-AVERAGE(Rankings!O2:O651))/STDEV(Rankings!O2:O651)</f>
        <v>-7.4800310079146837E-2</v>
      </c>
      <c r="I271" s="121">
        <f>(VLOOKUP($A271,Hitters!$A1:$R401,7,FALSE)-AVERAGE(Rankings!P2:P651))/STDEV(Rankings!P2:P651)</f>
        <v>0.38200742775717039</v>
      </c>
      <c r="J271" s="121">
        <f>(VLOOKUP($A271,Hitters!$A1:$R401,8,FALSE)-AVERAGE(Rankings!Q2:Q651))/STDEV(Rankings!Q2:Q651)</f>
        <v>-3.360958750981595E-2</v>
      </c>
      <c r="K271" s="121">
        <f>(VLOOKUP($A271,Hitters!$A1:$R401,9,FALSE)-AVERAGE(Rankings!R2:R651))/STDEV(Rankings!R2:R651)</f>
        <v>-0.12673016679228055</v>
      </c>
      <c r="L271" s="121">
        <f>(VLOOKUP($A271,Hitters!$A1:$R401,10,FALSE)-AVERAGE(Rankings!S2:S651))/STDEV(Rankings!S2:S651)</f>
        <v>0.67906716011286239</v>
      </c>
      <c r="M271" s="121">
        <f>(VLOOKUP($A271,Hitters!$A1:$R401,11,FALSE)-AVERAGE(Rankings!T2:T651))/STDEV(Rankings!T2:T651)</f>
        <v>0.48653075849636063</v>
      </c>
      <c r="N271" s="121">
        <f>(VLOOKUP($A271,Hitters!$A1:$R401,12,FALSE)-AVERAGE(Rankings!U2:U651))/STDEV(Rankings!U2:U651)</f>
        <v>0.32636455482451532</v>
      </c>
      <c r="O271" s="121">
        <f>(VLOOKUP($A271,Hitters!$A1:$R401,13,FALSE)-AVERAGE(Rankings!V2:V651))/STDEV(Rankings!V2:V651)</f>
        <v>0.10098896023223117</v>
      </c>
      <c r="P271" s="121">
        <f>(VLOOKUP($A271,Hitters!$A1:$R401,14,FALSE)-AVERAGE(Rankings!W2:W651))/STDEV(Rankings!W2:W651)</f>
        <v>1.1699444293857795</v>
      </c>
      <c r="Q271" s="121">
        <f>(VLOOKUP($A271,Hitters!$A1:$R401,15,FALSE)-AVERAGE(Rankings!X2:X651))/STDEV(Rankings!X2:X651)</f>
        <v>0.44377655111415309</v>
      </c>
      <c r="R271" s="121">
        <f>(VLOOKUP($A271,Hitters!$A1:$R401,16,FALSE)-AVERAGE(Rankings!Y2:Y651))/STDEV(Rankings!Y2:Y651)</f>
        <v>-0.58096149413676734</v>
      </c>
      <c r="S271" s="121">
        <f>(VLOOKUP($A271,Hitters!$A1:$R401,17,FALSE)-AVERAGE(Rankings!Z2:Z651))/STDEV(Rankings!Z2:Z651)</f>
        <v>-0.15633689808380791</v>
      </c>
      <c r="T271" s="121">
        <f>IFERROR((VLOOKUP($A271,Hitters!$A1:$R401,18,FALSE)-AVERAGE(Rankings!AA2:AA651))/STDEV(Rankings!AA2:AA651),0)</f>
        <v>0</v>
      </c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</row>
    <row r="272" spans="1:37" ht="18.600000000000001" customHeight="1">
      <c r="A272" s="25" t="s">
        <v>266</v>
      </c>
      <c r="B272" s="26" t="s">
        <v>225</v>
      </c>
      <c r="C272" s="126" t="s">
        <v>23</v>
      </c>
      <c r="D272" s="67">
        <f>(F272*Settings!$C$2)+(G272*Settings!$C$3)+(H272*Settings!$C$4)+(I272*Settings!$C$5)+(J272*Settings!$C$6)+(M272*Settings!$C$9)+(N272*Settings!$C$10)+(O272*Settings!$C$11)+(P272*Settings!$C$12)+(Q272*Settings!$C$13)+(T272*Settings!$C$16)+(K272*Settings!$C$7)+(L272*Settings!$C$8)+(R272*Settings!$C$14)+(S272*Settings!$C$15)</f>
        <v>1.1949367399963184</v>
      </c>
      <c r="E272" s="67"/>
      <c r="F272" s="121">
        <f>(VLOOKUP($A272,Hitters!$A1:$R401,4,FALSE)-AVERAGE(Rankings!M2:M651))/STDEV(Rankings!M2:M651)</f>
        <v>0.11573436598490031</v>
      </c>
      <c r="G272" s="121">
        <f>(VLOOKUP($A272,Hitters!$A1:$R401,5,FALSE)-AVERAGE(Rankings!N2:N651))/STDEV(Rankings!N2:N651)</f>
        <v>0.24411367921156632</v>
      </c>
      <c r="H272" s="121">
        <f>(VLOOKUP($A272,Hitters!$A1:$R401,6,FALSE)-AVERAGE(Rankings!O2:O651))/STDEV(Rankings!O2:O651)</f>
        <v>0.46403384577398543</v>
      </c>
      <c r="I272" s="121">
        <f>(VLOOKUP($A272,Hitters!$A1:$R401,7,FALSE)-AVERAGE(Rankings!P2:P651))/STDEV(Rankings!P2:P651)</f>
        <v>0.13844706879698415</v>
      </c>
      <c r="J272" s="121">
        <f>(VLOOKUP($A272,Hitters!$A1:$R401,8,FALSE)-AVERAGE(Rankings!Q2:Q651))/STDEV(Rankings!Q2:Q651)</f>
        <v>0.72939901001749452</v>
      </c>
      <c r="K272" s="121">
        <f>(VLOOKUP($A272,Hitters!$A1:$R401,9,FALSE)-AVERAGE(Rankings!R2:R651))/STDEV(Rankings!R2:R651)</f>
        <v>-0.3810568638037119</v>
      </c>
      <c r="L272" s="121">
        <f>(VLOOKUP($A272,Hitters!$A1:$R401,10,FALSE)-AVERAGE(Rankings!S2:S651))/STDEV(Rankings!S2:S651)</f>
        <v>0.7898427366155597</v>
      </c>
      <c r="M272" s="121">
        <f>(VLOOKUP($A272,Hitters!$A1:$R401,11,FALSE)-AVERAGE(Rankings!T2:T651))/STDEV(Rankings!T2:T651)</f>
        <v>-1.9365073736346258E-2</v>
      </c>
      <c r="N272" s="121">
        <f>(VLOOKUP($A272,Hitters!$A1:$R401,12,FALSE)-AVERAGE(Rankings!U2:U651))/STDEV(Rankings!U2:U651)</f>
        <v>-0.23488940698428165</v>
      </c>
      <c r="O272" s="121">
        <f>(VLOOKUP($A272,Hitters!$A1:$R401,13,FALSE)-AVERAGE(Rankings!V2:V651))/STDEV(Rankings!V2:V651)</f>
        <v>-0.53507704542706924</v>
      </c>
      <c r="P272" s="121">
        <f>(VLOOKUP($A272,Hitters!$A1:$R401,14,FALSE)-AVERAGE(Rankings!W2:W651))/STDEV(Rankings!W2:W651)</f>
        <v>0.97675865847445642</v>
      </c>
      <c r="Q272" s="121">
        <f>(VLOOKUP($A272,Hitters!$A1:$R401,15,FALSE)-AVERAGE(Rankings!X2:X651))/STDEV(Rankings!X2:X651)</f>
        <v>0.60070008123869723</v>
      </c>
      <c r="R272" s="121">
        <f>(VLOOKUP($A272,Hitters!$A1:$R401,16,FALSE)-AVERAGE(Rankings!Y2:Y651))/STDEV(Rankings!Y2:Y651)</f>
        <v>0.24374509608128189</v>
      </c>
      <c r="S272" s="121">
        <f>(VLOOKUP($A272,Hitters!$A1:$R401,17,FALSE)-AVERAGE(Rankings!Z2:Z651))/STDEV(Rankings!Z2:Z651)</f>
        <v>0.48745610950479329</v>
      </c>
      <c r="T272" s="121">
        <f>IFERROR((VLOOKUP($A272,Hitters!$A1:$R401,18,FALSE)-AVERAGE(Rankings!AA2:AA651))/STDEV(Rankings!AA2:AA651),0)</f>
        <v>0</v>
      </c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</row>
    <row r="273" spans="1:37" ht="18.600000000000001" customHeight="1">
      <c r="A273" s="25" t="s">
        <v>295</v>
      </c>
      <c r="B273" s="26" t="s">
        <v>125</v>
      </c>
      <c r="C273" s="126" t="s">
        <v>23</v>
      </c>
      <c r="D273" s="67">
        <f>(F273*Settings!$C$2)+(G273*Settings!$C$3)+(H273*Settings!$C$4)+(I273*Settings!$C$5)+(J273*Settings!$C$6)+(M273*Settings!$C$9)+(N273*Settings!$C$10)+(O273*Settings!$C$11)+(P273*Settings!$C$12)+(Q273*Settings!$C$13)+(T273*Settings!$C$16)+(K273*Settings!$C$7)+(L273*Settings!$C$8)+(R273*Settings!$C$14)+(S273*Settings!$C$15)</f>
        <v>0.64708848619301829</v>
      </c>
      <c r="E273" s="67"/>
      <c r="F273" s="121">
        <f>(VLOOKUP($A273,Hitters!$A1:$R401,4,FALSE)-AVERAGE(Rankings!M2:M651))/STDEV(Rankings!M2:M651)</f>
        <v>0.72427547649537438</v>
      </c>
      <c r="G273" s="121">
        <f>(VLOOKUP($A273,Hitters!$A1:$R401,5,FALSE)-AVERAGE(Rankings!N2:N651))/STDEV(Rankings!N2:N651)</f>
        <v>0.60991841226912924</v>
      </c>
      <c r="H273" s="121">
        <f>(VLOOKUP($A273,Hitters!$A1:$R401,6,FALSE)-AVERAGE(Rankings!O2:O651))/STDEV(Rankings!O2:O651)</f>
        <v>-0.12492441760036826</v>
      </c>
      <c r="I273" s="121">
        <f>(VLOOKUP($A273,Hitters!$A1:$R401,7,FALSE)-AVERAGE(Rankings!P2:P651))/STDEV(Rankings!P2:P651)</f>
        <v>0.22631378057375987</v>
      </c>
      <c r="J273" s="121">
        <f>(VLOOKUP($A273,Hitters!$A1:$R401,8,FALSE)-AVERAGE(Rankings!Q2:Q651))/STDEV(Rankings!Q2:Q651)</f>
        <v>-0.15910442262943889</v>
      </c>
      <c r="K273" s="121">
        <f>(VLOOKUP($A273,Hitters!$A1:$R401,9,FALSE)-AVERAGE(Rankings!R2:R651))/STDEV(Rankings!R2:R651)</f>
        <v>9.4885133579936318E-2</v>
      </c>
      <c r="L273" s="121">
        <f>(VLOOKUP($A273,Hitters!$A1:$R401,10,FALSE)-AVERAGE(Rankings!S2:S651))/STDEV(Rankings!S2:S651)</f>
        <v>0.3454408850050566</v>
      </c>
      <c r="M273" s="121">
        <f>(VLOOKUP($A273,Hitters!$A1:$R401,11,FALSE)-AVERAGE(Rankings!T2:T651))/STDEV(Rankings!T2:T651)</f>
        <v>0.61937390868697506</v>
      </c>
      <c r="N273" s="121">
        <f>(VLOOKUP($A273,Hitters!$A1:$R401,12,FALSE)-AVERAGE(Rankings!U2:U651))/STDEV(Rankings!U2:U651)</f>
        <v>1.2958032161306197</v>
      </c>
      <c r="O273" s="121">
        <f>(VLOOKUP($A273,Hitters!$A1:$R401,13,FALSE)-AVERAGE(Rankings!V2:V651))/STDEV(Rankings!V2:V651)</f>
        <v>1.3731209715508237</v>
      </c>
      <c r="P273" s="121">
        <f>(VLOOKUP($A273,Hitters!$A1:$R401,14,FALSE)-AVERAGE(Rankings!W2:W651))/STDEV(Rankings!W2:W651)</f>
        <v>0.72041600091904923</v>
      </c>
      <c r="Q273" s="121">
        <f>(VLOOKUP($A273,Hitters!$A1:$R401,15,FALSE)-AVERAGE(Rankings!X2:X651))/STDEV(Rankings!X2:X651)</f>
        <v>0.54514330349274431</v>
      </c>
      <c r="R273" s="121">
        <f>(VLOOKUP($A273,Hitters!$A1:$R401,16,FALSE)-AVERAGE(Rankings!Y2:Y651))/STDEV(Rankings!Y2:Y651)</f>
        <v>-0.10100075735446305</v>
      </c>
      <c r="S273" s="121">
        <f>(VLOOKUP($A273,Hitters!$A1:$R401,17,FALSE)-AVERAGE(Rankings!Z2:Z651))/STDEV(Rankings!Z2:Z651)</f>
        <v>6.2074410989250671E-2</v>
      </c>
      <c r="T273" s="121">
        <f>IFERROR((VLOOKUP($A273,Hitters!$A1:$R401,18,FALSE)-AVERAGE(Rankings!AA2:AA651))/STDEV(Rankings!AA2:AA651),0)</f>
        <v>0</v>
      </c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</row>
    <row r="274" spans="1:37" ht="18.600000000000001" customHeight="1">
      <c r="A274" s="25" t="s">
        <v>290</v>
      </c>
      <c r="B274" s="26" t="s">
        <v>64</v>
      </c>
      <c r="C274" s="126" t="s">
        <v>23</v>
      </c>
      <c r="D274" s="67">
        <f>(F274*Settings!$C$2)+(G274*Settings!$C$3)+(H274*Settings!$C$4)+(I274*Settings!$C$5)+(J274*Settings!$C$6)+(M274*Settings!$C$9)+(N274*Settings!$C$10)+(O274*Settings!$C$11)+(P274*Settings!$C$12)+(Q274*Settings!$C$13)+(T274*Settings!$C$16)+(K274*Settings!$C$7)+(L274*Settings!$C$8)+(R274*Settings!$C$14)+(S274*Settings!$C$15)</f>
        <v>0.75129350695301134</v>
      </c>
      <c r="E274" s="67"/>
      <c r="F274" s="121">
        <f>(VLOOKUP($A274,Hitters!$A1:$R401,4,FALSE)-AVERAGE(Rankings!M2:M651))/STDEV(Rankings!M2:M651)</f>
        <v>0.58585196208741686</v>
      </c>
      <c r="G274" s="121">
        <f>(VLOOKUP($A274,Hitters!$A1:$R401,5,FALSE)-AVERAGE(Rankings!N2:N651))/STDEV(Rankings!N2:N651)</f>
        <v>0.56893613927097864</v>
      </c>
      <c r="H274" s="121">
        <f>(VLOOKUP($A274,Hitters!$A1:$R401,6,FALSE)-AVERAGE(Rankings!O2:O651))/STDEV(Rankings!O2:O651)</f>
        <v>0.45150281889367988</v>
      </c>
      <c r="I274" s="121">
        <f>(VLOOKUP($A274,Hitters!$A1:$R401,7,FALSE)-AVERAGE(Rankings!P2:P651))/STDEV(Rankings!P2:P651)</f>
        <v>0.33576178997992012</v>
      </c>
      <c r="J274" s="121">
        <f>(VLOOKUP($A274,Hitters!$A1:$R401,8,FALSE)-AVERAGE(Rankings!Q2:Q651))/STDEV(Rankings!Q2:Q651)</f>
        <v>0.75951777044620428</v>
      </c>
      <c r="K274" s="121">
        <f>(VLOOKUP($A274,Hitters!$A1:$R401,9,FALSE)-AVERAGE(Rankings!R2:R651))/STDEV(Rankings!R2:R651)</f>
        <v>-1.3644250116377716</v>
      </c>
      <c r="L274" s="121">
        <f>(VLOOKUP($A274,Hitters!$A1:$R401,10,FALSE)-AVERAGE(Rankings!S2:S651))/STDEV(Rankings!S2:S651)</f>
        <v>-0.22628611665247367</v>
      </c>
      <c r="M274" s="121">
        <f>(VLOOKUP($A274,Hitters!$A1:$R401,11,FALSE)-AVERAGE(Rankings!T2:T651))/STDEV(Rankings!T2:T651)</f>
        <v>0.12621646071910259</v>
      </c>
      <c r="N274" s="121">
        <f>(VLOOKUP($A274,Hitters!$A1:$R401,12,FALSE)-AVERAGE(Rankings!U2:U651))/STDEV(Rankings!U2:U651)</f>
        <v>0.22431837995018894</v>
      </c>
      <c r="O274" s="121">
        <f>(VLOOKUP($A274,Hitters!$A1:$R401,13,FALSE)-AVERAGE(Rankings!V2:V651))/STDEV(Rankings!V2:V651)</f>
        <v>0.57112470354561962</v>
      </c>
      <c r="P274" s="121">
        <f>(VLOOKUP($A274,Hitters!$A1:$R401,14,FALSE)-AVERAGE(Rankings!W2:W651))/STDEV(Rankings!W2:W651)</f>
        <v>1.1550839854695221</v>
      </c>
      <c r="Q274" s="121">
        <f>(VLOOKUP($A274,Hitters!$A1:$R401,15,FALSE)-AVERAGE(Rankings!X2:X651))/STDEV(Rankings!X2:X651)</f>
        <v>1.2478878079634756</v>
      </c>
      <c r="R274" s="121">
        <f>(VLOOKUP($A274,Hitters!$A1:$R401,16,FALSE)-AVERAGE(Rankings!Y2:Y651))/STDEV(Rankings!Y2:Y651)</f>
        <v>-0.46517349408996633</v>
      </c>
      <c r="S274" s="121">
        <f>(VLOOKUP($A274,Hitters!$A1:$R401,17,FALSE)-AVERAGE(Rankings!Z2:Z651))/STDEV(Rankings!Z2:Z651)</f>
        <v>-0.42742641738060794</v>
      </c>
      <c r="T274" s="121">
        <f>IFERROR((VLOOKUP($A274,Hitters!$A1:$R401,18,FALSE)-AVERAGE(Rankings!AA2:AA651))/STDEV(Rankings!AA2:AA651),0)</f>
        <v>0</v>
      </c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</row>
    <row r="275" spans="1:37" ht="18.600000000000001" customHeight="1">
      <c r="A275" s="25" t="s">
        <v>294</v>
      </c>
      <c r="B275" s="26" t="s">
        <v>136</v>
      </c>
      <c r="C275" s="126" t="s">
        <v>23</v>
      </c>
      <c r="D275" s="67">
        <f>(F275*Settings!$C$2)+(G275*Settings!$C$3)+(H275*Settings!$C$4)+(I275*Settings!$C$5)+(J275*Settings!$C$6)+(M275*Settings!$C$9)+(N275*Settings!$C$10)+(O275*Settings!$C$11)+(P275*Settings!$C$12)+(Q275*Settings!$C$13)+(T275*Settings!$C$16)+(K275*Settings!$C$7)+(L275*Settings!$C$8)+(R275*Settings!$C$14)+(S275*Settings!$C$15)</f>
        <v>0.65303363231718292</v>
      </c>
      <c r="E275" s="67"/>
      <c r="F275" s="121">
        <f>(VLOOKUP($A275,Hitters!$A1:$R401,4,FALSE)-AVERAGE(Rankings!M2:M651))/STDEV(Rankings!M2:M651)</f>
        <v>0.76084017841446183</v>
      </c>
      <c r="G275" s="121">
        <f>(VLOOKUP($A275,Hitters!$A1:$R401,5,FALSE)-AVERAGE(Rankings!N2:N651))/STDEV(Rankings!N2:N651)</f>
        <v>0.10447037862527474</v>
      </c>
      <c r="H275" s="121">
        <f>(VLOOKUP($A275,Hitters!$A1:$R401,6,FALSE)-AVERAGE(Rankings!O2:O651))/STDEV(Rankings!O2:O651)</f>
        <v>0.31366152321032076</v>
      </c>
      <c r="I275" s="121">
        <f>(VLOOKUP($A275,Hitters!$A1:$R401,7,FALSE)-AVERAGE(Rankings!P2:P651))/STDEV(Rankings!P2:P651)</f>
        <v>0.51303673479271128</v>
      </c>
      <c r="J275" s="121">
        <f>(VLOOKUP($A275,Hitters!$A1:$R401,8,FALSE)-AVERAGE(Rankings!Q2:Q651))/STDEV(Rankings!Q2:Q651)</f>
        <v>-3.8629380914600463E-2</v>
      </c>
      <c r="K275" s="121">
        <f>(VLOOKUP($A275,Hitters!$A1:$R401,9,FALSE)-AVERAGE(Rankings!R2:R651))/STDEV(Rankings!R2:R651)</f>
        <v>-0.23950562339652334</v>
      </c>
      <c r="L275" s="121">
        <f>(VLOOKUP($A275,Hitters!$A1:$R401,10,FALSE)-AVERAGE(Rankings!S2:S651))/STDEV(Rankings!S2:S651)</f>
        <v>-0.86043692694572793</v>
      </c>
      <c r="M275" s="121">
        <f>(VLOOKUP($A275,Hitters!$A1:$R401,11,FALSE)-AVERAGE(Rankings!T2:T651))/STDEV(Rankings!T2:T651)</f>
        <v>0.56205117949513872</v>
      </c>
      <c r="N275" s="121">
        <f>(VLOOKUP($A275,Hitters!$A1:$R401,12,FALSE)-AVERAGE(Rankings!U2:U651))/STDEV(Rankings!U2:U651)</f>
        <v>-0.18386631954711843</v>
      </c>
      <c r="O275" s="121">
        <f>(VLOOKUP($A275,Hitters!$A1:$R401,13,FALSE)-AVERAGE(Rankings!V2:V651))/STDEV(Rankings!V2:V651)</f>
        <v>-0.86693757011887684</v>
      </c>
      <c r="P275" s="121">
        <f>(VLOOKUP($A275,Hitters!$A1:$R401,14,FALSE)-AVERAGE(Rankings!W2:W651))/STDEV(Rankings!W2:W651)</f>
        <v>-0.1990739663992592</v>
      </c>
      <c r="Q275" s="121">
        <f>(VLOOKUP($A275,Hitters!$A1:$R401,15,FALSE)-AVERAGE(Rankings!X2:X651))/STDEV(Rankings!X2:X651)</f>
        <v>1.2137739970668571</v>
      </c>
      <c r="R275" s="121">
        <f>(VLOOKUP($A275,Hitters!$A1:$R401,16,FALSE)-AVERAGE(Rankings!Y2:Y651))/STDEV(Rankings!Y2:Y651)</f>
        <v>-0.59871496508819244</v>
      </c>
      <c r="S275" s="121">
        <f>(VLOOKUP($A275,Hitters!$A1:$R401,17,FALSE)-AVERAGE(Rankings!Z2:Z651))/STDEV(Rankings!Z2:Z651)</f>
        <v>-0.77355160008407697</v>
      </c>
      <c r="T275" s="121">
        <f>IFERROR((VLOOKUP($A275,Hitters!$A1:$R401,18,FALSE)-AVERAGE(Rankings!AA2:AA651))/STDEV(Rankings!AA2:AA651),0)</f>
        <v>0</v>
      </c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</row>
    <row r="276" spans="1:37" ht="18.600000000000001" customHeight="1">
      <c r="A276" s="25" t="s">
        <v>311</v>
      </c>
      <c r="B276" s="26" t="s">
        <v>99</v>
      </c>
      <c r="C276" s="126" t="s">
        <v>23</v>
      </c>
      <c r="D276" s="67">
        <f>(F276*Settings!$C$2)+(G276*Settings!$C$3)+(H276*Settings!$C$4)+(I276*Settings!$C$5)+(J276*Settings!$C$6)+(M276*Settings!$C$9)+(N276*Settings!$C$10)+(O276*Settings!$C$11)+(P276*Settings!$C$12)+(Q276*Settings!$C$13)+(T276*Settings!$C$16)+(K276*Settings!$C$7)+(L276*Settings!$C$8)+(R276*Settings!$C$14)+(S276*Settings!$C$15)</f>
        <v>0.42171321141214124</v>
      </c>
      <c r="E276" s="67"/>
      <c r="F276" s="121">
        <f>(VLOOKUP($A276,Hitters!$A1:$R401,4,FALSE)-AVERAGE(Rankings!M2:M651))/STDEV(Rankings!M2:M651)</f>
        <v>0.23326376501052942</v>
      </c>
      <c r="G276" s="121">
        <f>(VLOOKUP($A276,Hitters!$A1:$R401,5,FALSE)-AVERAGE(Rankings!N2:N651))/STDEV(Rankings!N2:N651)</f>
        <v>0.3685783601689106</v>
      </c>
      <c r="H276" s="121">
        <f>(VLOOKUP($A276,Hitters!$A1:$R401,6,FALSE)-AVERAGE(Rankings!O2:O651))/STDEV(Rankings!O2:O651)</f>
        <v>0.3721396486517502</v>
      </c>
      <c r="I276" s="121">
        <f>(VLOOKUP($A276,Hitters!$A1:$R401,7,FALSE)-AVERAGE(Rankings!P2:P651))/STDEV(Rankings!P2:P651)</f>
        <v>0.30647288605432538</v>
      </c>
      <c r="J276" s="121">
        <f>(VLOOKUP($A276,Hitters!$A1:$R401,8,FALSE)-AVERAGE(Rankings!Q2:Q651))/STDEV(Rankings!Q2:Q651)</f>
        <v>-0.81167756525148038</v>
      </c>
      <c r="K276" s="121">
        <f>(VLOOKUP($A276,Hitters!$A1:$R401,9,FALSE)-AVERAGE(Rankings!R2:R651))/STDEV(Rankings!R2:R651)</f>
        <v>0.18619988178863545</v>
      </c>
      <c r="L276" s="121">
        <f>(VLOOKUP($A276,Hitters!$A1:$R401,10,FALSE)-AVERAGE(Rankings!S2:S651))/STDEV(Rankings!S2:S651)</f>
        <v>1.6736614102154936</v>
      </c>
      <c r="M276" s="121">
        <f>(VLOOKUP($A276,Hitters!$A1:$R401,11,FALSE)-AVERAGE(Rankings!T2:T651))/STDEV(Rankings!T2:T651)</f>
        <v>0.2099258430309997</v>
      </c>
      <c r="N276" s="121">
        <f>(VLOOKUP($A276,Hitters!$A1:$R401,12,FALSE)-AVERAGE(Rankings!U2:U651))/STDEV(Rankings!U2:U651)</f>
        <v>0.20731068413780529</v>
      </c>
      <c r="O276" s="121">
        <f>(VLOOKUP($A276,Hitters!$A1:$R401,13,FALSE)-AVERAGE(Rankings!V2:V651))/STDEV(Rankings!V2:V651)</f>
        <v>-0.89459261384319366</v>
      </c>
      <c r="P276" s="121">
        <f>(VLOOKUP($A276,Hitters!$A1:$R401,14,FALSE)-AVERAGE(Rankings!W2:W651))/STDEV(Rankings!W2:W651)</f>
        <v>1.5340253053340374</v>
      </c>
      <c r="Q276" s="121">
        <f>(VLOOKUP($A276,Hitters!$A1:$R401,15,FALSE)-AVERAGE(Rankings!X2:X651))/STDEV(Rankings!X2:X651)</f>
        <v>-6.8905292646738003E-2</v>
      </c>
      <c r="R276" s="121">
        <f>(VLOOKUP($A276,Hitters!$A1:$R401,16,FALSE)-AVERAGE(Rankings!Y2:Y651))/STDEV(Rankings!Y2:Y651)</f>
        <v>0.37617295490718489</v>
      </c>
      <c r="S276" s="121">
        <f>(VLOOKUP($A276,Hitters!$A1:$R401,17,FALSE)-AVERAGE(Rankings!Z2:Z651))/STDEV(Rankings!Z2:Z651)</f>
        <v>0.93077123113092775</v>
      </c>
      <c r="T276" s="121">
        <f>IFERROR((VLOOKUP($A276,Hitters!$A1:$R401,18,FALSE)-AVERAGE(Rankings!AA2:AA651))/STDEV(Rankings!AA2:AA651),0)</f>
        <v>0</v>
      </c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</row>
    <row r="277" spans="1:37" ht="18.600000000000001" customHeight="1">
      <c r="A277" s="25" t="s">
        <v>297</v>
      </c>
      <c r="B277" s="26" t="s">
        <v>160</v>
      </c>
      <c r="C277" s="126" t="s">
        <v>23</v>
      </c>
      <c r="D277" s="67">
        <f>(F277*Settings!$C$2)+(G277*Settings!$C$3)+(H277*Settings!$C$4)+(I277*Settings!$C$5)+(J277*Settings!$C$6)+(M277*Settings!$C$9)+(N277*Settings!$C$10)+(O277*Settings!$C$11)+(P277*Settings!$C$12)+(Q277*Settings!$C$13)+(T277*Settings!$C$16)+(K277*Settings!$C$7)+(L277*Settings!$C$8)+(R277*Settings!$C$14)+(S277*Settings!$C$15)</f>
        <v>0.63783345599734087</v>
      </c>
      <c r="E277" s="67"/>
      <c r="F277" s="121">
        <f>(VLOOKUP($A277,Hitters!$A1:$R401,4,FALSE)-AVERAGE(Rankings!M2:M651))/STDEV(Rankings!M2:M651)</f>
        <v>0.63025195727487104</v>
      </c>
      <c r="G277" s="121">
        <f>(VLOOKUP($A277,Hitters!$A1:$R401,5,FALSE)-AVERAGE(Rankings!N2:N651))/STDEV(Rankings!N2:N651)</f>
        <v>0.35491760250286031</v>
      </c>
      <c r="H277" s="121">
        <f>(VLOOKUP($A277,Hitters!$A1:$R401,6,FALSE)-AVERAGE(Rankings!O2:O651))/STDEV(Rankings!O2:O651)</f>
        <v>0.49327290849470617</v>
      </c>
      <c r="I277" s="121">
        <f>(VLOOKUP($A277,Hitters!$A1:$R401,7,FALSE)-AVERAGE(Rankings!P2:P651))/STDEV(Rankings!P2:P651)</f>
        <v>0.51149521353347127</v>
      </c>
      <c r="J277" s="121">
        <f>(VLOOKUP($A277,Hitters!$A1:$R401,8,FALSE)-AVERAGE(Rankings!Q2:Q651))/STDEV(Rankings!Q2:Q651)</f>
        <v>0.78963653087491381</v>
      </c>
      <c r="K277" s="121">
        <f>(VLOOKUP($A277,Hitters!$A1:$R401,9,FALSE)-AVERAGE(Rankings!R2:R651))/STDEV(Rankings!R2:R651)</f>
        <v>-1.5114887994086104</v>
      </c>
      <c r="L277" s="121">
        <f>(VLOOKUP($A277,Hitters!$A1:$R401,10,FALSE)-AVERAGE(Rankings!S2:S651))/STDEV(Rankings!S2:S651)</f>
        <v>-1.1128167273352172</v>
      </c>
      <c r="M277" s="121">
        <f>(VLOOKUP($A277,Hitters!$A1:$R401,11,FALSE)-AVERAGE(Rankings!T2:T651))/STDEV(Rankings!T2:T651)</f>
        <v>0.12257692235772528</v>
      </c>
      <c r="N277" s="121">
        <f>(VLOOKUP($A277,Hitters!$A1:$R401,12,FALSE)-AVERAGE(Rankings!U2:U651))/STDEV(Rankings!U2:U651)</f>
        <v>0.17329529251302531</v>
      </c>
      <c r="O277" s="121">
        <f>(VLOOKUP($A277,Hitters!$A1:$R401,13,FALSE)-AVERAGE(Rankings!V2:V651))/STDEV(Rankings!V2:V651)</f>
        <v>0.84767514078879813</v>
      </c>
      <c r="P277" s="121">
        <f>(VLOOKUP($A277,Hitters!$A1:$R401,14,FALSE)-AVERAGE(Rankings!W2:W651))/STDEV(Rankings!W2:W651)</f>
        <v>0.43992512199972855</v>
      </c>
      <c r="Q277" s="121">
        <f>(VLOOKUP($A277,Hitters!$A1:$R401,15,FALSE)-AVERAGE(Rankings!X2:X651))/STDEV(Rankings!X2:X651)</f>
        <v>1.0344328197816552</v>
      </c>
      <c r="R277" s="121">
        <f>(VLOOKUP($A277,Hitters!$A1:$R401,16,FALSE)-AVERAGE(Rankings!Y2:Y651))/STDEV(Rankings!Y2:Y651)</f>
        <v>-0.51935546583216352</v>
      </c>
      <c r="S277" s="121">
        <f>(VLOOKUP($A277,Hitters!$A1:$R401,17,FALSE)-AVERAGE(Rankings!Z2:Z651))/STDEV(Rankings!Z2:Z651)</f>
        <v>-0.81485018894982175</v>
      </c>
      <c r="T277" s="121">
        <f>IFERROR((VLOOKUP($A277,Hitters!$A1:$R401,18,FALSE)-AVERAGE(Rankings!AA2:AA651))/STDEV(Rankings!AA2:AA651),0)</f>
        <v>0</v>
      </c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</row>
    <row r="278" spans="1:37" ht="18.600000000000001" customHeight="1">
      <c r="A278" s="25" t="s">
        <v>307</v>
      </c>
      <c r="B278" s="26" t="s">
        <v>139</v>
      </c>
      <c r="C278" s="126" t="s">
        <v>23</v>
      </c>
      <c r="D278" s="67">
        <f>(F278*Settings!$C$2)+(G278*Settings!$C$3)+(H278*Settings!$C$4)+(I278*Settings!$C$5)+(J278*Settings!$C$6)+(M278*Settings!$C$9)+(N278*Settings!$C$10)+(O278*Settings!$C$11)+(P278*Settings!$C$12)+(Q278*Settings!$C$13)+(T278*Settings!$C$16)+(K278*Settings!$C$7)+(L278*Settings!$C$8)+(R278*Settings!$C$14)+(S278*Settings!$C$15)</f>
        <v>0.47245689308508632</v>
      </c>
      <c r="E278" s="67"/>
      <c r="F278" s="121">
        <f>(VLOOKUP($A278,Hitters!$A1:$R401,4,FALSE)-AVERAGE(Rankings!M2:M651))/STDEV(Rankings!M2:M651)</f>
        <v>0.42914609671991133</v>
      </c>
      <c r="G278" s="121">
        <f>(VLOOKUP($A278,Hitters!$A1:$R401,5,FALSE)-AVERAGE(Rankings!N2:N651))/STDEV(Rankings!N2:N651)</f>
        <v>0.29420312398708348</v>
      </c>
      <c r="H278" s="121">
        <f>(VLOOKUP($A278,Hitters!$A1:$R401,6,FALSE)-AVERAGE(Rankings!O2:O651))/STDEV(Rankings!O2:O651)</f>
        <v>0.26353741568909889</v>
      </c>
      <c r="I278" s="121">
        <f>(VLOOKUP($A278,Hitters!$A1:$R401,7,FALSE)-AVERAGE(Rankings!P2:P651))/STDEV(Rankings!P2:P651)</f>
        <v>0.43287762931214574</v>
      </c>
      <c r="J278" s="121">
        <f>(VLOOKUP($A278,Hitters!$A1:$R401,8,FALSE)-AVERAGE(Rankings!Q2:Q651))/STDEV(Rankings!Q2:Q651)</f>
        <v>6.1766487181098811E-2</v>
      </c>
      <c r="K278" s="121">
        <f>(VLOOKUP($A278,Hitters!$A1:$R401,9,FALSE)-AVERAGE(Rankings!R2:R651))/STDEV(Rankings!R2:R651)</f>
        <v>-0.57992776308434046</v>
      </c>
      <c r="L278" s="121">
        <f>(VLOOKUP($A278,Hitters!$A1:$R401,10,FALSE)-AVERAGE(Rankings!S2:S651))/STDEV(Rankings!S2:S651)</f>
        <v>0.31238758102585862</v>
      </c>
      <c r="M278" s="121">
        <f>(VLOOKUP($A278,Hitters!$A1:$R401,11,FALSE)-AVERAGE(Rankings!T2:T651))/STDEV(Rankings!T2:T651)</f>
        <v>0.19627757417580052</v>
      </c>
      <c r="N278" s="121">
        <f>(VLOOKUP($A278,Hitters!$A1:$R401,12,FALSE)-AVERAGE(Rankings!U2:U651))/STDEV(Rankings!U2:U651)</f>
        <v>0.23707415180947952</v>
      </c>
      <c r="O278" s="121">
        <f>(VLOOKUP($A278,Hitters!$A1:$R401,13,FALSE)-AVERAGE(Rankings!V2:V651))/STDEV(Rankings!V2:V651)</f>
        <v>-0.9222476575675117</v>
      </c>
      <c r="P278" s="121">
        <f>(VLOOKUP($A278,Hitters!$A1:$R401,14,FALSE)-AVERAGE(Rankings!W2:W651))/STDEV(Rankings!W2:W651)</f>
        <v>0.96189821455819902</v>
      </c>
      <c r="Q278" s="121">
        <f>(VLOOKUP($A278,Hitters!$A1:$R401,15,FALSE)-AVERAGE(Rankings!X2:X651))/STDEV(Rankings!X2:X651)</f>
        <v>0.36872616714156931</v>
      </c>
      <c r="R278" s="121">
        <f>(VLOOKUP($A278,Hitters!$A1:$R401,16,FALSE)-AVERAGE(Rankings!Y2:Y651))/STDEV(Rankings!Y2:Y651)</f>
        <v>-0.33708898022508382</v>
      </c>
      <c r="S278" s="121">
        <f>(VLOOKUP($A278,Hitters!$A1:$R401,17,FALSE)-AVERAGE(Rankings!Z2:Z651))/STDEV(Rankings!Z2:Z651)</f>
        <v>-0.12275042731722802</v>
      </c>
      <c r="T278" s="121">
        <f>IFERROR((VLOOKUP($A278,Hitters!$A1:$R401,18,FALSE)-AVERAGE(Rankings!AA2:AA651))/STDEV(Rankings!AA2:AA651),0)</f>
        <v>0</v>
      </c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</row>
    <row r="279" spans="1:37" ht="18.600000000000001" customHeight="1">
      <c r="A279" s="25" t="s">
        <v>314</v>
      </c>
      <c r="B279" s="26" t="s">
        <v>260</v>
      </c>
      <c r="C279" s="126" t="s">
        <v>23</v>
      </c>
      <c r="D279" s="67">
        <f>(F279*Settings!$C$2)+(G279*Settings!$C$3)+(H279*Settings!$C$4)+(I279*Settings!$C$5)+(J279*Settings!$C$6)+(M279*Settings!$C$9)+(N279*Settings!$C$10)+(O279*Settings!$C$11)+(P279*Settings!$C$12)+(Q279*Settings!$C$13)+(T279*Settings!$C$16)+(K279*Settings!$C$7)+(L279*Settings!$C$8)+(R279*Settings!$C$14)+(S279*Settings!$C$15)</f>
        <v>0.37470618331922323</v>
      </c>
      <c r="E279" s="67"/>
      <c r="F279" s="121">
        <f>(VLOOKUP($A279,Hitters!$A1:$R401,4,FALSE)-AVERAGE(Rankings!M2:M651))/STDEV(Rankings!M2:M651)</f>
        <v>0.49966373613528881</v>
      </c>
      <c r="G279" s="121">
        <f>(VLOOKUP($A279,Hitters!$A1:$R401,5,FALSE)-AVERAGE(Rankings!N2:N651))/STDEV(Rankings!N2:N651)</f>
        <v>0.36706049820601755</v>
      </c>
      <c r="H279" s="121">
        <f>(VLOOKUP($A279,Hitters!$A1:$R401,6,FALSE)-AVERAGE(Rankings!O2:O651))/STDEV(Rankings!O2:O651)</f>
        <v>0.26771442464920936</v>
      </c>
      <c r="I279" s="121">
        <f>(VLOOKUP($A279,Hitters!$A1:$R401,7,FALSE)-AVERAGE(Rankings!P2:P651))/STDEV(Rankings!P2:P651)</f>
        <v>0.43133610805290085</v>
      </c>
      <c r="J279" s="121">
        <f>(VLOOKUP($A279,Hitters!$A1:$R401,8,FALSE)-AVERAGE(Rankings!Q2:Q651))/STDEV(Rankings!Q2:Q651)</f>
        <v>-0.30467843136820238</v>
      </c>
      <c r="K279" s="121">
        <f>(VLOOKUP($A279,Hitters!$A1:$R401,9,FALSE)-AVERAGE(Rankings!R2:R651))/STDEV(Rankings!R2:R651)</f>
        <v>-0.38672641622070203</v>
      </c>
      <c r="L279" s="121">
        <f>(VLOOKUP($A279,Hitters!$A1:$R401,10,FALSE)-AVERAGE(Rankings!S2:S651))/STDEV(Rankings!S2:S651)</f>
        <v>0.10797557794434394</v>
      </c>
      <c r="M279" s="121">
        <f>(VLOOKUP($A279,Hitters!$A1:$R401,11,FALSE)-AVERAGE(Rankings!T2:T651))/STDEV(Rankings!T2:T651)</f>
        <v>0.30273407124635426</v>
      </c>
      <c r="N279" s="121">
        <f>(VLOOKUP($A279,Hitters!$A1:$R401,12,FALSE)-AVERAGE(Rankings!U2:U651))/STDEV(Rankings!U2:U651)</f>
        <v>0.34762417459000433</v>
      </c>
      <c r="O279" s="121">
        <f>(VLOOKUP($A279,Hitters!$A1:$R401,13,FALSE)-AVERAGE(Rankings!V2:V651))/STDEV(Rankings!V2:V651)</f>
        <v>1.3731209715508237</v>
      </c>
      <c r="P279" s="121">
        <f>(VLOOKUP($A279,Hitters!$A1:$R401,14,FALSE)-AVERAGE(Rankings!W2:W651))/STDEV(Rankings!W2:W651)</f>
        <v>0.68140733563887834</v>
      </c>
      <c r="Q279" s="121">
        <f>(VLOOKUP($A279,Hitters!$A1:$R401,15,FALSE)-AVERAGE(Rankings!X2:X651))/STDEV(Rankings!X2:X651)</f>
        <v>0.158195219893738</v>
      </c>
      <c r="R279" s="121">
        <f>(VLOOKUP($A279,Hitters!$A1:$R401,16,FALSE)-AVERAGE(Rankings!Y2:Y651))/STDEV(Rankings!Y2:Y651)</f>
        <v>8.4751792033238415E-3</v>
      </c>
      <c r="S279" s="121">
        <f>(VLOOKUP($A279,Hitters!$A1:$R401,17,FALSE)-AVERAGE(Rankings!Z2:Z651))/STDEV(Rankings!Z2:Z651)</f>
        <v>4.8552125783535079E-2</v>
      </c>
      <c r="T279" s="121">
        <f>IFERROR((VLOOKUP($A279,Hitters!$A1:$R401,18,FALSE)-AVERAGE(Rankings!AA2:AA651))/STDEV(Rankings!AA2:AA651),0)</f>
        <v>0</v>
      </c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</row>
    <row r="280" spans="1:37" ht="18.600000000000001" customHeight="1">
      <c r="A280" s="25" t="s">
        <v>326</v>
      </c>
      <c r="B280" s="26" t="s">
        <v>136</v>
      </c>
      <c r="C280" s="126" t="s">
        <v>23</v>
      </c>
      <c r="D280" s="67">
        <f>(F280*Settings!$C$2)+(G280*Settings!$C$3)+(H280*Settings!$C$4)+(I280*Settings!$C$5)+(J280*Settings!$C$6)+(M280*Settings!$C$9)+(N280*Settings!$C$10)+(O280*Settings!$C$11)+(P280*Settings!$C$12)+(Q280*Settings!$C$13)+(T280*Settings!$C$16)+(K280*Settings!$C$7)+(L280*Settings!$C$8)+(R280*Settings!$C$14)+(S280*Settings!$C$15)</f>
        <v>0.18038986133595669</v>
      </c>
      <c r="E280" s="67"/>
      <c r="F280" s="121">
        <f>(VLOOKUP($A280,Hitters!$A1:$R401,4,FALSE)-AVERAGE(Rankings!M2:M651))/STDEV(Rankings!M2:M651)</f>
        <v>0.56756961112786886</v>
      </c>
      <c r="G280" s="121">
        <f>(VLOOKUP($A280,Hitters!$A1:$R401,5,FALSE)-AVERAGE(Rankings!N2:N651))/STDEV(Rankings!N2:N651)</f>
        <v>0.35036401661417688</v>
      </c>
      <c r="H280" s="121">
        <f>(VLOOKUP($A280,Hitters!$A1:$R401,6,FALSE)-AVERAGE(Rankings!O2:O651))/STDEV(Rankings!O2:O651)</f>
        <v>1.0905851897892556</v>
      </c>
      <c r="I280" s="121">
        <f>(VLOOKUP($A280,Hitters!$A1:$R401,7,FALSE)-AVERAGE(Rankings!P2:P651))/STDEV(Rankings!P2:P651)</f>
        <v>0.69185320086474689</v>
      </c>
      <c r="J280" s="121">
        <f>(VLOOKUP($A280,Hitters!$A1:$R401,8,FALSE)-AVERAGE(Rankings!Q2:Q651))/STDEV(Rankings!Q2:Q651)</f>
        <v>-0.80163797844191087</v>
      </c>
      <c r="K280" s="121">
        <f>(VLOOKUP($A280,Hitters!$A1:$R401,9,FALSE)-AVERAGE(Rankings!R2:R651))/STDEV(Rankings!R2:R651)</f>
        <v>-1.1507745674903114</v>
      </c>
      <c r="L280" s="121">
        <f>(VLOOKUP($A280,Hitters!$A1:$R401,10,FALSE)-AVERAGE(Rankings!S2:S651))/STDEV(Rankings!S2:S651)</f>
        <v>-0.20434130128146311</v>
      </c>
      <c r="M280" s="121">
        <f>(VLOOKUP($A280,Hitters!$A1:$R401,11,FALSE)-AVERAGE(Rankings!T2:T651))/STDEV(Rankings!T2:T651)</f>
        <v>0.16625138269436249</v>
      </c>
      <c r="N280" s="121">
        <f>(VLOOKUP($A280,Hitters!$A1:$R401,12,FALSE)-AVERAGE(Rankings!U2:U651))/STDEV(Rankings!U2:U651)</f>
        <v>0.32211263087142272</v>
      </c>
      <c r="O280" s="121">
        <f>(VLOOKUP($A280,Hitters!$A1:$R401,13,FALSE)-AVERAGE(Rankings!V2:V651))/STDEV(Rankings!V2:V651)</f>
        <v>-0.89459261384319366</v>
      </c>
      <c r="P280" s="121">
        <f>(VLOOKUP($A280,Hitters!$A1:$R401,14,FALSE)-AVERAGE(Rankings!W2:W651))/STDEV(Rankings!W2:W651)</f>
        <v>1.0009068798383696</v>
      </c>
      <c r="Q280" s="121">
        <f>(VLOOKUP($A280,Hitters!$A1:$R401,15,FALSE)-AVERAGE(Rankings!X2:X651))/STDEV(Rankings!X2:X651)</f>
        <v>1.3960392152860273</v>
      </c>
      <c r="R280" s="121">
        <f>(VLOOKUP($A280,Hitters!$A1:$R401,16,FALSE)-AVERAGE(Rankings!Y2:Y651))/STDEV(Rankings!Y2:Y651)</f>
        <v>0.27930432492909307</v>
      </c>
      <c r="S280" s="121">
        <f>(VLOOKUP($A280,Hitters!$A1:$R401,17,FALSE)-AVERAGE(Rankings!Z2:Z651))/STDEV(Rankings!Z2:Z651)</f>
        <v>0.1230992057268986</v>
      </c>
      <c r="T280" s="121">
        <f>IFERROR((VLOOKUP($A280,Hitters!$A1:$R401,18,FALSE)-AVERAGE(Rankings!AA2:AA651))/STDEV(Rankings!AA2:AA651),0)</f>
        <v>0</v>
      </c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</row>
    <row r="281" spans="1:37" ht="18.600000000000001" customHeight="1">
      <c r="A281" s="25" t="s">
        <v>300</v>
      </c>
      <c r="B281" s="26" t="s">
        <v>103</v>
      </c>
      <c r="C281" s="126" t="s">
        <v>23</v>
      </c>
      <c r="D281" s="67">
        <f>(F281*Settings!$C$2)+(G281*Settings!$C$3)+(H281*Settings!$C$4)+(I281*Settings!$C$5)+(J281*Settings!$C$6)+(M281*Settings!$C$9)+(N281*Settings!$C$10)+(O281*Settings!$C$11)+(P281*Settings!$C$12)+(Q281*Settings!$C$13)+(T281*Settings!$C$16)+(K281*Settings!$C$7)+(L281*Settings!$C$8)+(R281*Settings!$C$14)+(S281*Settings!$C$15)</f>
        <v>0.59102580224649648</v>
      </c>
      <c r="E281" s="67"/>
      <c r="F281" s="121">
        <f>(VLOOKUP($A281,Hitters!$A1:$R401,4,FALSE)-AVERAGE(Rankings!M2:M651))/STDEV(Rankings!M2:M651)</f>
        <v>0.34034610634498591</v>
      </c>
      <c r="G281" s="121">
        <f>(VLOOKUP($A281,Hitters!$A1:$R401,5,FALSE)-AVERAGE(Rankings!N2:N651))/STDEV(Rankings!N2:N651)</f>
        <v>-2.9101474109436119E-2</v>
      </c>
      <c r="H281" s="121">
        <f>(VLOOKUP($A281,Hitters!$A1:$R401,6,FALSE)-AVERAGE(Rankings!O2:O651))/STDEV(Rankings!O2:O651)</f>
        <v>-0.72223669889492115</v>
      </c>
      <c r="I281" s="121">
        <f>(VLOOKUP($A281,Hitters!$A1:$R401,7,FALSE)-AVERAGE(Rankings!P2:P651))/STDEV(Rankings!P2:P651)</f>
        <v>-2.4954184682631678E-2</v>
      </c>
      <c r="J281" s="121">
        <f>(VLOOKUP($A281,Hitters!$A1:$R401,8,FALSE)-AVERAGE(Rankings!Q2:Q651))/STDEV(Rankings!Q2:Q651)</f>
        <v>0.85489384513711286</v>
      </c>
      <c r="K281" s="121">
        <f>(VLOOKUP($A281,Hitters!$A1:$R401,9,FALSE)-AVERAGE(Rankings!R2:R651))/STDEV(Rankings!R2:R651)</f>
        <v>0.51242431479637252</v>
      </c>
      <c r="L281" s="121">
        <f>(VLOOKUP($A281,Hitters!$A1:$R401,10,FALSE)-AVERAGE(Rankings!S2:S651))/STDEV(Rankings!S2:S651)</f>
        <v>6.6354397320961975E-2</v>
      </c>
      <c r="M281" s="121">
        <f>(VLOOKUP($A281,Hitters!$A1:$R401,11,FALSE)-AVERAGE(Rankings!T2:T651))/STDEV(Rankings!T2:T651)</f>
        <v>0.38189403060650967</v>
      </c>
      <c r="N281" s="121">
        <f>(VLOOKUP($A281,Hitters!$A1:$R401,12,FALSE)-AVERAGE(Rankings!U2:U651))/STDEV(Rankings!U2:U651)</f>
        <v>0.35612802249619002</v>
      </c>
      <c r="O281" s="121">
        <f>(VLOOKUP($A281,Hitters!$A1:$R401,13,FALSE)-AVERAGE(Rankings!V2:V651))/STDEV(Rankings!V2:V651)</f>
        <v>0.68174487844289422</v>
      </c>
      <c r="P281" s="121">
        <f>(VLOOKUP($A281,Hitters!$A1:$R401,14,FALSE)-AVERAGE(Rankings!W2:W651))/STDEV(Rankings!W2:W651)</f>
        <v>-0.11548396937032207</v>
      </c>
      <c r="Q281" s="121">
        <f>(VLOOKUP($A281,Hitters!$A1:$R401,15,FALSE)-AVERAGE(Rankings!X2:X651))/STDEV(Rankings!X2:X651)</f>
        <v>-0.37592959071647919</v>
      </c>
      <c r="R281" s="121">
        <f>(VLOOKUP($A281,Hitters!$A1:$R401,16,FALSE)-AVERAGE(Rankings!Y2:Y651))/STDEV(Rankings!Y2:Y651)</f>
        <v>-0.73466098709233607</v>
      </c>
      <c r="S281" s="121">
        <f>(VLOOKUP($A281,Hitters!$A1:$R401,17,FALSE)-AVERAGE(Rankings!Z2:Z651))/STDEV(Rankings!Z2:Z651)</f>
        <v>-0.50872033600676125</v>
      </c>
      <c r="T281" s="121">
        <f>IFERROR((VLOOKUP($A281,Hitters!$A1:$R401,18,FALSE)-AVERAGE(Rankings!AA2:AA651))/STDEV(Rankings!AA2:AA651),0)</f>
        <v>0</v>
      </c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</row>
    <row r="282" spans="1:37" ht="18.600000000000001" customHeight="1">
      <c r="A282" s="25" t="s">
        <v>308</v>
      </c>
      <c r="B282" s="26" t="s">
        <v>309</v>
      </c>
      <c r="C282" s="126" t="s">
        <v>23</v>
      </c>
      <c r="D282" s="67">
        <f>(F282*Settings!$C$2)+(G282*Settings!$C$3)+(H282*Settings!$C$4)+(I282*Settings!$C$5)+(J282*Settings!$C$6)+(M282*Settings!$C$9)+(N282*Settings!$C$10)+(O282*Settings!$C$11)+(P282*Settings!$C$12)+(Q282*Settings!$C$13)+(T282*Settings!$C$16)+(K282*Settings!$C$7)+(L282*Settings!$C$8)+(R282*Settings!$C$14)+(S282*Settings!$C$15)</f>
        <v>0.43457920615494394</v>
      </c>
      <c r="E282" s="67"/>
      <c r="F282" s="121">
        <f>(VLOOKUP($A282,Hitters!$A1:$R401,4,FALSE)-AVERAGE(Rankings!M2:M651))/STDEV(Rankings!M2:M651)</f>
        <v>0.51533432267203938</v>
      </c>
      <c r="G282" s="121">
        <f>(VLOOKUP($A282,Hitters!$A1:$R401,5,FALSE)-AVERAGE(Rankings!N2:N651))/STDEV(Rankings!N2:N651)</f>
        <v>0.47179297364573497</v>
      </c>
      <c r="H282" s="121">
        <f>(VLOOKUP($A282,Hitters!$A1:$R401,6,FALSE)-AVERAGE(Rankings!O2:O651))/STDEV(Rankings!O2:O651)</f>
        <v>0.22594433504818281</v>
      </c>
      <c r="I282" s="121">
        <f>(VLOOKUP($A282,Hitters!$A1:$R401,7,FALSE)-AVERAGE(Rankings!P2:P651))/STDEV(Rankings!P2:P651)</f>
        <v>-2.4954184682631678E-2</v>
      </c>
      <c r="J282" s="121">
        <f>(VLOOKUP($A282,Hitters!$A1:$R401,8,FALSE)-AVERAGE(Rankings!Q2:Q651))/STDEV(Rankings!Q2:Q651)</f>
        <v>0.39809264530168892</v>
      </c>
      <c r="K282" s="121">
        <f>(VLOOKUP($A282,Hitters!$A1:$R401,9,FALSE)-AVERAGE(Rankings!R2:R651))/STDEV(Rankings!R2:R651)</f>
        <v>-0.63629656315803118</v>
      </c>
      <c r="L282" s="121">
        <f>(VLOOKUP($A282,Hitters!$A1:$R401,10,FALSE)-AVERAGE(Rankings!S2:S651))/STDEV(Rankings!S2:S651)</f>
        <v>-0.37312330601387494</v>
      </c>
      <c r="M282" s="121">
        <f>(VLOOKUP($A282,Hitters!$A1:$R401,11,FALSE)-AVERAGE(Rankings!T2:T651))/STDEV(Rankings!T2:T651)</f>
        <v>0.25360030336763734</v>
      </c>
      <c r="N282" s="121">
        <f>(VLOOKUP($A282,Hitters!$A1:$R401,12,FALSE)-AVERAGE(Rankings!U2:U651))/STDEV(Rankings!U2:U651)</f>
        <v>0.65801462316607751</v>
      </c>
      <c r="O282" s="121">
        <f>(VLOOKUP($A282,Hitters!$A1:$R401,13,FALSE)-AVERAGE(Rankings!V2:V651))/STDEV(Rankings!V2:V651)</f>
        <v>0.37753939747540144</v>
      </c>
      <c r="P282" s="121">
        <f>(VLOOKUP($A282,Hitters!$A1:$R401,14,FALSE)-AVERAGE(Rankings!W2:W651))/STDEV(Rankings!W2:W651)</f>
        <v>0.41763445612534539</v>
      </c>
      <c r="Q282" s="121">
        <f>(VLOOKUP($A282,Hitters!$A1:$R401,15,FALSE)-AVERAGE(Rankings!X2:X651))/STDEV(Rankings!X2:X651)</f>
        <v>0.82682591346783041</v>
      </c>
      <c r="R282" s="121">
        <f>(VLOOKUP($A282,Hitters!$A1:$R401,16,FALSE)-AVERAGE(Rankings!Y2:Y651))/STDEV(Rankings!Y2:Y651)</f>
        <v>-0.17374667440773653</v>
      </c>
      <c r="S282" s="121">
        <f>(VLOOKUP($A282,Hitters!$A1:$R401,17,FALSE)-AVERAGE(Rankings!Z2:Z651))/STDEV(Rankings!Z2:Z651)</f>
        <v>-0.2729314189526808</v>
      </c>
      <c r="T282" s="121">
        <f>IFERROR((VLOOKUP($A282,Hitters!$A1:$R401,18,FALSE)-AVERAGE(Rankings!AA2:AA651))/STDEV(Rankings!AA2:AA651),0)</f>
        <v>0</v>
      </c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</row>
    <row r="283" spans="1:37" ht="18.600000000000001" customHeight="1">
      <c r="A283" s="25" t="s">
        <v>318</v>
      </c>
      <c r="B283" s="26" t="s">
        <v>125</v>
      </c>
      <c r="C283" s="126" t="s">
        <v>23</v>
      </c>
      <c r="D283" s="67">
        <f>(F283*Settings!$C$2)+(G283*Settings!$C$3)+(H283*Settings!$C$4)+(I283*Settings!$C$5)+(J283*Settings!$C$6)+(M283*Settings!$C$9)+(N283*Settings!$C$10)+(O283*Settings!$C$11)+(P283*Settings!$C$12)+(Q283*Settings!$C$13)+(T283*Settings!$C$16)+(K283*Settings!$C$7)+(L283*Settings!$C$8)+(R283*Settings!$C$14)+(S283*Settings!$C$15)</f>
        <v>0.33199171730693611</v>
      </c>
      <c r="E283" s="67"/>
      <c r="F283" s="121">
        <f>(VLOOKUP($A283,Hitters!$A1:$R401,4,FALSE)-AVERAGE(Rankings!M2:M651))/STDEV(Rankings!M2:M651)</f>
        <v>8.1673138206012422E-4</v>
      </c>
      <c r="G283" s="121">
        <f>(VLOOKUP($A283,Hitters!$A1:$R401,5,FALSE)-AVERAGE(Rankings!N2:N651))/STDEV(Rankings!N2:N651)</f>
        <v>0.2714351945436666</v>
      </c>
      <c r="H283" s="121">
        <f>(VLOOKUP($A283,Hitters!$A1:$R401,6,FALSE)-AVERAGE(Rankings!O2:O651))/STDEV(Rankings!O2:O651)</f>
        <v>0.33454656801083388</v>
      </c>
      <c r="I283" s="121">
        <f>(VLOOKUP($A283,Hitters!$A1:$R401,7,FALSE)-AVERAGE(Rankings!P2:P651))/STDEV(Rankings!P2:P651)</f>
        <v>8.7576867242009124E-2</v>
      </c>
      <c r="J283" s="121">
        <f>(VLOOKUP($A283,Hitters!$A1:$R401,8,FALSE)-AVERAGE(Rankings!Q2:Q651))/STDEV(Rankings!Q2:Q651)</f>
        <v>-7.6277831450487471E-2</v>
      </c>
      <c r="K283" s="121">
        <f>(VLOOKUP($A283,Hitters!$A1:$R401,9,FALSE)-AVERAGE(Rankings!R2:R651))/STDEV(Rankings!R2:R651)</f>
        <v>-0.28528908103908601</v>
      </c>
      <c r="L283" s="121">
        <f>(VLOOKUP($A283,Hitters!$A1:$R401,10,FALSE)-AVERAGE(Rankings!S2:S651))/STDEV(Rankings!S2:S651)</f>
        <v>0.942073401542594</v>
      </c>
      <c r="M283" s="121">
        <f>(VLOOKUP($A283,Hitters!$A1:$R401,11,FALSE)-AVERAGE(Rankings!T2:T651))/STDEV(Rankings!T2:T651)</f>
        <v>-9.5795379325461574E-2</v>
      </c>
      <c r="N283" s="121">
        <f>(VLOOKUP($A283,Hitters!$A1:$R401,12,FALSE)-AVERAGE(Rankings!U2:U651))/STDEV(Rankings!U2:U651)</f>
        <v>-0.24764517884357268</v>
      </c>
      <c r="O283" s="121">
        <f>(VLOOKUP($A283,Hitters!$A1:$R401,13,FALSE)-AVERAGE(Rankings!V2:V651))/STDEV(Rankings!V2:V651)</f>
        <v>0.33605683188892527</v>
      </c>
      <c r="P283" s="121">
        <f>(VLOOKUP($A283,Hitters!$A1:$R401,14,FALSE)-AVERAGE(Rankings!W2:W651))/STDEV(Rankings!W2:W651)</f>
        <v>0.93496365995998787</v>
      </c>
      <c r="Q283" s="121">
        <f>(VLOOKUP($A283,Hitters!$A1:$R401,15,FALSE)-AVERAGE(Rankings!X2:X651))/STDEV(Rankings!X2:X651)</f>
        <v>3.6360180977173084E-2</v>
      </c>
      <c r="R283" s="121">
        <f>(VLOOKUP($A283,Hitters!$A1:$R401,16,FALSE)-AVERAGE(Rankings!Y2:Y651))/STDEV(Rankings!Y2:Y651)</f>
        <v>0.38345375529531356</v>
      </c>
      <c r="S283" s="121">
        <f>(VLOOKUP($A283,Hitters!$A1:$R401,17,FALSE)-AVERAGE(Rankings!Z2:Z651))/STDEV(Rankings!Z2:Z651)</f>
        <v>0.64890537563730899</v>
      </c>
      <c r="T283" s="121">
        <f>IFERROR((VLOOKUP($A283,Hitters!$A1:$R401,18,FALSE)-AVERAGE(Rankings!AA2:AA651))/STDEV(Rankings!AA2:AA651),0)</f>
        <v>0</v>
      </c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</row>
    <row r="284" spans="1:37" ht="18.600000000000001" customHeight="1">
      <c r="A284" s="25" t="s">
        <v>320</v>
      </c>
      <c r="B284" s="26" t="s">
        <v>136</v>
      </c>
      <c r="C284" s="126" t="s">
        <v>23</v>
      </c>
      <c r="D284" s="67">
        <f>(F284*Settings!$C$2)+(G284*Settings!$C$3)+(H284*Settings!$C$4)+(I284*Settings!$C$5)+(J284*Settings!$C$6)+(M284*Settings!$C$9)+(N284*Settings!$C$10)+(O284*Settings!$C$11)+(P284*Settings!$C$12)+(Q284*Settings!$C$13)+(T284*Settings!$C$16)+(K284*Settings!$C$7)+(L284*Settings!$C$8)+(R284*Settings!$C$14)+(S284*Settings!$C$15)</f>
        <v>0.30969678429997638</v>
      </c>
      <c r="E284" s="67"/>
      <c r="F284" s="121">
        <f>(VLOOKUP($A284,Hitters!$A1:$R401,4,FALSE)-AVERAGE(Rankings!M2:M651))/STDEV(Rankings!M2:M651)</f>
        <v>0.31422846211707112</v>
      </c>
      <c r="G284" s="121">
        <f>(VLOOKUP($A284,Hitters!$A1:$R401,5,FALSE)-AVERAGE(Rankings!N2:N651))/STDEV(Rankings!N2:N651)</f>
        <v>-7.9190918884952971E-2</v>
      </c>
      <c r="H284" s="121">
        <f>(VLOOKUP($A284,Hitters!$A1:$R401,6,FALSE)-AVERAGE(Rankings!O2:O651))/STDEV(Rankings!O2:O651)</f>
        <v>4.6332949763809604E-2</v>
      </c>
      <c r="I284" s="121">
        <f>(VLOOKUP($A284,Hitters!$A1:$R401,7,FALSE)-AVERAGE(Rankings!P2:P651))/STDEV(Rankings!P2:P651)</f>
        <v>0.16388216957447196</v>
      </c>
      <c r="J284" s="121">
        <f>(VLOOKUP($A284,Hitters!$A1:$R401,8,FALSE)-AVERAGE(Rankings!Q2:Q651))/STDEV(Rankings!Q2:Q651)</f>
        <v>-0.34734667530887392</v>
      </c>
      <c r="K284" s="121">
        <f>(VLOOKUP($A284,Hitters!$A1:$R401,9,FALSE)-AVERAGE(Rankings!R2:R651))/STDEV(Rankings!R2:R651)</f>
        <v>0.52601925915552172</v>
      </c>
      <c r="L284" s="121">
        <f>(VLOOKUP($A284,Hitters!$A1:$R401,10,FALSE)-AVERAGE(Rankings!S2:S651))/STDEV(Rankings!S2:S651)</f>
        <v>-0.27043781041088294</v>
      </c>
      <c r="M284" s="121">
        <f>(VLOOKUP($A284,Hitters!$A1:$R401,11,FALSE)-AVERAGE(Rankings!T2:T651))/STDEV(Rankings!T2:T651)</f>
        <v>0.36142162732371091</v>
      </c>
      <c r="N284" s="121">
        <f>(VLOOKUP($A284,Hitters!$A1:$R401,12,FALSE)-AVERAGE(Rankings!U2:U651))/STDEV(Rankings!U2:U651)</f>
        <v>0.28171935331699766</v>
      </c>
      <c r="O284" s="121">
        <f>(VLOOKUP($A284,Hitters!$A1:$R401,13,FALSE)-AVERAGE(Rankings!V2:V651))/STDEV(Rankings!V2:V651)</f>
        <v>-0.53507704542706924</v>
      </c>
      <c r="P284" s="121">
        <f>(VLOOKUP($A284,Hitters!$A1:$R401,14,FALSE)-AVERAGE(Rankings!W2:W651))/STDEV(Rankings!W2:W651)</f>
        <v>-0.43591229131458104</v>
      </c>
      <c r="Q284" s="121">
        <f>(VLOOKUP($A284,Hitters!$A1:$R401,15,FALSE)-AVERAGE(Rankings!X2:X651))/STDEV(Rankings!X2:X651)</f>
        <v>0.51151683275177251</v>
      </c>
      <c r="R284" s="121">
        <f>(VLOOKUP($A284,Hitters!$A1:$R401,16,FALSE)-AVERAGE(Rankings!Y2:Y651))/STDEV(Rankings!Y2:Y651)</f>
        <v>9.3245511655220159E-2</v>
      </c>
      <c r="S284" s="121">
        <f>(VLOOKUP($A284,Hitters!$A1:$R401,17,FALSE)-AVERAGE(Rankings!Z2:Z651))/STDEV(Rankings!Z2:Z651)</f>
        <v>-3.8279038250792208E-2</v>
      </c>
      <c r="T284" s="121">
        <f>IFERROR((VLOOKUP($A284,Hitters!$A1:$R401,18,FALSE)-AVERAGE(Rankings!AA2:AA651))/STDEV(Rankings!AA2:AA651),0)</f>
        <v>0</v>
      </c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</row>
    <row r="285" spans="1:37" ht="18.600000000000001" customHeight="1">
      <c r="A285" s="25" t="s">
        <v>306</v>
      </c>
      <c r="B285" s="26" t="s">
        <v>225</v>
      </c>
      <c r="C285" s="126" t="s">
        <v>23</v>
      </c>
      <c r="D285" s="67">
        <f>(F285*Settings!$C$2)+(G285*Settings!$C$3)+(H285*Settings!$C$4)+(I285*Settings!$C$5)+(J285*Settings!$C$6)+(M285*Settings!$C$9)+(N285*Settings!$C$10)+(O285*Settings!$C$11)+(P285*Settings!$C$12)+(Q285*Settings!$C$13)+(T285*Settings!$C$16)+(K285*Settings!$C$7)+(L285*Settings!$C$8)+(R285*Settings!$C$14)+(S285*Settings!$C$15)</f>
        <v>0.47774344646651723</v>
      </c>
      <c r="E285" s="67"/>
      <c r="F285" s="121">
        <f>(VLOOKUP($A285,Hitters!$A1:$R401,4,FALSE)-AVERAGE(Rankings!M2:M651))/STDEV(Rankings!M2:M651)</f>
        <v>0.1470755390584014</v>
      </c>
      <c r="G285" s="121">
        <f>(VLOOKUP($A285,Hitters!$A1:$R401,5,FALSE)-AVERAGE(Rankings!N2:N651))/STDEV(Rankings!N2:N651)</f>
        <v>0.12116686021711541</v>
      </c>
      <c r="H285" s="121">
        <f>(VLOOKUP($A285,Hitters!$A1:$R401,6,FALSE)-AVERAGE(Rankings!O2:O651))/STDEV(Rankings!O2:O651)</f>
        <v>-0.18757955200189527</v>
      </c>
      <c r="I285" s="121">
        <f>(VLOOKUP($A285,Hitters!$A1:$R401,7,FALSE)-AVERAGE(Rankings!P2:P651))/STDEV(Rankings!P2:P651)</f>
        <v>-0.21301977831011751</v>
      </c>
      <c r="J285" s="121">
        <f>(VLOOKUP($A285,Hitters!$A1:$R401,8,FALSE)-AVERAGE(Rankings!Q2:Q651))/STDEV(Rankings!Q2:Q651)</f>
        <v>0.67418128256485532</v>
      </c>
      <c r="K285" s="121">
        <f>(VLOOKUP($A285,Hitters!$A1:$R401,9,FALSE)-AVERAGE(Rankings!R2:R651))/STDEV(Rankings!R2:R651)</f>
        <v>8.2994633996559278E-2</v>
      </c>
      <c r="L285" s="121">
        <f>(VLOOKUP($A285,Hitters!$A1:$R401,10,FALSE)-AVERAGE(Rankings!S2:S651))/STDEV(Rankings!S2:S651)</f>
        <v>2.6776365610379845E-3</v>
      </c>
      <c r="M285" s="121">
        <f>(VLOOKUP($A285,Hitters!$A1:$R401,11,FALSE)-AVERAGE(Rankings!T2:T651))/STDEV(Rankings!T2:T651)</f>
        <v>0.11074842268322814</v>
      </c>
      <c r="N285" s="121">
        <f>(VLOOKUP($A285,Hitters!$A1:$R401,12,FALSE)-AVERAGE(Rankings!U2:U651))/STDEV(Rankings!U2:U651)</f>
        <v>-0.4389817567329351</v>
      </c>
      <c r="O285" s="121">
        <f>(VLOOKUP($A285,Hitters!$A1:$R401,13,FALSE)-AVERAGE(Rankings!V2:V651))/STDEV(Rankings!V2:V651)</f>
        <v>2.1474621958317051</v>
      </c>
      <c r="P285" s="121">
        <f>(VLOOKUP($A285,Hitters!$A1:$R401,14,FALSE)-AVERAGE(Rankings!W2:W651))/STDEV(Rankings!W2:W651)</f>
        <v>3.399581959719834E-3</v>
      </c>
      <c r="Q285" s="121">
        <f>(VLOOKUP($A285,Hitters!$A1:$R401,15,FALSE)-AVERAGE(Rankings!X2:X651))/STDEV(Rankings!X2:X651)</f>
        <v>-0.41296744254711582</v>
      </c>
      <c r="R285" s="121">
        <f>(VLOOKUP($A285,Hitters!$A1:$R401,16,FALSE)-AVERAGE(Rankings!Y2:Y651))/STDEV(Rankings!Y2:Y651)</f>
        <v>-0.19043417465390663</v>
      </c>
      <c r="S285" s="121">
        <f>(VLOOKUP($A285,Hitters!$A1:$R401,17,FALSE)-AVERAGE(Rankings!Z2:Z651))/STDEV(Rankings!Z2:Z651)</f>
        <v>-0.13756762662545613</v>
      </c>
      <c r="T285" s="121">
        <f>IFERROR((VLOOKUP($A285,Hitters!$A1:$R401,18,FALSE)-AVERAGE(Rankings!AA2:AA651))/STDEV(Rankings!AA2:AA651),0)</f>
        <v>0</v>
      </c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</row>
    <row r="286" spans="1:37" ht="18.600000000000001" customHeight="1">
      <c r="A286" s="25" t="s">
        <v>360</v>
      </c>
      <c r="B286" s="26" t="s">
        <v>82</v>
      </c>
      <c r="C286" s="126" t="s">
        <v>23</v>
      </c>
      <c r="D286" s="67">
        <f>(F286*Settings!$C$2)+(G286*Settings!$C$3)+(H286*Settings!$C$4)+(I286*Settings!$C$5)+(J286*Settings!$C$6)+(M286*Settings!$C$9)+(N286*Settings!$C$10)+(O286*Settings!$C$11)+(P286*Settings!$C$12)+(Q286*Settings!$C$13)+(T286*Settings!$C$16)+(K286*Settings!$C$7)+(L286*Settings!$C$8)+(R286*Settings!$C$14)+(S286*Settings!$C$15)</f>
        <v>-0.17168562770674423</v>
      </c>
      <c r="E286" s="67"/>
      <c r="F286" s="121">
        <f>(VLOOKUP($A286,Hitters!$A1:$R401,4,FALSE)-AVERAGE(Rankings!M2:M651))/STDEV(Rankings!M2:M651)</f>
        <v>-6.1865614764942074E-2</v>
      </c>
      <c r="G286" s="121">
        <f>(VLOOKUP($A286,Hitters!$A1:$R401,5,FALSE)-AVERAGE(Rankings!N2:N651))/STDEV(Rankings!N2:N651)</f>
        <v>9.9916792736591292E-2</v>
      </c>
      <c r="H286" s="121">
        <f>(VLOOKUP($A286,Hitters!$A1:$R401,6,FALSE)-AVERAGE(Rankings!O2:O651))/STDEV(Rankings!O2:O651)</f>
        <v>0.78148652674173047</v>
      </c>
      <c r="I286" s="121">
        <f>(VLOOKUP($A286,Hitters!$A1:$R401,7,FALSE)-AVERAGE(Rankings!P2:P651))/STDEV(Rankings!P2:P651)</f>
        <v>0.34038635375764525</v>
      </c>
      <c r="J286" s="121">
        <f>(VLOOKUP($A286,Hitters!$A1:$R401,8,FALSE)-AVERAGE(Rankings!Q2:Q651))/STDEV(Rankings!Q2:Q651)</f>
        <v>7.1806073990667713E-2</v>
      </c>
      <c r="K286" s="121">
        <f>(VLOOKUP($A286,Hitters!$A1:$R401,9,FALSE)-AVERAGE(Rankings!R2:R651))/STDEV(Rankings!R2:R651)</f>
        <v>-1.4652813749333788</v>
      </c>
      <c r="L286" s="121">
        <f>(VLOOKUP($A286,Hitters!$A1:$R401,10,FALSE)-AVERAGE(Rankings!S2:S651))/STDEV(Rankings!S2:S651)</f>
        <v>-0.63598624965185124</v>
      </c>
      <c r="M286" s="121">
        <f>(VLOOKUP($A286,Hitters!$A1:$R401,11,FALSE)-AVERAGE(Rankings!T2:T651))/STDEV(Rankings!T2:T651)</f>
        <v>-0.39514740954949812</v>
      </c>
      <c r="N286" s="121">
        <f>(VLOOKUP($A286,Hitters!$A1:$R401,12,FALSE)-AVERAGE(Rankings!U2:U651))/STDEV(Rankings!U2:U651)</f>
        <v>-0.18386631954711843</v>
      </c>
      <c r="O286" s="121">
        <f>(VLOOKUP($A286,Hitters!$A1:$R401,13,FALSE)-AVERAGE(Rankings!V2:V651))/STDEV(Rankings!V2:V651)</f>
        <v>-0.50742200170275464</v>
      </c>
      <c r="P286" s="121">
        <f>(VLOOKUP($A286,Hitters!$A1:$R401,14,FALSE)-AVERAGE(Rankings!W2:W651))/STDEV(Rankings!W2:W651)</f>
        <v>0.30803868224295944</v>
      </c>
      <c r="Q286" s="121">
        <f>(VLOOKUP($A286,Hitters!$A1:$R401,15,FALSE)-AVERAGE(Rankings!X2:X651))/STDEV(Rankings!X2:X651)</f>
        <v>1.4925325661079454</v>
      </c>
      <c r="R286" s="121">
        <f>(VLOOKUP($A286,Hitters!$A1:$R401,16,FALSE)-AVERAGE(Rankings!Y2:Y651))/STDEV(Rankings!Y2:Y651)</f>
        <v>0.48413433877441525</v>
      </c>
      <c r="S286" s="121">
        <f>(VLOOKUP($A286,Hitters!$A1:$R401,17,FALSE)-AVERAGE(Rankings!Z2:Z651))/STDEV(Rankings!Z2:Z651)</f>
        <v>0.10276586183671652</v>
      </c>
      <c r="T286" s="121">
        <f>IFERROR((VLOOKUP($A286,Hitters!$A1:$R401,18,FALSE)-AVERAGE(Rankings!AA2:AA651))/STDEV(Rankings!AA2:AA651),0)</f>
        <v>0</v>
      </c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</row>
    <row r="287" spans="1:37" ht="18.600000000000001" customHeight="1">
      <c r="A287" s="25" t="s">
        <v>358</v>
      </c>
      <c r="B287" s="26" t="s">
        <v>119</v>
      </c>
      <c r="C287" s="126" t="s">
        <v>23</v>
      </c>
      <c r="D287" s="67">
        <f>(F287*Settings!$C$2)+(G287*Settings!$C$3)+(H287*Settings!$C$4)+(I287*Settings!$C$5)+(J287*Settings!$C$6)+(M287*Settings!$C$9)+(N287*Settings!$C$10)+(O287*Settings!$C$11)+(P287*Settings!$C$12)+(Q287*Settings!$C$13)+(T287*Settings!$C$16)+(K287*Settings!$C$7)+(L287*Settings!$C$8)+(R287*Settings!$C$14)+(S287*Settings!$C$15)</f>
        <v>-0.12606462774792848</v>
      </c>
      <c r="E287" s="67"/>
      <c r="F287" s="121">
        <f>(VLOOKUP($A287,Hitters!$A1:$R401,4,FALSE)-AVERAGE(Rankings!M2:M651))/STDEV(Rankings!M2:M651)</f>
        <v>5.0440255415100714E-2</v>
      </c>
      <c r="G287" s="121">
        <f>(VLOOKUP($A287,Hitters!$A1:$R401,5,FALSE)-AVERAGE(Rankings!N2:N651))/STDEV(Rankings!N2:N651)</f>
        <v>-6.0976575330219537E-2</v>
      </c>
      <c r="H287" s="121">
        <f>(VLOOKUP($A287,Hitters!$A1:$R401,6,FALSE)-AVERAGE(Rankings!O2:O651))/STDEV(Rankings!O2:O651)</f>
        <v>4.2155940803712051E-2</v>
      </c>
      <c r="I287" s="121">
        <f>(VLOOKUP($A287,Hitters!$A1:$R401,7,FALSE)-AVERAGE(Rankings!P2:P651))/STDEV(Rankings!P2:P651)</f>
        <v>0.15540380264864423</v>
      </c>
      <c r="J287" s="121">
        <f>(VLOOKUP($A287,Hitters!$A1:$R401,8,FALSE)-AVERAGE(Rankings!Q2:Q651))/STDEV(Rankings!Q2:Q651)</f>
        <v>0.24247904975335649</v>
      </c>
      <c r="K287" s="121">
        <f>(VLOOKUP($A287,Hitters!$A1:$R401,9,FALSE)-AVERAGE(Rankings!R2:R651))/STDEV(Rankings!R2:R651)</f>
        <v>-0.50512684562342169</v>
      </c>
      <c r="L287" s="121">
        <f>(VLOOKUP($A287,Hitters!$A1:$R401,10,FALSE)-AVERAGE(Rankings!S2:S651))/STDEV(Rankings!S2:S651)</f>
        <v>-0.13412165315952121</v>
      </c>
      <c r="M287" s="121">
        <f>(VLOOKUP($A287,Hitters!$A1:$R401,11,FALSE)-AVERAGE(Rankings!T2:T651))/STDEV(Rankings!T2:T651)</f>
        <v>-0.10125468686754133</v>
      </c>
      <c r="N287" s="121">
        <f>(VLOOKUP($A287,Hitters!$A1:$R401,12,FALSE)-AVERAGE(Rankings!U2:U651))/STDEV(Rankings!U2:U651)</f>
        <v>0.24982992366877055</v>
      </c>
      <c r="O287" s="121">
        <f>(VLOOKUP($A287,Hitters!$A1:$R401,13,FALSE)-AVERAGE(Rankings!V2:V651))/STDEV(Rankings!V2:V651)</f>
        <v>1.5113961901724131</v>
      </c>
      <c r="P287" s="121">
        <f>(VLOOKUP($A287,Hitters!$A1:$R401,14,FALSE)-AVERAGE(Rankings!W2:W651))/STDEV(Rankings!W2:W651)</f>
        <v>0.20401557482916902</v>
      </c>
      <c r="Q287" s="121">
        <f>(VLOOKUP($A287,Hitters!$A1:$R401,15,FALSE)-AVERAGE(Rankings!X2:X651))/STDEV(Rankings!X2:X651)</f>
        <v>1.3219635116247654</v>
      </c>
      <c r="R287" s="121">
        <f>(VLOOKUP($A287,Hitters!$A1:$R401,16,FALSE)-AVERAGE(Rankings!Y2:Y651))/STDEV(Rankings!Y2:Y651)</f>
        <v>0.19623652446543519</v>
      </c>
      <c r="S287" s="121">
        <f>(VLOOKUP($A287,Hitters!$A1:$R401,17,FALSE)-AVERAGE(Rankings!Z2:Z651))/STDEV(Rankings!Z2:Z651)</f>
        <v>9.0196318426204056E-2</v>
      </c>
      <c r="T287" s="121">
        <f>IFERROR((VLOOKUP($A287,Hitters!$A1:$R401,18,FALSE)-AVERAGE(Rankings!AA2:AA651))/STDEV(Rankings!AA2:AA651),0)</f>
        <v>0</v>
      </c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</row>
    <row r="288" spans="1:37" ht="18.600000000000001" customHeight="1">
      <c r="A288" s="25" t="s">
        <v>324</v>
      </c>
      <c r="B288" s="26" t="s">
        <v>77</v>
      </c>
      <c r="C288" s="126" t="s">
        <v>23</v>
      </c>
      <c r="D288" s="67">
        <f>(F288*Settings!$C$2)+(G288*Settings!$C$3)+(H288*Settings!$C$4)+(I288*Settings!$C$5)+(J288*Settings!$C$6)+(M288*Settings!$C$9)+(N288*Settings!$C$10)+(O288*Settings!$C$11)+(P288*Settings!$C$12)+(Q288*Settings!$C$13)+(T288*Settings!$C$16)+(K288*Settings!$C$7)+(L288*Settings!$C$8)+(R288*Settings!$C$14)+(S288*Settings!$C$15)</f>
        <v>0.25693206456951423</v>
      </c>
      <c r="E288" s="67"/>
      <c r="F288" s="121">
        <f>(VLOOKUP($A288,Hitters!$A1:$R401,4,FALSE)-AVERAGE(Rankings!M2:M651))/STDEV(Rankings!M2:M651)</f>
        <v>0.44481668325666185</v>
      </c>
      <c r="G288" s="121">
        <f>(VLOOKUP($A288,Hitters!$A1:$R401,5,FALSE)-AVERAGE(Rankings!N2:N651))/STDEV(Rankings!N2:N651)</f>
        <v>0.2107207160278898</v>
      </c>
      <c r="H288" s="121">
        <f>(VLOOKUP($A288,Hitters!$A1:$R401,6,FALSE)-AVERAGE(Rankings!O2:O651))/STDEV(Rankings!O2:O651)</f>
        <v>-1.5492844729950777</v>
      </c>
      <c r="I288" s="121">
        <f>(VLOOKUP($A288,Hitters!$A1:$R401,7,FALSE)-AVERAGE(Rankings!P2:P651))/STDEV(Rankings!P2:P651)</f>
        <v>-0.70938962378593562</v>
      </c>
      <c r="J288" s="121">
        <f>(VLOOKUP($A288,Hitters!$A1:$R401,8,FALSE)-AVERAGE(Rankings!Q2:Q651))/STDEV(Rankings!Q2:Q651)</f>
        <v>2.3206735193343242</v>
      </c>
      <c r="K288" s="121">
        <f>(VLOOKUP($A288,Hitters!$A1:$R401,9,FALSE)-AVERAGE(Rankings!R2:R651))/STDEV(Rankings!R2:R651)</f>
        <v>-1.5788074011686574E-2</v>
      </c>
      <c r="L288" s="121">
        <f>(VLOOKUP($A288,Hitters!$A1:$R401,10,FALSE)-AVERAGE(Rankings!S2:S651))/STDEV(Rankings!S2:S651)</f>
        <v>0.2740651975787039</v>
      </c>
      <c r="M288" s="121">
        <f>(VLOOKUP($A288,Hitters!$A1:$R401,11,FALSE)-AVERAGE(Rankings!T2:T651))/STDEV(Rankings!T2:T651)</f>
        <v>0.34731841617332915</v>
      </c>
      <c r="N288" s="121">
        <f>(VLOOKUP($A288,Hitters!$A1:$R401,12,FALSE)-AVERAGE(Rankings!U2:U651))/STDEV(Rankings!U2:U651)</f>
        <v>0.14353182484135107</v>
      </c>
      <c r="O288" s="121">
        <f>(VLOOKUP($A288,Hitters!$A1:$R401,13,FALSE)-AVERAGE(Rankings!V2:V651))/STDEV(Rankings!V2:V651)</f>
        <v>0.18395409140518312</v>
      </c>
      <c r="P288" s="121">
        <f>(VLOOKUP($A288,Hitters!$A1:$R401,14,FALSE)-AVERAGE(Rankings!W2:W651))/STDEV(Rankings!W2:W651)</f>
        <v>0.52537267451819591</v>
      </c>
      <c r="Q288" s="121">
        <f>(VLOOKUP($A288,Hitters!$A1:$R401,15,FALSE)-AVERAGE(Rankings!X2:X651))/STDEV(Rankings!X2:X651)</f>
        <v>-0.32134749328185747</v>
      </c>
      <c r="R288" s="121">
        <f>(VLOOKUP($A288,Hitters!$A1:$R401,16,FALSE)-AVERAGE(Rankings!Y2:Y651))/STDEV(Rankings!Y2:Y651)</f>
        <v>-2.2354704860035146</v>
      </c>
      <c r="S288" s="121">
        <f>(VLOOKUP($A288,Hitters!$A1:$R401,17,FALSE)-AVERAGE(Rankings!Z2:Z651))/STDEV(Rankings!Z2:Z651)</f>
        <v>-1.5196409834992015</v>
      </c>
      <c r="T288" s="121">
        <f>IFERROR((VLOOKUP($A288,Hitters!$A1:$R401,18,FALSE)-AVERAGE(Rankings!AA2:AA651))/STDEV(Rankings!AA2:AA651),0)</f>
        <v>0</v>
      </c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</row>
    <row r="289" spans="1:37" ht="18.600000000000001" customHeight="1">
      <c r="A289" s="25" t="s">
        <v>330</v>
      </c>
      <c r="B289" s="26" t="s">
        <v>260</v>
      </c>
      <c r="C289" s="126" t="s">
        <v>23</v>
      </c>
      <c r="D289" s="67">
        <f>(F289*Settings!$C$2)+(G289*Settings!$C$3)+(H289*Settings!$C$4)+(I289*Settings!$C$5)+(J289*Settings!$C$6)+(M289*Settings!$C$9)+(N289*Settings!$C$10)+(O289*Settings!$C$11)+(P289*Settings!$C$12)+(Q289*Settings!$C$13)+(T289*Settings!$C$16)+(K289*Settings!$C$7)+(L289*Settings!$C$8)+(R289*Settings!$C$14)+(S289*Settings!$C$15)</f>
        <v>0.1187143002661315</v>
      </c>
      <c r="E289" s="67"/>
      <c r="F289" s="121">
        <f>(VLOOKUP($A289,Hitters!$A1:$R401,4,FALSE)-AVERAGE(Rankings!M2:M651))/STDEV(Rankings!M2:M651)</f>
        <v>4.2604962146725434E-2</v>
      </c>
      <c r="G289" s="121">
        <f>(VLOOKUP($A289,Hitters!$A1:$R401,5,FALSE)-AVERAGE(Rankings!N2:N651))/STDEV(Rankings!N2:N651)</f>
        <v>-8.5262366736529482E-2</v>
      </c>
      <c r="H289" s="121">
        <f>(VLOOKUP($A289,Hitters!$A1:$R401,6,FALSE)-AVERAGE(Rankings!O2:O651))/STDEV(Rankings!O2:O651)</f>
        <v>-0.60945745697217268</v>
      </c>
      <c r="I289" s="121">
        <f>(VLOOKUP($A289,Hitters!$A1:$R401,7,FALSE)-AVERAGE(Rankings!P2:P651))/STDEV(Rankings!P2:P651)</f>
        <v>-0.4349988396409189</v>
      </c>
      <c r="J289" s="121">
        <f>(VLOOKUP($A289,Hitters!$A1:$R401,8,FALSE)-AVERAGE(Rankings!Q2:Q651))/STDEV(Rankings!Q2:Q651)</f>
        <v>1.7233181041649119</v>
      </c>
      <c r="K289" s="121">
        <f>(VLOOKUP($A289,Hitters!$A1:$R401,9,FALSE)-AVERAGE(Rankings!R2:R651))/STDEV(Rankings!R2:R651)</f>
        <v>-0.47488514054915942</v>
      </c>
      <c r="L289" s="121">
        <f>(VLOOKUP($A289,Hitters!$A1:$R401,10,FALSE)-AVERAGE(Rankings!S2:S651))/STDEV(Rankings!S2:S651)</f>
        <v>0.10783135705058021</v>
      </c>
      <c r="M289" s="121">
        <f>(VLOOKUP($A289,Hitters!$A1:$R401,11,FALSE)-AVERAGE(Rankings!T2:T651))/STDEV(Rankings!T2:T651)</f>
        <v>-0.10125468686754133</v>
      </c>
      <c r="N289" s="121">
        <f>(VLOOKUP($A289,Hitters!$A1:$R401,12,FALSE)-AVERAGE(Rankings!U2:U651))/STDEV(Rankings!U2:U651)</f>
        <v>-0.53677600765416911</v>
      </c>
      <c r="O289" s="121">
        <f>(VLOOKUP($A289,Hitters!$A1:$R401,13,FALSE)-AVERAGE(Rankings!V2:V651))/STDEV(Rankings!V2:V651)</f>
        <v>2.866493332663957</v>
      </c>
      <c r="P289" s="121">
        <f>(VLOOKUP($A289,Hitters!$A1:$R401,14,FALSE)-AVERAGE(Rankings!W2:W651))/STDEV(Rankings!W2:W651)</f>
        <v>0.38048334633470482</v>
      </c>
      <c r="Q289" s="121">
        <f>(VLOOKUP($A289,Hitters!$A1:$R401,15,FALSE)-AVERAGE(Rankings!X2:X651))/STDEV(Rankings!X2:X651)</f>
        <v>0.52272565633208656</v>
      </c>
      <c r="R289" s="121">
        <f>(VLOOKUP($A289,Hitters!$A1:$R401,16,FALSE)-AVERAGE(Rankings!Y2:Y651))/STDEV(Rankings!Y2:Y651)</f>
        <v>-0.86200316061551574</v>
      </c>
      <c r="S289" s="121">
        <f>(VLOOKUP($A289,Hitters!$A1:$R401,17,FALSE)-AVERAGE(Rankings!Z2:Z651))/STDEV(Rankings!Z2:Z651)</f>
        <v>-0.58513310325576706</v>
      </c>
      <c r="T289" s="121">
        <f>IFERROR((VLOOKUP($A289,Hitters!$A1:$R401,18,FALSE)-AVERAGE(Rankings!AA2:AA651))/STDEV(Rankings!AA2:AA651),0)</f>
        <v>0</v>
      </c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</row>
    <row r="290" spans="1:37" ht="18.600000000000001" customHeight="1">
      <c r="A290" s="25" t="s">
        <v>366</v>
      </c>
      <c r="B290" s="26" t="s">
        <v>74</v>
      </c>
      <c r="C290" s="126" t="s">
        <v>23</v>
      </c>
      <c r="D290" s="67">
        <f>(F290*Settings!$C$2)+(G290*Settings!$C$3)+(H290*Settings!$C$4)+(I290*Settings!$C$5)+(J290*Settings!$C$6)+(M290*Settings!$C$9)+(N290*Settings!$C$10)+(O290*Settings!$C$11)+(P290*Settings!$C$12)+(Q290*Settings!$C$13)+(T290*Settings!$C$16)+(K290*Settings!$C$7)+(L290*Settings!$C$8)+(R290*Settings!$C$14)+(S290*Settings!$C$15)</f>
        <v>-0.42109639423258138</v>
      </c>
      <c r="E290" s="67"/>
      <c r="F290" s="121">
        <f>(VLOOKUP($A290,Hitters!$A1:$R401,4,FALSE)-AVERAGE(Rankings!M2:M651))/STDEV(Rankings!M2:M651)</f>
        <v>-5.0112674862379164E-2</v>
      </c>
      <c r="G290" s="121">
        <f>(VLOOKUP($A290,Hitters!$A1:$R401,5,FALSE)-AVERAGE(Rankings!N2:N651))/STDEV(Rankings!N2:N651)</f>
        <v>-0.10651243421705328</v>
      </c>
      <c r="H290" s="121">
        <f>(VLOOKUP($A290,Hitters!$A1:$R401,6,FALSE)-AVERAGE(Rankings!O2:O651))/STDEV(Rankings!O2:O651)</f>
        <v>0.37840516209190256</v>
      </c>
      <c r="I290" s="121">
        <f>(VLOOKUP($A290,Hitters!$A1:$R401,7,FALSE)-AVERAGE(Rankings!P2:P651))/STDEV(Rankings!P2:P651)</f>
        <v>0.17313129712992181</v>
      </c>
      <c r="J290" s="121">
        <f>(VLOOKUP($A290,Hitters!$A1:$R401,8,FALSE)-AVERAGE(Rankings!Q2:Q651))/STDEV(Rankings!Q2:Q651)</f>
        <v>-0.66359365981032481</v>
      </c>
      <c r="K290" s="121">
        <f>(VLOOKUP($A290,Hitters!$A1:$R401,9,FALSE)-AVERAGE(Rankings!R2:R651))/STDEV(Rankings!R2:R651)</f>
        <v>-0.20252675942702769</v>
      </c>
      <c r="L290" s="121">
        <f>(VLOOKUP($A290,Hitters!$A1:$R401,10,FALSE)-AVERAGE(Rankings!S2:S651))/STDEV(Rankings!S2:S651)</f>
        <v>-0.28852986873956105</v>
      </c>
      <c r="M290" s="121">
        <f>(VLOOKUP($A290,Hitters!$A1:$R401,11,FALSE)-AVERAGE(Rankings!T2:T651))/STDEV(Rankings!T2:T651)</f>
        <v>-0.1217270901503401</v>
      </c>
      <c r="N290" s="121">
        <f>(VLOOKUP($A290,Hitters!$A1:$R401,12,FALSE)-AVERAGE(Rankings!U2:U651))/STDEV(Rankings!U2:U651)</f>
        <v>-0.45173752859222593</v>
      </c>
      <c r="O290" s="121">
        <f>(VLOOKUP($A290,Hitters!$A1:$R401,13,FALSE)-AVERAGE(Rankings!V2:V651))/STDEV(Rankings!V2:V651)</f>
        <v>-0.74248987335944894</v>
      </c>
      <c r="P290" s="121">
        <f>(VLOOKUP($A290,Hitters!$A1:$R401,14,FALSE)-AVERAGE(Rankings!W2:W651))/STDEV(Rankings!W2:W651)</f>
        <v>-0.17956963375917379</v>
      </c>
      <c r="Q290" s="121">
        <f>(VLOOKUP($A290,Hitters!$A1:$R401,15,FALSE)-AVERAGE(Rankings!X2:X651))/STDEV(Rankings!X2:X651)</f>
        <v>8.1682815454134791E-2</v>
      </c>
      <c r="R290" s="121">
        <f>(VLOOKUP($A290,Hitters!$A1:$R401,16,FALSE)-AVERAGE(Rankings!Y2:Y651))/STDEV(Rankings!Y2:Y651)</f>
        <v>0.30563817184757103</v>
      </c>
      <c r="S290" s="121">
        <f>(VLOOKUP($A290,Hitters!$A1:$R401,17,FALSE)-AVERAGE(Rankings!Z2:Z651))/STDEV(Rankings!Z2:Z651)</f>
        <v>0.1092218321116495</v>
      </c>
      <c r="T290" s="121">
        <f>IFERROR((VLOOKUP($A290,Hitters!$A1:$R401,18,FALSE)-AVERAGE(Rankings!AA2:AA651))/STDEV(Rankings!AA2:AA651),0)</f>
        <v>0</v>
      </c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</row>
    <row r="291" spans="1:37" ht="18.600000000000001" customHeight="1">
      <c r="A291" s="25" t="s">
        <v>383</v>
      </c>
      <c r="B291" s="26" t="s">
        <v>105</v>
      </c>
      <c r="C291" s="126" t="s">
        <v>23</v>
      </c>
      <c r="D291" s="67">
        <f>(F291*Settings!$C$2)+(G291*Settings!$C$3)+(H291*Settings!$C$4)+(I291*Settings!$C$5)+(J291*Settings!$C$6)+(M291*Settings!$C$9)+(N291*Settings!$C$10)+(O291*Settings!$C$11)+(P291*Settings!$C$12)+(Q291*Settings!$C$13)+(T291*Settings!$C$16)+(K291*Settings!$C$7)+(L291*Settings!$C$8)+(R291*Settings!$C$14)+(S291*Settings!$C$15)</f>
        <v>-0.62286388843576845</v>
      </c>
      <c r="E291" s="67"/>
      <c r="F291" s="121">
        <f>(VLOOKUP($A291,Hitters!$A1:$R401,4,FALSE)-AVERAGE(Rankings!M2:M651))/STDEV(Rankings!M2:M651)</f>
        <v>0.59107549093299472</v>
      </c>
      <c r="G291" s="121">
        <f>(VLOOKUP($A291,Hitters!$A1:$R401,5,FALSE)-AVERAGE(Rankings!N2:N651))/STDEV(Rankings!N2:N651)</f>
        <v>0.54009676197598555</v>
      </c>
      <c r="H291" s="121">
        <f>(VLOOKUP($A291,Hitters!$A1:$R401,6,FALSE)-AVERAGE(Rankings!O2:O651))/STDEV(Rankings!O2:O651)</f>
        <v>-7.0623301119036599E-2</v>
      </c>
      <c r="I291" s="121">
        <f>(VLOOKUP($A291,Hitters!$A1:$R401,7,FALSE)-AVERAGE(Rankings!P2:P651))/STDEV(Rankings!P2:P651)</f>
        <v>0.22631378057375987</v>
      </c>
      <c r="J291" s="121">
        <f>(VLOOKUP($A291,Hitters!$A1:$R401,8,FALSE)-AVERAGE(Rankings!Q2:Q651))/STDEV(Rankings!Q2:Q651)</f>
        <v>-0.75144004439406065</v>
      </c>
      <c r="K291" s="121">
        <f>(VLOOKUP($A291,Hitters!$A1:$R401,9,FALSE)-AVERAGE(Rankings!R2:R651))/STDEV(Rankings!R2:R651)</f>
        <v>-0.56721108547241661</v>
      </c>
      <c r="L291" s="121">
        <f>(VLOOKUP($A291,Hitters!$A1:$R401,10,FALSE)-AVERAGE(Rankings!S2:S651))/STDEV(Rankings!S2:S651)</f>
        <v>-0.41158277267301391</v>
      </c>
      <c r="M291" s="121">
        <f>(VLOOKUP($A291,Hitters!$A1:$R401,11,FALSE)-AVERAGE(Rankings!T2:T651))/STDEV(Rankings!T2:T651)</f>
        <v>0.33367014731812994</v>
      </c>
      <c r="N291" s="121">
        <f>(VLOOKUP($A291,Hitters!$A1:$R401,12,FALSE)-AVERAGE(Rankings!U2:U651))/STDEV(Rankings!U2:U651)</f>
        <v>1.0704512466164771</v>
      </c>
      <c r="O291" s="121">
        <f>(VLOOKUP($A291,Hitters!$A1:$R401,13,FALSE)-AVERAGE(Rankings!V2:V651))/STDEV(Rankings!V2:V651)</f>
        <v>-0.20321652073526184</v>
      </c>
      <c r="P291" s="121">
        <f>(VLOOKUP($A291,Hitters!$A1:$R401,14,FALSE)-AVERAGE(Rankings!W2:W651))/STDEV(Rankings!W2:W651)</f>
        <v>0.38234090182423502</v>
      </c>
      <c r="Q291" s="121">
        <f>(VLOOKUP($A291,Hitters!$A1:$R401,15,FALSE)-AVERAGE(Rankings!X2:X651))/STDEV(Rankings!X2:X651)</f>
        <v>9.7765040591121566E-2</v>
      </c>
      <c r="R291" s="121">
        <f>(VLOOKUP($A291,Hitters!$A1:$R401,16,FALSE)-AVERAGE(Rankings!Y2:Y651))/STDEV(Rankings!Y2:Y651)</f>
        <v>-0.48483480834263609</v>
      </c>
      <c r="S291" s="121">
        <f>(VLOOKUP($A291,Hitters!$A1:$R401,17,FALSE)-AVERAGE(Rankings!Z2:Z651))/STDEV(Rankings!Z2:Z651)</f>
        <v>-0.51447137998198322</v>
      </c>
      <c r="T291" s="121">
        <f>IFERROR((VLOOKUP($A291,Hitters!$A1:$R401,18,FALSE)-AVERAGE(Rankings!AA2:AA651))/STDEV(Rankings!AA2:AA651),0)</f>
        <v>0</v>
      </c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</row>
    <row r="292" spans="1:37" ht="18.600000000000001" customHeight="1">
      <c r="A292" s="25" t="s">
        <v>347</v>
      </c>
      <c r="B292" s="26" t="s">
        <v>99</v>
      </c>
      <c r="C292" s="126" t="s">
        <v>23</v>
      </c>
      <c r="D292" s="67">
        <f>(F292*Settings!$C$2)+(G292*Settings!$C$3)+(H292*Settings!$C$4)+(I292*Settings!$C$5)+(J292*Settings!$C$6)+(M292*Settings!$C$9)+(N292*Settings!$C$10)+(O292*Settings!$C$11)+(P292*Settings!$C$12)+(Q292*Settings!$C$13)+(T292*Settings!$C$16)+(K292*Settings!$C$7)+(L292*Settings!$C$8)+(R292*Settings!$C$14)+(S292*Settings!$C$15)</f>
        <v>-6.343233234041068E-3</v>
      </c>
      <c r="E292" s="67"/>
      <c r="F292" s="121">
        <f>(VLOOKUP($A292,Hitters!$A1:$R401,4,FALSE)-AVERAGE(Rankings!M2:M651))/STDEV(Rankings!M2:M651)</f>
        <v>-4.6195028228191527E-2</v>
      </c>
      <c r="G292" s="121">
        <f>(VLOOKUP($A292,Hitters!$A1:$R401,5,FALSE)-AVERAGE(Rankings!N2:N651))/STDEV(Rankings!N2:N651)</f>
        <v>-0.19075377315769576</v>
      </c>
      <c r="H292" s="121">
        <f>(VLOOKUP($A292,Hitters!$A1:$R401,6,FALSE)-AVERAGE(Rankings!O2:O651))/STDEV(Rankings!O2:O651)</f>
        <v>-0.4235805582476429</v>
      </c>
      <c r="I292" s="121">
        <f>(VLOOKUP($A292,Hitters!$A1:$R401,7,FALSE)-AVERAGE(Rankings!P2:P651))/STDEV(Rankings!P2:P651)</f>
        <v>-0.34944440975300584</v>
      </c>
      <c r="J292" s="121">
        <f>(VLOOKUP($A292,Hitters!$A1:$R401,8,FALSE)-AVERAGE(Rankings!Q2:Q651))/STDEV(Rankings!Q2:Q651)</f>
        <v>1.2865960779486223</v>
      </c>
      <c r="K292" s="121">
        <f>(VLOOKUP($A292,Hitters!$A1:$R401,9,FALSE)-AVERAGE(Rankings!R2:R651))/STDEV(Rankings!R2:R651)</f>
        <v>-0.32916057002431887</v>
      </c>
      <c r="L292" s="121">
        <f>(VLOOKUP($A292,Hitters!$A1:$R401,10,FALSE)-AVERAGE(Rankings!S2:S651))/STDEV(Rankings!S2:S651)</f>
        <v>-0.11285213078283694</v>
      </c>
      <c r="M292" s="121">
        <f>(VLOOKUP($A292,Hitters!$A1:$R401,11,FALSE)-AVERAGE(Rankings!T2:T651))/STDEV(Rankings!T2:T651)</f>
        <v>-0.14492914720417893</v>
      </c>
      <c r="N292" s="121">
        <f>(VLOOKUP($A292,Hitters!$A1:$R401,12,FALSE)-AVERAGE(Rankings!U2:U651))/STDEV(Rankings!U2:U651)</f>
        <v>-0.17111054768782741</v>
      </c>
      <c r="O292" s="121">
        <f>(VLOOKUP($A292,Hitters!$A1:$R401,13,FALSE)-AVERAGE(Rankings!V2:V651))/STDEV(Rankings!V2:V651)</f>
        <v>0.17012656954302174</v>
      </c>
      <c r="P292" s="121">
        <f>(VLOOKUP($A292,Hitters!$A1:$R401,14,FALSE)-AVERAGE(Rankings!W2:W651))/STDEV(Rankings!W2:W651)</f>
        <v>4.0550691750360406E-2</v>
      </c>
      <c r="Q292" s="121">
        <f>(VLOOKUP($A292,Hitters!$A1:$R401,15,FALSE)-AVERAGE(Rankings!X2:X651))/STDEV(Rankings!X2:X651)</f>
        <v>0.82731325362350616</v>
      </c>
      <c r="R292" s="121">
        <f>(VLOOKUP($A292,Hitters!$A1:$R401,16,FALSE)-AVERAGE(Rankings!Y2:Y651))/STDEV(Rankings!Y2:Y651)</f>
        <v>-0.65121854242677313</v>
      </c>
      <c r="S292" s="121">
        <f>(VLOOKUP($A292,Hitters!$A1:$R401,17,FALSE)-AVERAGE(Rankings!Z2:Z651))/STDEV(Rankings!Z2:Z651)</f>
        <v>-0.51832467243060409</v>
      </c>
      <c r="T292" s="121">
        <f>IFERROR((VLOOKUP($A292,Hitters!$A1:$R401,18,FALSE)-AVERAGE(Rankings!AA2:AA651))/STDEV(Rankings!AA2:AA651),0)</f>
        <v>0</v>
      </c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</row>
    <row r="293" spans="1:37" ht="18.600000000000001" customHeight="1">
      <c r="A293" s="25" t="s">
        <v>345</v>
      </c>
      <c r="B293" s="26" t="s">
        <v>103</v>
      </c>
      <c r="C293" s="126" t="s">
        <v>23</v>
      </c>
      <c r="D293" s="67">
        <f>(F293*Settings!$C$2)+(G293*Settings!$C$3)+(H293*Settings!$C$4)+(I293*Settings!$C$5)+(J293*Settings!$C$6)+(M293*Settings!$C$9)+(N293*Settings!$C$10)+(O293*Settings!$C$11)+(P293*Settings!$C$12)+(Q293*Settings!$C$13)+(T293*Settings!$C$16)+(K293*Settings!$C$7)+(L293*Settings!$C$8)+(R293*Settings!$C$14)+(S293*Settings!$C$15)</f>
        <v>2.3747295842080351E-3</v>
      </c>
      <c r="E293" s="67"/>
      <c r="F293" s="121">
        <f>(VLOOKUP($A293,Hitters!$A1:$R401,4,FALSE)-AVERAGE(Rankings!M2:M651))/STDEV(Rankings!M2:M651)</f>
        <v>-0.16894795609940699</v>
      </c>
      <c r="G293" s="121">
        <f>(VLOOKUP($A293,Hitters!$A1:$R401,5,FALSE)-AVERAGE(Rankings!N2:N651))/STDEV(Rankings!N2:N651)</f>
        <v>-6.4012299256009902E-2</v>
      </c>
      <c r="H293" s="121">
        <f>(VLOOKUP($A293,Hitters!$A1:$R401,6,FALSE)-AVERAGE(Rankings!O2:O651))/STDEV(Rankings!O2:O651)</f>
        <v>-0.10821638175995288</v>
      </c>
      <c r="I293" s="121">
        <f>(VLOOKUP($A293,Hitters!$A1:$R401,7,FALSE)-AVERAGE(Rankings!P2:P651))/STDEV(Rankings!P2:P651)</f>
        <v>-0.39337776564139371</v>
      </c>
      <c r="J293" s="121">
        <f>(VLOOKUP($A293,Hitters!$A1:$R401,8,FALSE)-AVERAGE(Rankings!Q2:Q651))/STDEV(Rankings!Q2:Q651)</f>
        <v>1.4171107064730355</v>
      </c>
      <c r="K293" s="121">
        <f>(VLOOKUP($A293,Hitters!$A1:$R401,9,FALSE)-AVERAGE(Rankings!R2:R651))/STDEV(Rankings!R2:R651)</f>
        <v>-0.84912953023147097</v>
      </c>
      <c r="L293" s="121">
        <f>(VLOOKUP($A293,Hitters!$A1:$R401,10,FALSE)-AVERAGE(Rankings!S2:S651))/STDEV(Rankings!S2:S651)</f>
        <v>-1.4434449259393562</v>
      </c>
      <c r="M293" s="121">
        <f>(VLOOKUP($A293,Hitters!$A1:$R401,11,FALSE)-AVERAGE(Rankings!T2:T651))/STDEV(Rankings!T2:T651)</f>
        <v>-0.35329271839355209</v>
      </c>
      <c r="N293" s="121">
        <f>(VLOOKUP($A293,Hitters!$A1:$R401,12,FALSE)-AVERAGE(Rankings!U2:U651))/STDEV(Rankings!U2:U651)</f>
        <v>-0.43047790882673692</v>
      </c>
      <c r="O293" s="121">
        <f>(VLOOKUP($A293,Hitters!$A1:$R401,13,FALSE)-AVERAGE(Rankings!V2:V651))/STDEV(Rankings!V2:V651)</f>
        <v>1.0136054031347017</v>
      </c>
      <c r="P293" s="121">
        <f>(VLOOKUP($A293,Hitters!$A1:$R401,14,FALSE)-AVERAGE(Rankings!W2:W651))/STDEV(Rankings!W2:W651)</f>
        <v>-0.72661972542633091</v>
      </c>
      <c r="Q293" s="121">
        <f>(VLOOKUP($A293,Hitters!$A1:$R401,15,FALSE)-AVERAGE(Rankings!X2:X651))/STDEV(Rankings!X2:X651)</f>
        <v>0.9769266814130565</v>
      </c>
      <c r="R293" s="121">
        <f>(VLOOKUP($A293,Hitters!$A1:$R401,16,FALSE)-AVERAGE(Rankings!Y2:Y651))/STDEV(Rankings!Y2:Y651)</f>
        <v>-0.27503292819600544</v>
      </c>
      <c r="S293" s="121">
        <f>(VLOOKUP($A293,Hitters!$A1:$R401,17,FALSE)-AVERAGE(Rankings!Z2:Z651))/STDEV(Rankings!Z2:Z651)</f>
        <v>-0.76678512178639113</v>
      </c>
      <c r="T293" s="121">
        <f>IFERROR((VLOOKUP($A293,Hitters!$A1:$R401,18,FALSE)-AVERAGE(Rankings!AA2:AA651))/STDEV(Rankings!AA2:AA651),0)</f>
        <v>0</v>
      </c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</row>
    <row r="294" spans="1:37" ht="18.600000000000001" customHeight="1">
      <c r="A294" s="25" t="s">
        <v>373</v>
      </c>
      <c r="B294" s="26" t="s">
        <v>158</v>
      </c>
      <c r="C294" s="126" t="s">
        <v>23</v>
      </c>
      <c r="D294" s="67">
        <f>(F294*Settings!$C$2)+(G294*Settings!$C$3)+(H294*Settings!$C$4)+(I294*Settings!$C$5)+(J294*Settings!$C$6)+(M294*Settings!$C$9)+(N294*Settings!$C$10)+(O294*Settings!$C$11)+(P294*Settings!$C$12)+(Q294*Settings!$C$13)+(T294*Settings!$C$16)+(K294*Settings!$C$7)+(L294*Settings!$C$8)+(R294*Settings!$C$14)+(S294*Settings!$C$15)</f>
        <v>-0.49190447316858044</v>
      </c>
      <c r="E294" s="67"/>
      <c r="F294" s="121">
        <f>(VLOOKUP($A294,Hitters!$A1:$R401,4,FALSE)-AVERAGE(Rankings!M2:M651))/STDEV(Rankings!M2:M651)</f>
        <v>0.3037814044259069</v>
      </c>
      <c r="G294" s="121">
        <f>(VLOOKUP($A294,Hitters!$A1:$R401,5,FALSE)-AVERAGE(Rankings!N2:N651))/STDEV(Rankings!N2:N651)</f>
        <v>0.24411367921156632</v>
      </c>
      <c r="H294" s="121">
        <f>(VLOOKUP($A294,Hitters!$A1:$R401,6,FALSE)-AVERAGE(Rankings!O2:O651))/STDEV(Rankings!O2:O651)</f>
        <v>0.17999723648707142</v>
      </c>
      <c r="I294" s="121">
        <f>(VLOOKUP($A294,Hitters!$A1:$R401,7,FALSE)-AVERAGE(Rankings!P2:P651))/STDEV(Rankings!P2:P651)</f>
        <v>0.249436599462385</v>
      </c>
      <c r="J294" s="121">
        <f>(VLOOKUP($A294,Hitters!$A1:$R401,8,FALSE)-AVERAGE(Rankings!Q2:Q651))/STDEV(Rankings!Q2:Q651)</f>
        <v>-0.14404504241508398</v>
      </c>
      <c r="K294" s="121">
        <f>(VLOOKUP($A294,Hitters!$A1:$R401,9,FALSE)-AVERAGE(Rankings!R2:R651))/STDEV(Rankings!R2:R651)</f>
        <v>-1.0214069459145192</v>
      </c>
      <c r="L294" s="121">
        <f>(VLOOKUP($A294,Hitters!$A1:$R401,10,FALSE)-AVERAGE(Rankings!S2:S651))/STDEV(Rankings!S2:S651)</f>
        <v>-8.8275802798639863E-2</v>
      </c>
      <c r="M294" s="121">
        <f>(VLOOKUP($A294,Hitters!$A1:$R401,11,FALSE)-AVERAGE(Rankings!T2:T651))/STDEV(Rankings!T2:T651)</f>
        <v>-1.1176112423226827E-2</v>
      </c>
      <c r="N294" s="121">
        <f>(VLOOKUP($A294,Hitters!$A1:$R401,12,FALSE)-AVERAGE(Rankings!U2:U651))/STDEV(Rankings!U2:U651)</f>
        <v>0.20305876018469998</v>
      </c>
      <c r="O294" s="121">
        <f>(VLOOKUP($A294,Hitters!$A1:$R401,13,FALSE)-AVERAGE(Rankings!V2:V651))/STDEV(Rankings!V2:V651)</f>
        <v>0.18395409140518312</v>
      </c>
      <c r="P294" s="121">
        <f>(VLOOKUP($A294,Hitters!$A1:$R401,14,FALSE)-AVERAGE(Rankings!W2:W651))/STDEV(Rankings!W2:W651)</f>
        <v>0.79100310952126474</v>
      </c>
      <c r="Q294" s="121">
        <f>(VLOOKUP($A294,Hitters!$A1:$R401,15,FALSE)-AVERAGE(Rankings!X2:X651))/STDEV(Rankings!X2:X651)</f>
        <v>-0.30477792798920694</v>
      </c>
      <c r="R294" s="121">
        <f>(VLOOKUP($A294,Hitters!$A1:$R401,16,FALSE)-AVERAGE(Rankings!Y2:Y651))/STDEV(Rankings!Y2:Y651)</f>
        <v>-0.37961093145662567</v>
      </c>
      <c r="S294" s="121">
        <f>(VLOOKUP($A294,Hitters!$A1:$R401,17,FALSE)-AVERAGE(Rankings!Z2:Z651))/STDEV(Rankings!Z2:Z651)</f>
        <v>-0.31097238188382204</v>
      </c>
      <c r="T294" s="121">
        <f>IFERROR((VLOOKUP($A294,Hitters!$A1:$R401,18,FALSE)-AVERAGE(Rankings!AA2:AA651))/STDEV(Rankings!AA2:AA651),0)</f>
        <v>0</v>
      </c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</row>
    <row r="295" spans="1:37" ht="18.600000000000001" customHeight="1">
      <c r="A295" s="25" t="s">
        <v>375</v>
      </c>
      <c r="B295" s="26" t="s">
        <v>79</v>
      </c>
      <c r="C295" s="126" t="s">
        <v>23</v>
      </c>
      <c r="D295" s="67">
        <f>(F295*Settings!$C$2)+(G295*Settings!$C$3)+(H295*Settings!$C$4)+(I295*Settings!$C$5)+(J295*Settings!$C$6)+(M295*Settings!$C$9)+(N295*Settings!$C$10)+(O295*Settings!$C$11)+(P295*Settings!$C$12)+(Q295*Settings!$C$13)+(T295*Settings!$C$16)+(K295*Settings!$C$7)+(L295*Settings!$C$8)+(R295*Settings!$C$14)+(S295*Settings!$C$15)</f>
        <v>-0.54912930998985954</v>
      </c>
      <c r="E295" s="67"/>
      <c r="F295" s="121">
        <f>(VLOOKUP($A295,Hitters!$A1:$R401,4,FALSE)-AVERAGE(Rankings!M2:M651))/STDEV(Rankings!M2:M651)</f>
        <v>-3.0524441691440977E-2</v>
      </c>
      <c r="G295" s="121">
        <f>(VLOOKUP($A295,Hitters!$A1:$R401,5,FALSE)-AVERAGE(Rankings!N2:N651))/STDEV(Rankings!N2:N651)</f>
        <v>1.0362936925821428E-2</v>
      </c>
      <c r="H295" s="121">
        <f>(VLOOKUP($A295,Hitters!$A1:$R401,6,FALSE)-AVERAGE(Rankings!O2:O651))/STDEV(Rankings!O2:O651)</f>
        <v>2.5447904963296453E-2</v>
      </c>
      <c r="I295" s="121">
        <f>(VLOOKUP($A295,Hitters!$A1:$R401,7,FALSE)-AVERAGE(Rankings!P2:P651))/STDEV(Rankings!P2:P651)</f>
        <v>1.5125368057648607E-2</v>
      </c>
      <c r="J295" s="121">
        <f>(VLOOKUP($A295,Hitters!$A1:$R401,8,FALSE)-AVERAGE(Rankings!Q2:Q651))/STDEV(Rankings!Q2:Q651)</f>
        <v>-0.16914400943900923</v>
      </c>
      <c r="K295" s="121">
        <f>(VLOOKUP($A295,Hitters!$A1:$R401,9,FALSE)-AVERAGE(Rankings!R2:R651))/STDEV(Rankings!R2:R651)</f>
        <v>-0.43092151049761684</v>
      </c>
      <c r="L295" s="121">
        <f>(VLOOKUP($A295,Hitters!$A1:$R401,10,FALSE)-AVERAGE(Rankings!S2:S651))/STDEV(Rankings!S2:S651)</f>
        <v>0.1426723797306759</v>
      </c>
      <c r="M295" s="121">
        <f>(VLOOKUP($A295,Hitters!$A1:$R401,11,FALSE)-AVERAGE(Rankings!T2:T651))/STDEV(Rankings!T2:T651)</f>
        <v>-0.15311810851729837</v>
      </c>
      <c r="N295" s="121">
        <f>(VLOOKUP($A295,Hitters!$A1:$R401,12,FALSE)-AVERAGE(Rankings!U2:U651))/STDEV(Rankings!U2:U651)</f>
        <v>-0.59630294299751796</v>
      </c>
      <c r="O295" s="121">
        <f>(VLOOKUP($A295,Hitters!$A1:$R401,13,FALSE)-AVERAGE(Rankings!V2:V651))/STDEV(Rankings!V2:V651)</f>
        <v>-0.14790643328662451</v>
      </c>
      <c r="P295" s="121">
        <f>(VLOOKUP($A295,Hitters!$A1:$R401,14,FALSE)-AVERAGE(Rankings!W2:W651))/STDEV(Rankings!W2:W651)</f>
        <v>0.32289912615921645</v>
      </c>
      <c r="Q295" s="121">
        <f>(VLOOKUP($A295,Hitters!$A1:$R401,15,FALSE)-AVERAGE(Rankings!X2:X651))/STDEV(Rankings!X2:X651)</f>
        <v>0.73715532482525892</v>
      </c>
      <c r="R295" s="121">
        <f>(VLOOKUP($A295,Hitters!$A1:$R401,16,FALSE)-AVERAGE(Rankings!Y2:Y651))/STDEV(Rankings!Y2:Y651)</f>
        <v>-0.31666709591256181</v>
      </c>
      <c r="S295" s="121">
        <f>(VLOOKUP($A295,Hitters!$A1:$R401,17,FALSE)-AVERAGE(Rankings!Z2:Z651))/STDEV(Rankings!Z2:Z651)</f>
        <v>-0.17450239746460744</v>
      </c>
      <c r="T295" s="121">
        <f>IFERROR((VLOOKUP($A295,Hitters!$A1:$R401,18,FALSE)-AVERAGE(Rankings!AA2:AA651))/STDEV(Rankings!AA2:AA651),0)</f>
        <v>0</v>
      </c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</row>
    <row r="296" spans="1:37" ht="18.600000000000001" customHeight="1">
      <c r="A296" s="25" t="s">
        <v>376</v>
      </c>
      <c r="B296" s="26" t="s">
        <v>260</v>
      </c>
      <c r="C296" s="126" t="s">
        <v>23</v>
      </c>
      <c r="D296" s="67">
        <f>(F296*Settings!$C$2)+(G296*Settings!$C$3)+(H296*Settings!$C$4)+(I296*Settings!$C$5)+(J296*Settings!$C$6)+(M296*Settings!$C$9)+(N296*Settings!$C$10)+(O296*Settings!$C$11)+(P296*Settings!$C$12)+(Q296*Settings!$C$13)+(T296*Settings!$C$16)+(K296*Settings!$C$7)+(L296*Settings!$C$8)+(R296*Settings!$C$14)+(S296*Settings!$C$15)</f>
        <v>-0.55681796176283838</v>
      </c>
      <c r="E296" s="67"/>
      <c r="F296" s="121">
        <f>(VLOOKUP($A296,Hitters!$A1:$R401,4,FALSE)-AVERAGE(Rankings!M2:M651))/STDEV(Rankings!M2:M651)</f>
        <v>0.15491083232677669</v>
      </c>
      <c r="G296" s="121">
        <f>(VLOOKUP($A296,Hitters!$A1:$R401,5,FALSE)-AVERAGE(Rankings!N2:N651))/STDEV(Rankings!N2:N651)</f>
        <v>-0.2841022838757048</v>
      </c>
      <c r="H296" s="121">
        <f>(VLOOKUP($A296,Hitters!$A1:$R401,6,FALSE)-AVERAGE(Rankings!O2:O651))/STDEV(Rankings!O2:O651)</f>
        <v>0.15075817376635045</v>
      </c>
      <c r="I296" s="121">
        <f>(VLOOKUP($A296,Hitters!$A1:$R401,7,FALSE)-AVERAGE(Rankings!P2:P651))/STDEV(Rankings!P2:P651)</f>
        <v>-2.4954184682631678E-2</v>
      </c>
      <c r="J296" s="121">
        <f>(VLOOKUP($A296,Hitters!$A1:$R401,8,FALSE)-AVERAGE(Rankings!Q2:Q651))/STDEV(Rankings!Q2:Q651)</f>
        <v>-0.30467843136820238</v>
      </c>
      <c r="K296" s="121">
        <f>(VLOOKUP($A296,Hitters!$A1:$R401,9,FALSE)-AVERAGE(Rankings!R2:R651))/STDEV(Rankings!R2:R651)</f>
        <v>-9.3841235602649994E-2</v>
      </c>
      <c r="L296" s="121">
        <f>(VLOOKUP($A296,Hitters!$A1:$R401,10,FALSE)-AVERAGE(Rankings!S2:S651))/STDEV(Rankings!S2:S651)</f>
        <v>-0.7156087304728187</v>
      </c>
      <c r="M296" s="121">
        <f>(VLOOKUP($A296,Hitters!$A1:$R401,11,FALSE)-AVERAGE(Rankings!T2:T651))/STDEV(Rankings!T2:T651)</f>
        <v>7.7992577430741894E-2</v>
      </c>
      <c r="N296" s="121">
        <f>(VLOOKUP($A296,Hitters!$A1:$R401,12,FALSE)-AVERAGE(Rankings!U2:U651))/STDEV(Rankings!U2:U651)</f>
        <v>-0.24764517884357268</v>
      </c>
      <c r="O296" s="121">
        <f>(VLOOKUP($A296,Hitters!$A1:$R401,13,FALSE)-AVERAGE(Rankings!V2:V651))/STDEV(Rankings!V2:V651)</f>
        <v>0.21160913512949756</v>
      </c>
      <c r="P296" s="121">
        <f>(VLOOKUP($A296,Hitters!$A1:$R401,14,FALSE)-AVERAGE(Rankings!W2:W651))/STDEV(Rankings!W2:W651)</f>
        <v>-0.47399217884998396</v>
      </c>
      <c r="Q296" s="121">
        <f>(VLOOKUP($A296,Hitters!$A1:$R401,15,FALSE)-AVERAGE(Rankings!X2:X651))/STDEV(Rankings!X2:X651)</f>
        <v>0.24201772666832341</v>
      </c>
      <c r="R296" s="121">
        <f>(VLOOKUP($A296,Hitters!$A1:$R401,16,FALSE)-AVERAGE(Rankings!Y2:Y651))/STDEV(Rankings!Y2:Y651)</f>
        <v>-2.6710269638179187E-3</v>
      </c>
      <c r="S296" s="121">
        <f>(VLOOKUP($A296,Hitters!$A1:$R401,17,FALSE)-AVERAGE(Rankings!Z2:Z651))/STDEV(Rankings!Z2:Z651)</f>
        <v>-0.28283763065771317</v>
      </c>
      <c r="T296" s="121">
        <f>IFERROR((VLOOKUP($A296,Hitters!$A1:$R401,18,FALSE)-AVERAGE(Rankings!AA2:AA651))/STDEV(Rankings!AA2:AA651),0)</f>
        <v>0</v>
      </c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</row>
    <row r="297" spans="1:37" ht="18.600000000000001" customHeight="1">
      <c r="A297" s="25" t="s">
        <v>371</v>
      </c>
      <c r="B297" s="26" t="s">
        <v>119</v>
      </c>
      <c r="C297" s="126" t="s">
        <v>23</v>
      </c>
      <c r="D297" s="67">
        <f>(F297*Settings!$C$2)+(G297*Settings!$C$3)+(H297*Settings!$C$4)+(I297*Settings!$C$5)+(J297*Settings!$C$6)+(M297*Settings!$C$9)+(N297*Settings!$C$10)+(O297*Settings!$C$11)+(P297*Settings!$C$12)+(Q297*Settings!$C$13)+(T297*Settings!$C$16)+(K297*Settings!$C$7)+(L297*Settings!$C$8)+(R297*Settings!$C$14)+(S297*Settings!$C$15)</f>
        <v>-0.48270888785140298</v>
      </c>
      <c r="E297" s="67"/>
      <c r="F297" s="121">
        <f>(VLOOKUP($A297,Hitters!$A1:$R401,4,FALSE)-AVERAGE(Rankings!M2:M651))/STDEV(Rankings!M2:M651)</f>
        <v>-0.17417148494498486</v>
      </c>
      <c r="G297" s="121">
        <f>(VLOOKUP($A297,Hitters!$A1:$R401,5,FALSE)-AVERAGE(Rankings!N2:N651))/STDEV(Rankings!N2:N651)</f>
        <v>-0.29472731761596477</v>
      </c>
      <c r="H297" s="121">
        <f>(VLOOKUP($A297,Hitters!$A1:$R401,6,FALSE)-AVERAGE(Rankings!O2:O651))/STDEV(Rankings!O2:O651)</f>
        <v>-0.32542084768525487</v>
      </c>
      <c r="I297" s="121">
        <f>(VLOOKUP($A297,Hitters!$A1:$R401,7,FALSE)-AVERAGE(Rankings!P2:P651))/STDEV(Rankings!P2:P651)</f>
        <v>-0.40879297823380895</v>
      </c>
      <c r="J297" s="121">
        <f>(VLOOKUP($A297,Hitters!$A1:$R401,8,FALSE)-AVERAGE(Rankings!Q2:Q651))/STDEV(Rankings!Q2:Q651)</f>
        <v>-1.8550207295461196E-2</v>
      </c>
      <c r="K297" s="121">
        <f>(VLOOKUP($A297,Hitters!$A1:$R401,9,FALSE)-AVERAGE(Rankings!R2:R651))/STDEV(Rankings!R2:R651)</f>
        <v>0.56478246297908696</v>
      </c>
      <c r="L297" s="121">
        <f>(VLOOKUP($A297,Hitters!$A1:$R401,10,FALSE)-AVERAGE(Rankings!S2:S651))/STDEV(Rankings!S2:S651)</f>
        <v>-0.28065019680199421</v>
      </c>
      <c r="M297" s="121">
        <f>(VLOOKUP($A297,Hitters!$A1:$R401,11,FALSE)-AVERAGE(Rankings!T2:T651))/STDEV(Rankings!T2:T651)</f>
        <v>-7.3958149157142966E-2</v>
      </c>
      <c r="N297" s="121">
        <f>(VLOOKUP($A297,Hitters!$A1:$R401,12,FALSE)-AVERAGE(Rankings!U2:U651))/STDEV(Rankings!U2:U651)</f>
        <v>-0.51126446393558755</v>
      </c>
      <c r="O297" s="121">
        <f>(VLOOKUP($A297,Hitters!$A1:$R401,13,FALSE)-AVERAGE(Rankings!V2:V651))/STDEV(Rankings!V2:V651)</f>
        <v>-0.39680182680547998</v>
      </c>
      <c r="P297" s="121">
        <f>(VLOOKUP($A297,Hitters!$A1:$R401,14,FALSE)-AVERAGE(Rankings!W2:W651))/STDEV(Rankings!W2:W651)</f>
        <v>-0.7043290595519478</v>
      </c>
      <c r="Q297" s="121">
        <f>(VLOOKUP($A297,Hitters!$A1:$R401,15,FALSE)-AVERAGE(Rankings!X2:X651))/STDEV(Rankings!X2:X651)</f>
        <v>-0.44610657313242014</v>
      </c>
      <c r="R297" s="121">
        <f>(VLOOKUP($A297,Hitters!$A1:$R401,16,FALSE)-AVERAGE(Rankings!Y2:Y651))/STDEV(Rankings!Y2:Y651)</f>
        <v>-0.19501164733512286</v>
      </c>
      <c r="S297" s="121">
        <f>(VLOOKUP($A297,Hitters!$A1:$R401,17,FALSE)-AVERAGE(Rankings!Z2:Z651))/STDEV(Rankings!Z2:Z651)</f>
        <v>-0.25211248990415741</v>
      </c>
      <c r="T297" s="121">
        <f>IFERROR((VLOOKUP($A297,Hitters!$A1:$R401,18,FALSE)-AVERAGE(Rankings!AA2:AA651))/STDEV(Rankings!AA2:AA651),0)</f>
        <v>0</v>
      </c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</row>
    <row r="298" spans="1:37" ht="18.600000000000001" customHeight="1">
      <c r="A298" s="25" t="s">
        <v>382</v>
      </c>
      <c r="B298" s="26" t="s">
        <v>92</v>
      </c>
      <c r="C298" s="126" t="s">
        <v>23</v>
      </c>
      <c r="D298" s="67">
        <f>(F298*Settings!$C$2)+(G298*Settings!$C$3)+(H298*Settings!$C$4)+(I298*Settings!$C$5)+(J298*Settings!$C$6)+(M298*Settings!$C$9)+(N298*Settings!$C$10)+(O298*Settings!$C$11)+(P298*Settings!$C$12)+(Q298*Settings!$C$13)+(T298*Settings!$C$16)+(K298*Settings!$C$7)+(L298*Settings!$C$8)+(R298*Settings!$C$14)+(S298*Settings!$C$15)</f>
        <v>-0.60421032389056717</v>
      </c>
      <c r="E298" s="67"/>
      <c r="F298" s="121">
        <f>(VLOOKUP($A298,Hitters!$A1:$R401,4,FALSE)-AVERAGE(Rankings!M2:M651))/STDEV(Rankings!M2:M651)</f>
        <v>0.27766376019798367</v>
      </c>
      <c r="G298" s="121">
        <f>(VLOOKUP($A298,Hitters!$A1:$R401,5,FALSE)-AVERAGE(Rankings!N2:N651))/STDEV(Rankings!N2:N651)</f>
        <v>-0.10347671029126292</v>
      </c>
      <c r="H298" s="121">
        <f>(VLOOKUP($A298,Hitters!$A1:$R401,6,FALSE)-AVERAGE(Rankings!O2:O651))/STDEV(Rankings!O2:O651)</f>
        <v>-0.56351035841105368</v>
      </c>
      <c r="I298" s="121">
        <f>(VLOOKUP($A298,Hitters!$A1:$R401,7,FALSE)-AVERAGE(Rankings!P2:P651))/STDEV(Rankings!P2:P651)</f>
        <v>-0.26234845860585287</v>
      </c>
      <c r="J298" s="121">
        <f>(VLOOKUP($A298,Hitters!$A1:$R401,8,FALSE)-AVERAGE(Rankings!Q2:Q651))/STDEV(Rankings!Q2:Q651)</f>
        <v>0.65912190235050061</v>
      </c>
      <c r="K298" s="121">
        <f>(VLOOKUP($A298,Hitters!$A1:$R401,9,FALSE)-AVERAGE(Rankings!R2:R651))/STDEV(Rankings!R2:R651)</f>
        <v>-0.33399669893289824</v>
      </c>
      <c r="L298" s="121">
        <f>(VLOOKUP($A298,Hitters!$A1:$R401,10,FALSE)-AVERAGE(Rankings!S2:S651))/STDEV(Rankings!S2:S651)</f>
        <v>-0.59001441053551529</v>
      </c>
      <c r="M298" s="121">
        <f>(VLOOKUP($A298,Hitters!$A1:$R401,11,FALSE)-AVERAGE(Rankings!T2:T651))/STDEV(Rankings!T2:T651)</f>
        <v>0.12803622989980465</v>
      </c>
      <c r="N298" s="121">
        <f>(VLOOKUP($A298,Hitters!$A1:$R401,12,FALSE)-AVERAGE(Rankings!U2:U651))/STDEV(Rankings!U2:U651)</f>
        <v>-1.8041285376337372E-2</v>
      </c>
      <c r="O298" s="121">
        <f>(VLOOKUP($A298,Hitters!$A1:$R401,13,FALSE)-AVERAGE(Rankings!V2:V651))/STDEV(Rankings!V2:V651)</f>
        <v>1.5390512338967277</v>
      </c>
      <c r="P298" s="121">
        <f>(VLOOKUP($A298,Hitters!$A1:$R401,14,FALSE)-AVERAGE(Rankings!W2:W651))/STDEV(Rankings!W2:W651)</f>
        <v>-0.14334730171330112</v>
      </c>
      <c r="Q298" s="121">
        <f>(VLOOKUP($A298,Hitters!$A1:$R401,15,FALSE)-AVERAGE(Rankings!X2:X651))/STDEV(Rankings!X2:X651)</f>
        <v>1.5997474003545313</v>
      </c>
      <c r="R298" s="121">
        <f>(VLOOKUP($A298,Hitters!$A1:$R401,16,FALSE)-AVERAGE(Rankings!Y2:Y651))/STDEV(Rankings!Y2:Y651)</f>
        <v>-0.91403410930367901</v>
      </c>
      <c r="S298" s="121">
        <f>(VLOOKUP($A298,Hitters!$A1:$R401,17,FALSE)-AVERAGE(Rankings!Z2:Z651))/STDEV(Rankings!Z2:Z651)</f>
        <v>-0.89692785911894846</v>
      </c>
      <c r="T298" s="121">
        <f>IFERROR((VLOOKUP($A298,Hitters!$A1:$R401,18,FALSE)-AVERAGE(Rankings!AA2:AA651))/STDEV(Rankings!AA2:AA651),0)</f>
        <v>0</v>
      </c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</row>
    <row r="299" spans="1:37" ht="18.600000000000001" customHeight="1">
      <c r="A299" s="25" t="s">
        <v>372</v>
      </c>
      <c r="B299" s="26" t="s">
        <v>119</v>
      </c>
      <c r="C299" s="126" t="s">
        <v>23</v>
      </c>
      <c r="D299" s="67">
        <f>(F299*Settings!$C$2)+(G299*Settings!$C$3)+(H299*Settings!$C$4)+(I299*Settings!$C$5)+(J299*Settings!$C$6)+(M299*Settings!$C$9)+(N299*Settings!$C$10)+(O299*Settings!$C$11)+(P299*Settings!$C$12)+(Q299*Settings!$C$13)+(T299*Settings!$C$16)+(K299*Settings!$C$7)+(L299*Settings!$C$8)+(R299*Settings!$C$14)+(S299*Settings!$C$15)</f>
        <v>-0.48786650088991634</v>
      </c>
      <c r="E299" s="67"/>
      <c r="F299" s="121">
        <f>(VLOOKUP($A299,Hitters!$A1:$R401,4,FALSE)-AVERAGE(Rankings!M2:M651))/STDEV(Rankings!M2:M651)</f>
        <v>0.20975788520540362</v>
      </c>
      <c r="G299" s="121">
        <f>(VLOOKUP($A299,Hitters!$A1:$R401,5,FALSE)-AVERAGE(Rankings!N2:N651))/STDEV(Rankings!N2:N651)</f>
        <v>-0.33874531453990542</v>
      </c>
      <c r="H299" s="121">
        <f>(VLOOKUP($A299,Hitters!$A1:$R401,6,FALSE)-AVERAGE(Rankings!O2:O651))/STDEV(Rankings!O2:O651)</f>
        <v>-0.69717464513431038</v>
      </c>
      <c r="I299" s="121">
        <f>(VLOOKUP($A299,Hitters!$A1:$R401,7,FALSE)-AVERAGE(Rankings!P2:P651))/STDEV(Rankings!P2:P651)</f>
        <v>-0.30396953260537807</v>
      </c>
      <c r="J299" s="121">
        <f>(VLOOKUP($A299,Hitters!$A1:$R401,8,FALSE)-AVERAGE(Rankings!Q2:Q651))/STDEV(Rankings!Q2:Q651)</f>
        <v>1.0657251681380802</v>
      </c>
      <c r="K299" s="121">
        <f>(VLOOKUP($A299,Hitters!$A1:$R401,9,FALSE)-AVERAGE(Rankings!R2:R651))/STDEV(Rankings!R2:R651)</f>
        <v>-0.21370217674840267</v>
      </c>
      <c r="L299" s="121">
        <f>(VLOOKUP($A299,Hitters!$A1:$R401,10,FALSE)-AVERAGE(Rankings!S2:S651))/STDEV(Rankings!S2:S651)</f>
        <v>-0.80141839439250007</v>
      </c>
      <c r="M299" s="121">
        <f>(VLOOKUP($A299,Hitters!$A1:$R401,11,FALSE)-AVERAGE(Rankings!T2:T651))/STDEV(Rankings!T2:T651)</f>
        <v>9.8010038418366599E-2</v>
      </c>
      <c r="N299" s="121">
        <f>(VLOOKUP($A299,Hitters!$A1:$R401,12,FALSE)-AVERAGE(Rankings!U2:U651))/STDEV(Rankings!U2:U651)</f>
        <v>-0.12859130815686218</v>
      </c>
      <c r="O299" s="121">
        <f>(VLOOKUP($A299,Hitters!$A1:$R401,13,FALSE)-AVERAGE(Rankings!V2:V651))/STDEV(Rankings!V2:V651)</f>
        <v>1.5667062776210423</v>
      </c>
      <c r="P299" s="121">
        <f>(VLOOKUP($A299,Hitters!$A1:$R401,14,FALSE)-AVERAGE(Rankings!W2:W651))/STDEV(Rankings!W2:W651)</f>
        <v>-0.43869862454887898</v>
      </c>
      <c r="Q299" s="121">
        <f>(VLOOKUP($A299,Hitters!$A1:$R401,15,FALSE)-AVERAGE(Rankings!X2:X651))/STDEV(Rankings!X2:X651)</f>
        <v>0.3706755277642147</v>
      </c>
      <c r="R299" s="121">
        <f>(VLOOKUP($A299,Hitters!$A1:$R401,16,FALSE)-AVERAGE(Rankings!Y2:Y651))/STDEV(Rankings!Y2:Y651)</f>
        <v>-1.0165875429819691</v>
      </c>
      <c r="S299" s="121">
        <f>(VLOOKUP($A299,Hitters!$A1:$R401,17,FALSE)-AVERAGE(Rankings!Z2:Z651))/STDEV(Rankings!Z2:Z651)</f>
        <v>-1.0545584477049255</v>
      </c>
      <c r="T299" s="121">
        <f>IFERROR((VLOOKUP($A299,Hitters!$A1:$R401,18,FALSE)-AVERAGE(Rankings!AA2:AA651))/STDEV(Rankings!AA2:AA651),0)</f>
        <v>0</v>
      </c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</row>
    <row r="300" spans="1:37" ht="18.600000000000001" customHeight="1">
      <c r="A300" s="25" t="s">
        <v>395</v>
      </c>
      <c r="B300" s="26" t="s">
        <v>74</v>
      </c>
      <c r="C300" s="126" t="s">
        <v>23</v>
      </c>
      <c r="D300" s="67">
        <f>(F300*Settings!$C$2)+(G300*Settings!$C$3)+(H300*Settings!$C$4)+(I300*Settings!$C$5)+(J300*Settings!$C$6)+(M300*Settings!$C$9)+(N300*Settings!$C$10)+(O300*Settings!$C$11)+(P300*Settings!$C$12)+(Q300*Settings!$C$13)+(T300*Settings!$C$16)+(K300*Settings!$C$7)+(L300*Settings!$C$8)+(R300*Settings!$C$14)+(S300*Settings!$C$15)</f>
        <v>-0.74392488906323018</v>
      </c>
      <c r="E300" s="67"/>
      <c r="F300" s="121">
        <f>(VLOOKUP($A300,Hitters!$A1:$R401,4,FALSE)-AVERAGE(Rankings!M2:M651))/STDEV(Rankings!M2:M651)</f>
        <v>-5.4030321496566801E-2</v>
      </c>
      <c r="G300" s="121">
        <f>(VLOOKUP($A300,Hitters!$A1:$R401,5,FALSE)-AVERAGE(Rankings!N2:N651))/STDEV(Rankings!N2:N651)</f>
        <v>-0.32053097098517197</v>
      </c>
      <c r="H300" s="121">
        <f>(VLOOKUP($A300,Hitters!$A1:$R401,6,FALSE)-AVERAGE(Rankings!O2:O651))/STDEV(Rankings!O2:O651)</f>
        <v>-0.17922553408168768</v>
      </c>
      <c r="I300" s="121">
        <f>(VLOOKUP($A300,Hitters!$A1:$R401,7,FALSE)-AVERAGE(Rankings!P2:P651))/STDEV(Rankings!P2:P651)</f>
        <v>2.8999059390823877E-2</v>
      </c>
      <c r="J300" s="121">
        <f>(VLOOKUP($A300,Hitters!$A1:$R401,8,FALSE)-AVERAGE(Rankings!Q2:Q651))/STDEV(Rankings!Q2:Q651)</f>
        <v>4.1687313561958074E-2</v>
      </c>
      <c r="K300" s="121">
        <f>(VLOOKUP($A300,Hitters!$A1:$R401,9,FALSE)-AVERAGE(Rankings!R2:R651))/STDEV(Rankings!R2:R651)</f>
        <v>-0.31485475694915249</v>
      </c>
      <c r="L300" s="121">
        <f>(VLOOKUP($A300,Hitters!$A1:$R401,10,FALSE)-AVERAGE(Rankings!S2:S651))/STDEV(Rankings!S2:S651)</f>
        <v>-0.91291790398093553</v>
      </c>
      <c r="M300" s="121">
        <f>(VLOOKUP($A300,Hitters!$A1:$R401,11,FALSE)-AVERAGE(Rankings!T2:T651))/STDEV(Rankings!T2:T651)</f>
        <v>-0.14856868556556441</v>
      </c>
      <c r="N300" s="121">
        <f>(VLOOKUP($A300,Hitters!$A1:$R401,12,FALSE)-AVERAGE(Rankings!U2:U651))/STDEV(Rankings!U2:U651)</f>
        <v>-0.25189710279666527</v>
      </c>
      <c r="O300" s="121">
        <f>(VLOOKUP($A300,Hitters!$A1:$R401,13,FALSE)-AVERAGE(Rankings!V2:V651))/STDEV(Rankings!V2:V651)</f>
        <v>0.12864400395654579</v>
      </c>
      <c r="P300" s="121">
        <f>(VLOOKUP($A300,Hitters!$A1:$R401,14,FALSE)-AVERAGE(Rankings!W2:W651))/STDEV(Rankings!W2:W651)</f>
        <v>-0.59473328566956163</v>
      </c>
      <c r="Q300" s="121">
        <f>(VLOOKUP($A300,Hitters!$A1:$R401,15,FALSE)-AVERAGE(Rankings!X2:X651))/STDEV(Rankings!X2:X651)</f>
        <v>-0.38177767258447431</v>
      </c>
      <c r="R300" s="121">
        <f>(VLOOKUP($A300,Hitters!$A1:$R401,16,FALSE)-AVERAGE(Rankings!Y2:Y651))/STDEV(Rankings!Y2:Y651)</f>
        <v>-0.32645758710035205</v>
      </c>
      <c r="S300" s="121">
        <f>(VLOOKUP($A300,Hitters!$A1:$R401,17,FALSE)-AVERAGE(Rankings!Z2:Z651))/STDEV(Rankings!Z2:Z651)</f>
        <v>-0.59597315497264836</v>
      </c>
      <c r="T300" s="121">
        <f>IFERROR((VLOOKUP($A300,Hitters!$A1:$R401,18,FALSE)-AVERAGE(Rankings!AA2:AA651))/STDEV(Rankings!AA2:AA651),0)</f>
        <v>0</v>
      </c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</row>
    <row r="301" spans="1:37" ht="18.600000000000001" customHeight="1">
      <c r="A301" s="25" t="s">
        <v>399</v>
      </c>
      <c r="B301" s="26"/>
      <c r="C301" s="126" t="s">
        <v>23</v>
      </c>
      <c r="D301" s="67">
        <f>(F301*Settings!$C$2)+(G301*Settings!$C$3)+(H301*Settings!$C$4)+(I301*Settings!$C$5)+(J301*Settings!$C$6)+(M301*Settings!$C$9)+(N301*Settings!$C$10)+(O301*Settings!$C$11)+(P301*Settings!$C$12)+(Q301*Settings!$C$13)+(T301*Settings!$C$16)+(K301*Settings!$C$7)+(L301*Settings!$C$8)+(R301*Settings!$C$14)+(S301*Settings!$C$15)</f>
        <v>-0.82239916600216012</v>
      </c>
      <c r="E301" s="67"/>
      <c r="F301" s="121">
        <f>(VLOOKUP($A301,Hitters!$A1:$R401,4,FALSE)-AVERAGE(Rankings!M2:M651))/STDEV(Rankings!M2:M651)</f>
        <v>0.11312260156210291</v>
      </c>
      <c r="G301" s="121">
        <f>(VLOOKUP($A301,Hitters!$A1:$R401,5,FALSE)-AVERAGE(Rankings!N2:N651))/STDEV(Rankings!N2:N651)</f>
        <v>0.13634547984605849</v>
      </c>
      <c r="H301" s="121">
        <f>(VLOOKUP($A301,Hitters!$A1:$R401,6,FALSE)-AVERAGE(Rankings!O2:O651))/STDEV(Rankings!O2:O651)</f>
        <v>-0.43820008960800327</v>
      </c>
      <c r="I301" s="121">
        <f>(VLOOKUP($A301,Hitters!$A1:$R401,7,FALSE)-AVERAGE(Rankings!P2:P651))/STDEV(Rankings!P2:P651)</f>
        <v>-0.33017539401248341</v>
      </c>
      <c r="J301" s="121">
        <f>(VLOOKUP($A301,Hitters!$A1:$R401,8,FALSE)-AVERAGE(Rankings!Q2:Q651))/STDEV(Rankings!Q2:Q651)</f>
        <v>3.6667520157173561E-2</v>
      </c>
      <c r="K301" s="121">
        <f>(VLOOKUP($A301,Hitters!$A1:$R401,9,FALSE)-AVERAGE(Rankings!R2:R651))/STDEV(Rankings!R2:R651)</f>
        <v>-0.22703668238490551</v>
      </c>
      <c r="L301" s="121">
        <f>(VLOOKUP($A301,Hitters!$A1:$R401,10,FALSE)-AVERAGE(Rankings!S2:S651))/STDEV(Rankings!S2:S651)</f>
        <v>0.49069973614354678</v>
      </c>
      <c r="M301" s="121">
        <f>(VLOOKUP($A301,Hitters!$A1:$R401,11,FALSE)-AVERAGE(Rankings!T2:T651))/STDEV(Rankings!T2:T651)</f>
        <v>1.2480886925786064E-2</v>
      </c>
      <c r="N301" s="121">
        <f>(VLOOKUP($A301,Hitters!$A1:$R401,12,FALSE)-AVERAGE(Rankings!U2:U651))/STDEV(Rankings!U2:U651)</f>
        <v>0.24982992366877055</v>
      </c>
      <c r="O301" s="121">
        <f>(VLOOKUP($A301,Hitters!$A1:$R401,13,FALSE)-AVERAGE(Rankings!V2:V651))/STDEV(Rankings!V2:V651)</f>
        <v>1.8023829059279399E-2</v>
      </c>
      <c r="P301" s="121">
        <f>(VLOOKUP($A301,Hitters!$A1:$R401,14,FALSE)-AVERAGE(Rankings!W2:W651))/STDEV(Rankings!W2:W651)</f>
        <v>0.60524756056806739</v>
      </c>
      <c r="Q301" s="121">
        <f>(VLOOKUP($A301,Hitters!$A1:$R401,15,FALSE)-AVERAGE(Rankings!X2:X651))/STDEV(Rankings!X2:X651)</f>
        <v>-0.65566284006891118</v>
      </c>
      <c r="R301" s="121">
        <f>(VLOOKUP($A301,Hitters!$A1:$R401,16,FALSE)-AVERAGE(Rankings!Y2:Y651))/STDEV(Rankings!Y2:Y651)</f>
        <v>-0.62346692238989532</v>
      </c>
      <c r="S301" s="121">
        <f>(VLOOKUP($A301,Hitters!$A1:$R401,17,FALSE)-AVERAGE(Rankings!Z2:Z651))/STDEV(Rankings!Z2:Z651)</f>
        <v>-0.26121563550799465</v>
      </c>
      <c r="T301" s="121">
        <f>IFERROR((VLOOKUP($A301,Hitters!$A1:$R401,18,FALSE)-AVERAGE(Rankings!AA2:AA651))/STDEV(Rankings!AA2:AA651),0)</f>
        <v>0</v>
      </c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</row>
    <row r="302" spans="1:37" ht="18.600000000000001" customHeight="1">
      <c r="A302" s="25" t="s">
        <v>401</v>
      </c>
      <c r="B302" s="26" t="s">
        <v>178</v>
      </c>
      <c r="C302" s="126" t="s">
        <v>23</v>
      </c>
      <c r="D302" s="67">
        <f>(F302*Settings!$C$2)+(G302*Settings!$C$3)+(H302*Settings!$C$4)+(I302*Settings!$C$5)+(J302*Settings!$C$6)+(M302*Settings!$C$9)+(N302*Settings!$C$10)+(O302*Settings!$C$11)+(P302*Settings!$C$12)+(Q302*Settings!$C$13)+(T302*Settings!$C$16)+(K302*Settings!$C$7)+(L302*Settings!$C$8)+(R302*Settings!$C$14)+(S302*Settings!$C$15)</f>
        <v>-0.85448340771770881</v>
      </c>
      <c r="E302" s="67"/>
      <c r="F302" s="121">
        <f>(VLOOKUP($A302,Hitters!$A1:$R401,4,FALSE)-AVERAGE(Rankings!M2:M651))/STDEV(Rankings!M2:M651)</f>
        <v>3.476966887835016E-2</v>
      </c>
      <c r="G302" s="121">
        <f>(VLOOKUP($A302,Hitters!$A1:$R401,5,FALSE)-AVERAGE(Rankings!N2:N651))/STDEV(Rankings!N2:N651)</f>
        <v>-0.11561960599442016</v>
      </c>
      <c r="H302" s="121">
        <f>(VLOOKUP($A302,Hitters!$A1:$R401,6,FALSE)-AVERAGE(Rankings!O2:O651))/STDEV(Rankings!O2:O651)</f>
        <v>-1.2986639353889697</v>
      </c>
      <c r="I302" s="121">
        <f>(VLOOKUP($A302,Hitters!$A1:$R401,7,FALSE)-AVERAGE(Rankings!P2:P651))/STDEV(Rankings!P2:P651)</f>
        <v>-0.63231356082385493</v>
      </c>
      <c r="J302" s="121">
        <f>(VLOOKUP($A302,Hitters!$A1:$R401,8,FALSE)-AVERAGE(Rankings!Q2:Q651))/STDEV(Rankings!Q2:Q651)</f>
        <v>-0.52554934117873864</v>
      </c>
      <c r="K302" s="121">
        <f>(VLOOKUP($A302,Hitters!$A1:$R401,9,FALSE)-AVERAGE(Rankings!R2:R651))/STDEV(Rankings!R2:R651)</f>
        <v>1.7176630356682743</v>
      </c>
      <c r="L302" s="121">
        <f>(VLOOKUP($A302,Hitters!$A1:$R401,10,FALSE)-AVERAGE(Rankings!S2:S651))/STDEV(Rankings!S2:S651)</f>
        <v>0.67167624173982388</v>
      </c>
      <c r="M302" s="121">
        <f>(VLOOKUP($A302,Hitters!$A1:$R401,11,FALSE)-AVERAGE(Rankings!T2:T651))/STDEV(Rankings!T2:T651)</f>
        <v>0.36460622338993315</v>
      </c>
      <c r="N302" s="121">
        <f>(VLOOKUP($A302,Hitters!$A1:$R401,12,FALSE)-AVERAGE(Rankings!U2:U651))/STDEV(Rankings!U2:U651)</f>
        <v>-3.0797057235627943E-2</v>
      </c>
      <c r="O302" s="121">
        <f>(VLOOKUP($A302,Hitters!$A1:$R401,13,FALSE)-AVERAGE(Rankings!V2:V651))/STDEV(Rankings!V2:V651)</f>
        <v>0.34988435375108684</v>
      </c>
      <c r="P302" s="121">
        <f>(VLOOKUP($A302,Hitters!$A1:$R401,14,FALSE)-AVERAGE(Rankings!W2:W651))/STDEV(Rankings!W2:W651)</f>
        <v>-0.57801528626377419</v>
      </c>
      <c r="Q302" s="121">
        <f>(VLOOKUP($A302,Hitters!$A1:$R401,15,FALSE)-AVERAGE(Rankings!X2:X651))/STDEV(Rankings!X2:X651)</f>
        <v>-0.70342217532420315</v>
      </c>
      <c r="R302" s="121">
        <f>(VLOOKUP($A302,Hitters!$A1:$R401,16,FALSE)-AVERAGE(Rankings!Y2:Y651))/STDEV(Rankings!Y2:Y651)</f>
        <v>-0.92984791486032981</v>
      </c>
      <c r="S302" s="121">
        <f>(VLOOKUP($A302,Hitters!$A1:$R401,17,FALSE)-AVERAGE(Rankings!Z2:Z651))/STDEV(Rankings!Z2:Z651)</f>
        <v>-0.41319541424040451</v>
      </c>
      <c r="T302" s="121">
        <f>IFERROR((VLOOKUP($A302,Hitters!$A1:$R401,18,FALSE)-AVERAGE(Rankings!AA2:AA651))/STDEV(Rankings!AA2:AA651),0)</f>
        <v>0</v>
      </c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</row>
    <row r="303" spans="1:37" ht="18.600000000000001" customHeight="1">
      <c r="A303" s="25" t="s">
        <v>400</v>
      </c>
      <c r="B303" s="26" t="s">
        <v>116</v>
      </c>
      <c r="C303" s="126" t="s">
        <v>23</v>
      </c>
      <c r="D303" s="67">
        <f>(F303*Settings!$C$2)+(G303*Settings!$C$3)+(H303*Settings!$C$4)+(I303*Settings!$C$5)+(J303*Settings!$C$6)+(M303*Settings!$C$9)+(N303*Settings!$C$10)+(O303*Settings!$C$11)+(P303*Settings!$C$12)+(Q303*Settings!$C$13)+(T303*Settings!$C$16)+(K303*Settings!$C$7)+(L303*Settings!$C$8)+(R303*Settings!$C$14)+(S303*Settings!$C$15)</f>
        <v>-0.83629341059336493</v>
      </c>
      <c r="E303" s="67"/>
      <c r="F303" s="121">
        <f>(VLOOKUP($A303,Hitters!$A1:$R401,4,FALSE)-AVERAGE(Rankings!M2:M651))/STDEV(Rankings!M2:M651)</f>
        <v>-0.44971263154951818</v>
      </c>
      <c r="G303" s="121">
        <f>(VLOOKUP($A303,Hitters!$A1:$R401,5,FALSE)-AVERAGE(Rankings!N2:N651))/STDEV(Rankings!N2:N651)</f>
        <v>-0.46852251236738163</v>
      </c>
      <c r="H303" s="121">
        <f>(VLOOKUP($A303,Hitters!$A1:$R401,6,FALSE)-AVERAGE(Rankings!O2:O651))/STDEV(Rankings!O2:O651)</f>
        <v>2.4743556827407512E-3</v>
      </c>
      <c r="I303" s="121">
        <f>(VLOOKUP($A303,Hitters!$A1:$R401,7,FALSE)-AVERAGE(Rankings!P2:P651))/STDEV(Rankings!P2:P651)</f>
        <v>-0.23151803342101787</v>
      </c>
      <c r="J303" s="121">
        <f>(VLOOKUP($A303,Hitters!$A1:$R401,8,FALSE)-AVERAGE(Rankings!Q2:Q651))/STDEV(Rankings!Q2:Q651)</f>
        <v>-0.54311861809548634</v>
      </c>
      <c r="K303" s="121">
        <f>(VLOOKUP($A303,Hitters!$A1:$R401,9,FALSE)-AVERAGE(Rankings!R2:R651))/STDEV(Rankings!R2:R651)</f>
        <v>0.40439139760778009</v>
      </c>
      <c r="L303" s="121">
        <f>(VLOOKUP($A303,Hitters!$A1:$R401,10,FALSE)-AVERAGE(Rankings!S2:S651))/STDEV(Rankings!S2:S651)</f>
        <v>-0.49095260885488606</v>
      </c>
      <c r="M303" s="121">
        <f>(VLOOKUP($A303,Hitters!$A1:$R401,11,FALSE)-AVERAGE(Rankings!T2:T651))/STDEV(Rankings!T2:T651)</f>
        <v>-0.35374766068872615</v>
      </c>
      <c r="N303" s="121">
        <f>(VLOOKUP($A303,Hitters!$A1:$R401,12,FALSE)-AVERAGE(Rankings!U2:U651))/STDEV(Rankings!U2:U651)</f>
        <v>-0.59205101904442536</v>
      </c>
      <c r="O303" s="121">
        <f>(VLOOKUP($A303,Hitters!$A1:$R401,13,FALSE)-AVERAGE(Rankings!V2:V651))/STDEV(Rankings!V2:V651)</f>
        <v>-0.36914678308116555</v>
      </c>
      <c r="P303" s="121">
        <f>(VLOOKUP($A303,Hitters!$A1:$R401,14,FALSE)-AVERAGE(Rankings!W2:W651))/STDEV(Rankings!W2:W651)</f>
        <v>-0.8900846085051396</v>
      </c>
      <c r="Q303" s="121">
        <f>(VLOOKUP($A303,Hitters!$A1:$R401,15,FALSE)-AVERAGE(Rankings!X2:X651))/STDEV(Rankings!X2:X651)</f>
        <v>-0.24142370775259273</v>
      </c>
      <c r="R303" s="121">
        <f>(VLOOKUP($A303,Hitters!$A1:$R401,16,FALSE)-AVERAGE(Rankings!Y2:Y651))/STDEV(Rankings!Y2:Y651)</f>
        <v>0.59819287911753449</v>
      </c>
      <c r="S303" s="121">
        <f>(VLOOKUP($A303,Hitters!$A1:$R401,17,FALSE)-AVERAGE(Rankings!Z2:Z651))/STDEV(Rankings!Z2:Z651)</f>
        <v>0.24271918500113093</v>
      </c>
      <c r="T303" s="121">
        <f>IFERROR((VLOOKUP($A303,Hitters!$A1:$R401,18,FALSE)-AVERAGE(Rankings!AA2:AA651))/STDEV(Rankings!AA2:AA651),0)</f>
        <v>0</v>
      </c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</row>
    <row r="304" spans="1:37" ht="18.600000000000001" customHeight="1">
      <c r="A304" s="25" t="s">
        <v>404</v>
      </c>
      <c r="B304" s="26" t="s">
        <v>99</v>
      </c>
      <c r="C304" s="126" t="s">
        <v>23</v>
      </c>
      <c r="D304" s="67">
        <f>(F304*Settings!$C$2)+(G304*Settings!$C$3)+(H304*Settings!$C$4)+(I304*Settings!$C$5)+(J304*Settings!$C$6)+(M304*Settings!$C$9)+(N304*Settings!$C$10)+(O304*Settings!$C$11)+(P304*Settings!$C$12)+(Q304*Settings!$C$13)+(T304*Settings!$C$16)+(K304*Settings!$C$7)+(L304*Settings!$C$8)+(R304*Settings!$C$14)+(S304*Settings!$C$15)</f>
        <v>-0.88969718932012642</v>
      </c>
      <c r="E304" s="67"/>
      <c r="F304" s="121">
        <f>(VLOOKUP($A304,Hitters!$A1:$R401,4,FALSE)-AVERAGE(Rankings!M2:M651))/STDEV(Rankings!M2:M651)</f>
        <v>-8.014796572448156E-2</v>
      </c>
      <c r="G304" s="121">
        <f>(VLOOKUP($A304,Hitters!$A1:$R401,5,FALSE)-AVERAGE(Rankings!N2:N651))/STDEV(Rankings!N2:N651)</f>
        <v>-0.19758415199072074</v>
      </c>
      <c r="H304" s="121">
        <f>(VLOOKUP($A304,Hitters!$A1:$R401,6,FALSE)-AVERAGE(Rankings!O2:O651))/STDEV(Rankings!O2:O651)</f>
        <v>0.23012134400829307</v>
      </c>
      <c r="I304" s="121">
        <f>(VLOOKUP($A304,Hitters!$A1:$R401,7,FALSE)-AVERAGE(Rankings!P2:P651))/STDEV(Rankings!P2:P651)</f>
        <v>1.8208410576133753E-2</v>
      </c>
      <c r="J304" s="121">
        <f>(VLOOKUP($A304,Hitters!$A1:$R401,8,FALSE)-AVERAGE(Rankings!Q2:Q651))/STDEV(Rankings!Q2:Q651)</f>
        <v>-0.24946070391556766</v>
      </c>
      <c r="K304" s="121">
        <f>(VLOOKUP($A304,Hitters!$A1:$R401,9,FALSE)-AVERAGE(Rankings!R2:R651))/STDEV(Rankings!R2:R651)</f>
        <v>-0.69098208799826488</v>
      </c>
      <c r="L304" s="121">
        <f>(VLOOKUP($A304,Hitters!$A1:$R401,10,FALSE)-AVERAGE(Rankings!S2:S651))/STDEV(Rankings!S2:S651)</f>
        <v>-1.2023740102950244</v>
      </c>
      <c r="M304" s="121">
        <f>(VLOOKUP($A304,Hitters!$A1:$R401,11,FALSE)-AVERAGE(Rankings!T2:T651))/STDEV(Rankings!T2:T651)</f>
        <v>-0.24865599050369261</v>
      </c>
      <c r="N304" s="121">
        <f>(VLOOKUP($A304,Hitters!$A1:$R401,12,FALSE)-AVERAGE(Rankings!U2:U651))/STDEV(Rankings!U2:U651)</f>
        <v>-0.14559900396924583</v>
      </c>
      <c r="O304" s="121">
        <f>(VLOOKUP($A304,Hitters!$A1:$R401,13,FALSE)-AVERAGE(Rankings!V2:V651))/STDEV(Rankings!V2:V651)</f>
        <v>0.65408983471857152</v>
      </c>
      <c r="P304" s="121">
        <f>(VLOOKUP($A304,Hitters!$A1:$R401,14,FALSE)-AVERAGE(Rankings!W2:W651))/STDEV(Rankings!W2:W651)</f>
        <v>-0.60030595213815752</v>
      </c>
      <c r="Q304" s="121">
        <f>(VLOOKUP($A304,Hitters!$A1:$R401,15,FALSE)-AVERAGE(Rankings!X2:X651))/STDEV(Rankings!X2:X651)</f>
        <v>0.11238524526110924</v>
      </c>
      <c r="R304" s="121">
        <f>(VLOOKUP($A304,Hitters!$A1:$R401,16,FALSE)-AVERAGE(Rankings!Y2:Y651))/STDEV(Rankings!Y2:Y651)</f>
        <v>0.25752883058724046</v>
      </c>
      <c r="S304" s="121">
        <f>(VLOOKUP($A304,Hitters!$A1:$R401,17,FALSE)-AVERAGE(Rankings!Z2:Z651))/STDEV(Rankings!Z2:Z651)</f>
        <v>-0.28450282731994575</v>
      </c>
      <c r="T304" s="121">
        <f>IFERROR((VLOOKUP($A304,Hitters!$A1:$R401,18,FALSE)-AVERAGE(Rankings!AA2:AA651))/STDEV(Rankings!AA2:AA651),0)</f>
        <v>0</v>
      </c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</row>
    <row r="305" spans="1:37" ht="18.600000000000001" customHeight="1">
      <c r="A305" s="25" t="s">
        <v>398</v>
      </c>
      <c r="B305" s="26" t="s">
        <v>72</v>
      </c>
      <c r="C305" s="126" t="s">
        <v>23</v>
      </c>
      <c r="D305" s="67">
        <f>(F305*Settings!$C$2)+(G305*Settings!$C$3)+(H305*Settings!$C$4)+(I305*Settings!$C$5)+(J305*Settings!$C$6)+(M305*Settings!$C$9)+(N305*Settings!$C$10)+(O305*Settings!$C$11)+(P305*Settings!$C$12)+(Q305*Settings!$C$13)+(T305*Settings!$C$16)+(K305*Settings!$C$7)+(L305*Settings!$C$8)+(R305*Settings!$C$14)+(S305*Settings!$C$15)</f>
        <v>-0.81860319529702963</v>
      </c>
      <c r="E305" s="67"/>
      <c r="F305" s="121">
        <f>(VLOOKUP($A305,Hitters!$A1:$R401,4,FALSE)-AVERAGE(Rankings!M2:M651))/STDEV(Rankings!M2:M651)</f>
        <v>6.0887313106273384E-2</v>
      </c>
      <c r="G305" s="121">
        <f>(VLOOKUP($A305,Hitters!$A1:$R401,5,FALSE)-AVERAGE(Rankings!N2:N651))/STDEV(Rankings!N2:N651)</f>
        <v>-0.15053043114099426</v>
      </c>
      <c r="H305" s="121">
        <f>(VLOOKUP($A305,Hitters!$A1:$R401,6,FALSE)-AVERAGE(Rankings!O2:O651))/STDEV(Rankings!O2:O651)</f>
        <v>0.26771442464920936</v>
      </c>
      <c r="I305" s="121">
        <f>(VLOOKUP($A305,Hitters!$A1:$R401,7,FALSE)-AVERAGE(Rankings!P2:P651))/STDEV(Rankings!P2:P651)</f>
        <v>-5.4243088608226769E-2</v>
      </c>
      <c r="J305" s="121">
        <f>(VLOOKUP($A305,Hitters!$A1:$R401,8,FALSE)-AVERAGE(Rankings!Q2:Q651))/STDEV(Rankings!Q2:Q651)</f>
        <v>0.48844892658781769</v>
      </c>
      <c r="K305" s="121">
        <f>(VLOOKUP($A305,Hitters!$A1:$R401,9,FALSE)-AVERAGE(Rankings!R2:R651))/STDEV(Rankings!R2:R651)</f>
        <v>-1.3699930267848357</v>
      </c>
      <c r="L305" s="121">
        <f>(VLOOKUP($A305,Hitters!$A1:$R401,10,FALSE)-AVERAGE(Rankings!S2:S651))/STDEV(Rankings!S2:S651)</f>
        <v>-1.0201116939945827</v>
      </c>
      <c r="M305" s="121">
        <f>(VLOOKUP($A305,Hitters!$A1:$R401,11,FALSE)-AVERAGE(Rankings!T2:T651))/STDEV(Rankings!T2:T651)</f>
        <v>-0.28050195116582494</v>
      </c>
      <c r="N305" s="121">
        <f>(VLOOKUP($A305,Hitters!$A1:$R401,12,FALSE)-AVERAGE(Rankings!U2:U651))/STDEV(Rankings!U2:U651)</f>
        <v>-8.6072068625884221E-2</v>
      </c>
      <c r="O305" s="121">
        <f>(VLOOKUP($A305,Hitters!$A1:$R401,13,FALSE)-AVERAGE(Rankings!V2:V651))/STDEV(Rankings!V2:V651)</f>
        <v>-0.45211191425411734</v>
      </c>
      <c r="P305" s="121">
        <f>(VLOOKUP($A305,Hitters!$A1:$R401,14,FALSE)-AVERAGE(Rankings!W2:W651))/STDEV(Rankings!W2:W651)</f>
        <v>3.4978025281764517E-2</v>
      </c>
      <c r="Q305" s="121">
        <f>(VLOOKUP($A305,Hitters!$A1:$R401,15,FALSE)-AVERAGE(Rankings!X2:X651))/STDEV(Rankings!X2:X651)</f>
        <v>0.55294074598341392</v>
      </c>
      <c r="R305" s="121">
        <f>(VLOOKUP($A305,Hitters!$A1:$R401,16,FALSE)-AVERAGE(Rankings!Y2:Y651))/STDEV(Rankings!Y2:Y651)</f>
        <v>-0.33326582382863668</v>
      </c>
      <c r="S305" s="121">
        <f>(VLOOKUP($A305,Hitters!$A1:$R401,17,FALSE)-AVERAGE(Rankings!Z2:Z651))/STDEV(Rankings!Z2:Z651)</f>
        <v>-0.64300502882000488</v>
      </c>
      <c r="T305" s="121">
        <f>IFERROR((VLOOKUP($A305,Hitters!$A1:$R401,18,FALSE)-AVERAGE(Rankings!AA2:AA651))/STDEV(Rankings!AA2:AA651),0)</f>
        <v>0</v>
      </c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</row>
    <row r="306" spans="1:37" ht="18.600000000000001" customHeight="1">
      <c r="A306" s="25" t="s">
        <v>390</v>
      </c>
      <c r="B306" s="26" t="s">
        <v>87</v>
      </c>
      <c r="C306" s="126" t="s">
        <v>23</v>
      </c>
      <c r="D306" s="67">
        <f>(F306*Settings!$C$2)+(G306*Settings!$C$3)+(H306*Settings!$C$4)+(I306*Settings!$C$5)+(J306*Settings!$C$6)+(M306*Settings!$C$9)+(N306*Settings!$C$10)+(O306*Settings!$C$11)+(P306*Settings!$C$12)+(Q306*Settings!$C$13)+(T306*Settings!$C$16)+(K306*Settings!$C$7)+(L306*Settings!$C$8)+(R306*Settings!$C$14)+(S306*Settings!$C$15)</f>
        <v>-0.69033778037684523</v>
      </c>
      <c r="E306" s="67"/>
      <c r="F306" s="121">
        <f>(VLOOKUP($A306,Hitters!$A1:$R401,4,FALSE)-AVERAGE(Rankings!M2:M651))/STDEV(Rankings!M2:M651)</f>
        <v>2.9546140032772287E-2</v>
      </c>
      <c r="G306" s="121">
        <f>(VLOOKUP($A306,Hitters!$A1:$R401,5,FALSE)-AVERAGE(Rankings!N2:N651))/STDEV(Rankings!N2:N651)</f>
        <v>-0.29320945565307166</v>
      </c>
      <c r="H306" s="121">
        <f>(VLOOKUP($A306,Hitters!$A1:$R401,6,FALSE)-AVERAGE(Rankings!O2:O651))/STDEV(Rankings!O2:O651)</f>
        <v>-0.60945745697217268</v>
      </c>
      <c r="I306" s="121">
        <f>(VLOOKUP($A306,Hitters!$A1:$R401,7,FALSE)-AVERAGE(Rankings!P2:P651))/STDEV(Rankings!P2:P651)</f>
        <v>-0.49203512623285928</v>
      </c>
      <c r="J306" s="121">
        <f>(VLOOKUP($A306,Hitters!$A1:$R401,8,FALSE)-AVERAGE(Rankings!Q2:Q651))/STDEV(Rankings!Q2:Q651)</f>
        <v>1.2765564911390477</v>
      </c>
      <c r="K306" s="121">
        <f>(VLOOKUP($A306,Hitters!$A1:$R401,9,FALSE)-AVERAGE(Rankings!R2:R651))/STDEV(Rankings!R2:R651)</f>
        <v>-0.5721922326577894</v>
      </c>
      <c r="L306" s="121">
        <f>(VLOOKUP($A306,Hitters!$A1:$R401,10,FALSE)-AVERAGE(Rankings!S2:S651))/STDEV(Rankings!S2:S651)</f>
        <v>-0.8770735090249796</v>
      </c>
      <c r="M306" s="121">
        <f>(VLOOKUP($A306,Hitters!$A1:$R401,11,FALSE)-AVERAGE(Rankings!T2:T651))/STDEV(Rankings!T2:T651)</f>
        <v>-0.13310064752967365</v>
      </c>
      <c r="N306" s="121">
        <f>(VLOOKUP($A306,Hitters!$A1:$R401,12,FALSE)-AVERAGE(Rankings!U2:U651))/STDEV(Rankings!U2:U651)</f>
        <v>-0.10733168839137319</v>
      </c>
      <c r="O306" s="121">
        <f>(VLOOKUP($A306,Hitters!$A1:$R401,13,FALSE)-AVERAGE(Rankings!V2:V651))/STDEV(Rankings!V2:V651)</f>
        <v>0.68174487844289422</v>
      </c>
      <c r="P306" s="121">
        <f>(VLOOKUP($A306,Hitters!$A1:$R401,14,FALSE)-AVERAGE(Rankings!W2:W651))/STDEV(Rankings!W2:W651)</f>
        <v>-0.36625396045713343</v>
      </c>
      <c r="Q306" s="121">
        <f>(VLOOKUP($A306,Hitters!$A1:$R401,15,FALSE)-AVERAGE(Rankings!X2:X651))/STDEV(Rankings!X2:X651)</f>
        <v>0.41746018270817553</v>
      </c>
      <c r="R306" s="121">
        <f>(VLOOKUP($A306,Hitters!$A1:$R401,16,FALSE)-AVERAGE(Rankings!Y2:Y651))/STDEV(Rankings!Y2:Y651)</f>
        <v>-1.0053262558649296</v>
      </c>
      <c r="S306" s="121">
        <f>(VLOOKUP($A306,Hitters!$A1:$R401,17,FALSE)-AVERAGE(Rankings!Z2:Z651))/STDEV(Rankings!Z2:Z651)</f>
        <v>-1.076057684098557</v>
      </c>
      <c r="T306" s="121">
        <f>IFERROR((VLOOKUP($A306,Hitters!$A1:$R401,18,FALSE)-AVERAGE(Rankings!AA2:AA651))/STDEV(Rankings!AA2:AA651),0)</f>
        <v>0</v>
      </c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</row>
    <row r="307" spans="1:37" ht="18.600000000000001" customHeight="1">
      <c r="A307" s="25" t="s">
        <v>416</v>
      </c>
      <c r="B307" s="26"/>
      <c r="C307" s="126" t="s">
        <v>23</v>
      </c>
      <c r="D307" s="67">
        <f>(F307*Settings!$C$2)+(G307*Settings!$C$3)+(H307*Settings!$C$4)+(I307*Settings!$C$5)+(J307*Settings!$C$6)+(M307*Settings!$C$9)+(N307*Settings!$C$10)+(O307*Settings!$C$11)+(P307*Settings!$C$12)+(Q307*Settings!$C$13)+(T307*Settings!$C$16)+(K307*Settings!$C$7)+(L307*Settings!$C$8)+(R307*Settings!$C$14)+(S307*Settings!$C$15)</f>
        <v>-1.2187530941570817</v>
      </c>
      <c r="E307" s="67"/>
      <c r="F307" s="121">
        <f>(VLOOKUP($A307,Hitters!$A1:$R401,4,FALSE)-AVERAGE(Rankings!M2:M651))/STDEV(Rankings!M2:M651)</f>
        <v>-7.018561886315151E-3</v>
      </c>
      <c r="G307" s="121">
        <f>(VLOOKUP($A307,Hitters!$A1:$R401,5,FALSE)-AVERAGE(Rankings!N2:N651))/STDEV(Rankings!N2:N651)</f>
        <v>-0.41463841268462981</v>
      </c>
      <c r="H307" s="121">
        <f>(VLOOKUP($A307,Hitters!$A1:$R401,6,FALSE)-AVERAGE(Rankings!O2:O651))/STDEV(Rankings!O2:O651)</f>
        <v>-0.50920924192972561</v>
      </c>
      <c r="I307" s="121">
        <f>(VLOOKUP($A307,Hitters!$A1:$R401,7,FALSE)-AVERAGE(Rankings!P2:P651))/STDEV(Rankings!P2:P651)</f>
        <v>-1.8788099645666644E-2</v>
      </c>
      <c r="J307" s="121">
        <f>(VLOOKUP($A307,Hitters!$A1:$R401,8,FALSE)-AVERAGE(Rankings!Q2:Q651))/STDEV(Rankings!Q2:Q651)</f>
        <v>-0.62594520927443775</v>
      </c>
      <c r="K307" s="121">
        <f>(VLOOKUP($A307,Hitters!$A1:$R401,9,FALSE)-AVERAGE(Rankings!R2:R651))/STDEV(Rankings!R2:R651)</f>
        <v>0.34982786937737825</v>
      </c>
      <c r="L307" s="121">
        <f>(VLOOKUP($A307,Hitters!$A1:$R401,10,FALSE)-AVERAGE(Rankings!S2:S651))/STDEV(Rankings!S2:S651)</f>
        <v>0.13345000685594829</v>
      </c>
      <c r="M307" s="121">
        <f>(VLOOKUP($A307,Hitters!$A1:$R401,11,FALSE)-AVERAGE(Rankings!T2:T651))/STDEV(Rankings!T2:T651)</f>
        <v>3.2498347913410386E-2</v>
      </c>
      <c r="N307" s="121">
        <f>(VLOOKUP($A307,Hitters!$A1:$R401,12,FALSE)-AVERAGE(Rankings!U2:U651))/STDEV(Rankings!U2:U651)</f>
        <v>0.27534146738735216</v>
      </c>
      <c r="O307" s="121">
        <f>(VLOOKUP($A307,Hitters!$A1:$R401,13,FALSE)-AVERAGE(Rankings!V2:V651))/STDEV(Rankings!V2:V651)</f>
        <v>0.95829531568606441</v>
      </c>
      <c r="P307" s="121">
        <f>(VLOOKUP($A307,Hitters!$A1:$R401,14,FALSE)-AVERAGE(Rankings!W2:W651))/STDEV(Rankings!W2:W651)</f>
        <v>-0.16006530111908879</v>
      </c>
      <c r="Q307" s="121">
        <f>(VLOOKUP($A307,Hitters!$A1:$R401,15,FALSE)-AVERAGE(Rankings!X2:X651))/STDEV(Rankings!X2:X651)</f>
        <v>-0.11763930821336456</v>
      </c>
      <c r="R307" s="121">
        <f>(VLOOKUP($A307,Hitters!$A1:$R401,16,FALSE)-AVERAGE(Rankings!Y2:Y651))/STDEV(Rankings!Y2:Y651)</f>
        <v>-0.18005407323582004</v>
      </c>
      <c r="S307" s="121">
        <f>(VLOOKUP($A307,Hitters!$A1:$R401,17,FALSE)-AVERAGE(Rankings!Z2:Z651))/STDEV(Rankings!Z2:Z651)</f>
        <v>-7.8680611024458821E-2</v>
      </c>
      <c r="T307" s="121">
        <f>IFERROR((VLOOKUP($A307,Hitters!$A1:$R401,18,FALSE)-AVERAGE(Rankings!AA2:AA651))/STDEV(Rankings!AA2:AA651),0)</f>
        <v>0</v>
      </c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</row>
    <row r="308" spans="1:37" ht="18.600000000000001" customHeight="1">
      <c r="A308" s="25" t="s">
        <v>415</v>
      </c>
      <c r="B308" s="26" t="s">
        <v>125</v>
      </c>
      <c r="C308" s="126" t="s">
        <v>23</v>
      </c>
      <c r="D308" s="67">
        <f>(F308*Settings!$C$2)+(G308*Settings!$C$3)+(H308*Settings!$C$4)+(I308*Settings!$C$5)+(J308*Settings!$C$6)+(M308*Settings!$C$9)+(N308*Settings!$C$10)+(O308*Settings!$C$11)+(P308*Settings!$C$12)+(Q308*Settings!$C$13)+(T308*Settings!$C$16)+(K308*Settings!$C$7)+(L308*Settings!$C$8)+(R308*Settings!$C$14)+(S308*Settings!$C$15)</f>
        <v>-1.1961242495652833</v>
      </c>
      <c r="E308" s="67"/>
      <c r="F308" s="121">
        <f>(VLOOKUP($A308,Hitters!$A1:$R401,4,FALSE)-AVERAGE(Rankings!M2:M651))/STDEV(Rankings!M2:M651)</f>
        <v>-0.45363027818370583</v>
      </c>
      <c r="G308" s="121">
        <f>(VLOOKUP($A308,Hitters!$A1:$R401,5,FALSE)-AVERAGE(Rankings!N2:N651))/STDEV(Rankings!N2:N651)</f>
        <v>-0.49812082064382346</v>
      </c>
      <c r="H308" s="121">
        <f>(VLOOKUP($A308,Hitters!$A1:$R401,6,FALSE)-AVERAGE(Rankings!O2:O651))/STDEV(Rankings!O2:O651)</f>
        <v>0.25100638880879372</v>
      </c>
      <c r="I308" s="121">
        <f>(VLOOKUP($A308,Hitters!$A1:$R401,7,FALSE)-AVERAGE(Rankings!P2:P651))/STDEV(Rankings!P2:P651)</f>
        <v>-0.21610282082860263</v>
      </c>
      <c r="J308" s="121">
        <f>(VLOOKUP($A308,Hitters!$A1:$R401,8,FALSE)-AVERAGE(Rankings!Q2:Q651))/STDEV(Rankings!Q2:Q651)</f>
        <v>-0.8066577718466954</v>
      </c>
      <c r="K308" s="121">
        <f>(VLOOKUP($A308,Hitters!$A1:$R401,9,FALSE)-AVERAGE(Rankings!R2:R651))/STDEV(Rankings!R2:R651)</f>
        <v>7.3750774945044617E-2</v>
      </c>
      <c r="L308" s="121">
        <f>(VLOOKUP($A308,Hitters!$A1:$R401,10,FALSE)-AVERAGE(Rankings!S2:S651))/STDEV(Rankings!S2:S651)</f>
        <v>-0.41776327672984198</v>
      </c>
      <c r="M308" s="121">
        <f>(VLOOKUP($A308,Hitters!$A1:$R401,11,FALSE)-AVERAGE(Rankings!T2:T651))/STDEV(Rankings!T2:T651)</f>
        <v>-0.41698463971781674</v>
      </c>
      <c r="N308" s="121">
        <f>(VLOOKUP($A308,Hitters!$A1:$R401,12,FALSE)-AVERAGE(Rankings!U2:U651))/STDEV(Rankings!U2:U651)</f>
        <v>-0.31992788604622485</v>
      </c>
      <c r="O308" s="121">
        <f>(VLOOKUP($A308,Hitters!$A1:$R401,13,FALSE)-AVERAGE(Rankings!V2:V651))/STDEV(Rankings!V2:V651)</f>
        <v>-0.94990270129182863</v>
      </c>
      <c r="P308" s="121">
        <f>(VLOOKUP($A308,Hitters!$A1:$R401,14,FALSE)-AVERAGE(Rankings!W2:W651))/STDEV(Rankings!W2:W651)</f>
        <v>-0.66903550525083733</v>
      </c>
      <c r="Q308" s="121">
        <f>(VLOOKUP($A308,Hitters!$A1:$R401,15,FALSE)-AVERAGE(Rankings!X2:X651))/STDEV(Rankings!X2:X651)</f>
        <v>-0.43246104877376412</v>
      </c>
      <c r="R308" s="121">
        <f>(VLOOKUP($A308,Hitters!$A1:$R401,16,FALSE)-AVERAGE(Rankings!Y2:Y651))/STDEV(Rankings!Y2:Y651)</f>
        <v>0.91944172684339953</v>
      </c>
      <c r="S308" s="121">
        <f>(VLOOKUP($A308,Hitters!$A1:$R401,17,FALSE)-AVERAGE(Rankings!Z2:Z651))/STDEV(Rankings!Z2:Z651)</f>
        <v>0.50528751074416089</v>
      </c>
      <c r="T308" s="121">
        <f>IFERROR((VLOOKUP($A308,Hitters!$A1:$R401,18,FALSE)-AVERAGE(Rankings!AA2:AA651))/STDEV(Rankings!AA2:AA651),0)</f>
        <v>0</v>
      </c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</row>
    <row r="309" spans="1:37" ht="18.600000000000001" customHeight="1">
      <c r="A309" s="25" t="s">
        <v>422</v>
      </c>
      <c r="B309" s="26" t="s">
        <v>105</v>
      </c>
      <c r="C309" s="126" t="s">
        <v>23</v>
      </c>
      <c r="D309" s="67">
        <f>(F309*Settings!$C$2)+(G309*Settings!$C$3)+(H309*Settings!$C$4)+(I309*Settings!$C$5)+(J309*Settings!$C$6)+(M309*Settings!$C$9)+(N309*Settings!$C$10)+(O309*Settings!$C$11)+(P309*Settings!$C$12)+(Q309*Settings!$C$13)+(T309*Settings!$C$16)+(K309*Settings!$C$7)+(L309*Settings!$C$8)+(R309*Settings!$C$14)+(S309*Settings!$C$15)</f>
        <v>-1.3967435424712717</v>
      </c>
      <c r="E309" s="67"/>
      <c r="F309" s="121">
        <f>(VLOOKUP($A309,Hitters!$A1:$R401,4,FALSE)-AVERAGE(Rankings!M2:M651))/STDEV(Rankings!M2:M651)</f>
        <v>-0.1924538359045328</v>
      </c>
      <c r="G309" s="121">
        <f>(VLOOKUP($A309,Hitters!$A1:$R401,5,FALSE)-AVERAGE(Rankings!N2:N651))/STDEV(Rankings!N2:N651)</f>
        <v>-0.24615573480334485</v>
      </c>
      <c r="H309" s="121">
        <f>(VLOOKUP($A309,Hitters!$A1:$R401,6,FALSE)-AVERAGE(Rankings!O2:O651))/STDEV(Rankings!O2:O651)</f>
        <v>0.74807045506091219</v>
      </c>
      <c r="I309" s="121">
        <f>(VLOOKUP($A309,Hitters!$A1:$R401,7,FALSE)-AVERAGE(Rankings!P2:P651))/STDEV(Rankings!P2:P651)</f>
        <v>0.2417289931661751</v>
      </c>
      <c r="J309" s="121">
        <f>(VLOOKUP($A309,Hitters!$A1:$R401,8,FALSE)-AVERAGE(Rankings!Q2:Q651))/STDEV(Rankings!Q2:Q651)</f>
        <v>-0.6560639697031474</v>
      </c>
      <c r="K309" s="121">
        <f>(VLOOKUP($A309,Hitters!$A1:$R401,9,FALSE)-AVERAGE(Rankings!R2:R651))/STDEV(Rankings!R2:R651)</f>
        <v>-1.4843232861918667</v>
      </c>
      <c r="L309" s="121">
        <f>(VLOOKUP($A309,Hitters!$A1:$R401,10,FALSE)-AVERAGE(Rankings!S2:S651))/STDEV(Rankings!S2:S651)</f>
        <v>-1.7538551706167405</v>
      </c>
      <c r="M309" s="121">
        <f>(VLOOKUP($A309,Hitters!$A1:$R401,11,FALSE)-AVERAGE(Rankings!T2:T651))/STDEV(Rankings!T2:T651)</f>
        <v>-0.49887425284901177</v>
      </c>
      <c r="N309" s="121">
        <f>(VLOOKUP($A309,Hitters!$A1:$R401,12,FALSE)-AVERAGE(Rankings!U2:U651))/STDEV(Rankings!U2:U651)</f>
        <v>-0.55803562741964541</v>
      </c>
      <c r="O309" s="121">
        <f>(VLOOKUP($A309,Hitters!$A1:$R401,13,FALSE)-AVERAGE(Rankings!V2:V651))/STDEV(Rankings!V2:V651)</f>
        <v>-0.50742200170275464</v>
      </c>
      <c r="P309" s="121">
        <f>(VLOOKUP($A309,Hitters!$A1:$R401,14,FALSE)-AVERAGE(Rankings!W2:W651))/STDEV(Rankings!W2:W651)</f>
        <v>-0.60030595213815752</v>
      </c>
      <c r="Q309" s="121">
        <f>(VLOOKUP($A309,Hitters!$A1:$R401,15,FALSE)-AVERAGE(Rankings!X2:X651))/STDEV(Rankings!X2:X651)</f>
        <v>0.74397808700457657</v>
      </c>
      <c r="R309" s="121">
        <f>(VLOOKUP($A309,Hitters!$A1:$R401,16,FALSE)-AVERAGE(Rankings!Y2:Y651))/STDEV(Rankings!Y2:Y651)</f>
        <v>0.46826307473322071</v>
      </c>
      <c r="S309" s="121">
        <f>(VLOOKUP($A309,Hitters!$A1:$R401,17,FALSE)-AVERAGE(Rankings!Z2:Z651))/STDEV(Rankings!Z2:Z651)</f>
        <v>-0.34757698161551204</v>
      </c>
      <c r="T309" s="121">
        <f>IFERROR((VLOOKUP($A309,Hitters!$A1:$R401,18,FALSE)-AVERAGE(Rankings!AA2:AA651))/STDEV(Rankings!AA2:AA651),0)</f>
        <v>0</v>
      </c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</row>
    <row r="310" spans="1:37" ht="18.600000000000001" customHeight="1">
      <c r="A310" s="25" t="s">
        <v>432</v>
      </c>
      <c r="B310" s="26" t="s">
        <v>158</v>
      </c>
      <c r="C310" s="126" t="s">
        <v>23</v>
      </c>
      <c r="D310" s="67">
        <f>(F310*Settings!$C$2)+(G310*Settings!$C$3)+(H310*Settings!$C$4)+(I310*Settings!$C$5)+(J310*Settings!$C$6)+(M310*Settings!$C$9)+(N310*Settings!$C$10)+(O310*Settings!$C$11)+(P310*Settings!$C$12)+(Q310*Settings!$C$13)+(T310*Settings!$C$16)+(K310*Settings!$C$7)+(L310*Settings!$C$8)+(R310*Settings!$C$14)+(S310*Settings!$C$15)</f>
        <v>-1.5456717154710915</v>
      </c>
      <c r="E310" s="67"/>
      <c r="F310" s="121">
        <f>(VLOOKUP($A310,Hitters!$A1:$R401,4,FALSE)-AVERAGE(Rankings!M2:M651))/STDEV(Rankings!M2:M651)</f>
        <v>0.21759317847377888</v>
      </c>
      <c r="G310" s="121">
        <f>(VLOOKUP($A310,Hitters!$A1:$R401,5,FALSE)-AVERAGE(Rankings!N2:N651))/STDEV(Rankings!N2:N651)</f>
        <v>0.30786388165313378</v>
      </c>
      <c r="H310" s="121">
        <f>(VLOOKUP($A310,Hitters!$A1:$R401,6,FALSE)-AVERAGE(Rankings!O2:O651))/STDEV(Rankings!O2:O651)</f>
        <v>1.1908334048316989</v>
      </c>
      <c r="I310" s="121">
        <f>(VLOOKUP($A310,Hitters!$A1:$R401,7,FALSE)-AVERAGE(Rankings!P2:P651))/STDEV(Rankings!P2:P651)</f>
        <v>0.36659221516475055</v>
      </c>
      <c r="J310" s="121">
        <f>(VLOOKUP($A310,Hitters!$A1:$R401,8,FALSE)-AVERAGE(Rankings!Q2:Q651))/STDEV(Rankings!Q2:Q651)</f>
        <v>-0.34483677860648093</v>
      </c>
      <c r="K310" s="121">
        <f>(VLOOKUP($A310,Hitters!$A1:$R401,9,FALSE)-AVERAGE(Rankings!R2:R651))/STDEV(Rankings!R2:R651)</f>
        <v>-3.0661244385141937</v>
      </c>
      <c r="L310" s="121">
        <f>(VLOOKUP($A310,Hitters!$A1:$R401,10,FALSE)-AVERAGE(Rankings!S2:S651))/STDEV(Rankings!S2:S651)</f>
        <v>-0.24081057743313586</v>
      </c>
      <c r="M310" s="121">
        <f>(VLOOKUP($A310,Hitters!$A1:$R401,11,FALSE)-AVERAGE(Rankings!T2:T651))/STDEV(Rankings!T2:T651)</f>
        <v>-0.54709813613738023</v>
      </c>
      <c r="N310" s="121">
        <f>(VLOOKUP($A310,Hitters!$A1:$R401,12,FALSE)-AVERAGE(Rankings!U2:U651))/STDEV(Rankings!U2:U651)</f>
        <v>-0.82165491251166045</v>
      </c>
      <c r="O310" s="121">
        <f>(VLOOKUP($A310,Hitters!$A1:$R401,13,FALSE)-AVERAGE(Rankings!V2:V651))/STDEV(Rankings!V2:V651)</f>
        <v>-6.494130211367255E-2</v>
      </c>
      <c r="P310" s="121">
        <f>(VLOOKUP($A310,Hitters!$A1:$R401,14,FALSE)-AVERAGE(Rankings!W2:W651))/STDEV(Rankings!W2:W651)</f>
        <v>1.9556904014577883</v>
      </c>
      <c r="Q310" s="121">
        <f>(VLOOKUP($A310,Hitters!$A1:$R401,15,FALSE)-AVERAGE(Rankings!X2:X651))/STDEV(Rankings!X2:X651)</f>
        <v>2.3921624934678629</v>
      </c>
      <c r="R310" s="121">
        <f>(VLOOKUP($A310,Hitters!$A1:$R401,16,FALSE)-AVERAGE(Rankings!Y2:Y651))/STDEV(Rankings!Y2:Y651)</f>
        <v>-0.3618878180650677</v>
      </c>
      <c r="S310" s="121">
        <f>(VLOOKUP($A310,Hitters!$A1:$R401,17,FALSE)-AVERAGE(Rankings!Z2:Z651))/STDEV(Rankings!Z2:Z651)</f>
        <v>-0.35794508626014659</v>
      </c>
      <c r="T310" s="121">
        <f>IFERROR((VLOOKUP($A310,Hitters!$A1:$R401,18,FALSE)-AVERAGE(Rankings!AA2:AA651))/STDEV(Rankings!AA2:AA651),0)</f>
        <v>0</v>
      </c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67"/>
    </row>
    <row r="311" spans="1:37" ht="18.600000000000001" customHeight="1">
      <c r="A311" s="25" t="s">
        <v>423</v>
      </c>
      <c r="B311" s="26" t="s">
        <v>139</v>
      </c>
      <c r="C311" s="126" t="s">
        <v>23</v>
      </c>
      <c r="D311" s="67">
        <f>(F311*Settings!$C$2)+(G311*Settings!$C$3)+(H311*Settings!$C$4)+(I311*Settings!$C$5)+(J311*Settings!$C$6)+(M311*Settings!$C$9)+(N311*Settings!$C$10)+(O311*Settings!$C$11)+(P311*Settings!$C$12)+(Q311*Settings!$C$13)+(T311*Settings!$C$16)+(K311*Settings!$C$7)+(L311*Settings!$C$8)+(R311*Settings!$C$14)+(S311*Settings!$C$15)</f>
        <v>-1.3986410899373856</v>
      </c>
      <c r="E311" s="67"/>
      <c r="F311" s="121">
        <f>(VLOOKUP($A311,Hitters!$A1:$R401,4,FALSE)-AVERAGE(Rankings!M2:M651))/STDEV(Rankings!M2:M651)</f>
        <v>-0.15588913398544538</v>
      </c>
      <c r="G311" s="121">
        <f>(VLOOKUP($A311,Hitters!$A1:$R401,5,FALSE)-AVERAGE(Rankings!N2:N651))/STDEV(Rankings!N2:N651)</f>
        <v>-0.12169105384599635</v>
      </c>
      <c r="H311" s="121">
        <f>(VLOOKUP($A311,Hitters!$A1:$R401,6,FALSE)-AVERAGE(Rankings!O2:O651))/STDEV(Rankings!O2:O651)</f>
        <v>0.61858317729776024</v>
      </c>
      <c r="I311" s="121">
        <f>(VLOOKUP($A311,Hitters!$A1:$R401,7,FALSE)-AVERAGE(Rankings!P2:P651))/STDEV(Rankings!P2:P651)</f>
        <v>-0.14210980038500218</v>
      </c>
      <c r="J311" s="121">
        <f>(VLOOKUP($A311,Hitters!$A1:$R401,8,FALSE)-AVERAGE(Rankings!Q2:Q651))/STDEV(Rankings!Q2:Q651)</f>
        <v>-0.23440132370121289</v>
      </c>
      <c r="K311" s="121">
        <f>(VLOOKUP($A311,Hitters!$A1:$R401,9,FALSE)-AVERAGE(Rankings!R2:R651))/STDEV(Rankings!R2:R651)</f>
        <v>-1.5190220893029345</v>
      </c>
      <c r="L311" s="121">
        <f>(VLOOKUP($A311,Hitters!$A1:$R401,10,FALSE)-AVERAGE(Rankings!S2:S651))/STDEV(Rankings!S2:S651)</f>
        <v>-0.41046519578051022</v>
      </c>
      <c r="M311" s="121">
        <f>(VLOOKUP($A311,Hitters!$A1:$R401,11,FALSE)-AVERAGE(Rankings!T2:T651))/STDEV(Rankings!T2:T651)</f>
        <v>-0.47794690727103856</v>
      </c>
      <c r="N311" s="121">
        <f>(VLOOKUP($A311,Hitters!$A1:$R401,12,FALSE)-AVERAGE(Rankings!U2:U651))/STDEV(Rankings!U2:U651)</f>
        <v>-0.53677600765416911</v>
      </c>
      <c r="O311" s="121">
        <f>(VLOOKUP($A311,Hitters!$A1:$R401,13,FALSE)-AVERAGE(Rankings!V2:V651))/STDEV(Rankings!V2:V651)</f>
        <v>-0.86693757011887684</v>
      </c>
      <c r="P311" s="121">
        <f>(VLOOKUP($A311,Hitters!$A1:$R401,14,FALSE)-AVERAGE(Rankings!W2:W651))/STDEV(Rankings!W2:W651)</f>
        <v>0.43806756651019313</v>
      </c>
      <c r="Q311" s="121">
        <f>(VLOOKUP($A311,Hitters!$A1:$R401,15,FALSE)-AVERAGE(Rankings!X2:X651))/STDEV(Rankings!X2:X651)</f>
        <v>0.81902847097718989</v>
      </c>
      <c r="R311" s="121">
        <f>(VLOOKUP($A311,Hitters!$A1:$R401,16,FALSE)-AVERAGE(Rankings!Y2:Y651))/STDEV(Rankings!Y2:Y651)</f>
        <v>0.15065031271305535</v>
      </c>
      <c r="S311" s="121">
        <f>(VLOOKUP($A311,Hitters!$A1:$R401,17,FALSE)-AVERAGE(Rankings!Z2:Z651))/STDEV(Rankings!Z2:Z651)</f>
        <v>-5.1457656851634268E-2</v>
      </c>
      <c r="T311" s="121">
        <f>IFERROR((VLOOKUP($A311,Hitters!$A1:$R401,18,FALSE)-AVERAGE(Rankings!AA2:AA651))/STDEV(Rankings!AA2:AA651),0)</f>
        <v>0</v>
      </c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</row>
    <row r="312" spans="1:37" ht="18.600000000000001" customHeight="1">
      <c r="A312" s="25" t="s">
        <v>428</v>
      </c>
      <c r="B312" s="26" t="s">
        <v>116</v>
      </c>
      <c r="C312" s="126" t="s">
        <v>23</v>
      </c>
      <c r="D312" s="67">
        <f>(F312*Settings!$C$2)+(G312*Settings!$C$3)+(H312*Settings!$C$4)+(I312*Settings!$C$5)+(J312*Settings!$C$6)+(M312*Settings!$C$9)+(N312*Settings!$C$10)+(O312*Settings!$C$11)+(P312*Settings!$C$12)+(Q312*Settings!$C$13)+(T312*Settings!$C$16)+(K312*Settings!$C$7)+(L312*Settings!$C$8)+(R312*Settings!$C$14)+(S312*Settings!$C$15)</f>
        <v>-1.4621625544954697</v>
      </c>
      <c r="E312" s="67"/>
      <c r="F312" s="121">
        <f>(VLOOKUP($A312,Hitters!$A1:$R401,4,FALSE)-AVERAGE(Rankings!M2:M651))/STDEV(Rankings!M2:M651)</f>
        <v>-0.48758321567999585</v>
      </c>
      <c r="G312" s="121">
        <f>(VLOOKUP($A312,Hitters!$A1:$R401,5,FALSE)-AVERAGE(Rankings!N2:N651))/STDEV(Rankings!N2:N651)</f>
        <v>-0.61499619178669818</v>
      </c>
      <c r="H312" s="121">
        <f>(VLOOKUP($A312,Hitters!$A1:$R401,6,FALSE)-AVERAGE(Rankings!O2:O651))/STDEV(Rankings!O2:O651)</f>
        <v>0.12569612000573974</v>
      </c>
      <c r="I312" s="121">
        <f>(VLOOKUP($A312,Hitters!$A1:$R401,7,FALSE)-AVERAGE(Rankings!P2:P651))/STDEV(Rankings!P2:P651)</f>
        <v>-7.5824386237607025E-2</v>
      </c>
      <c r="J312" s="121">
        <f>(VLOOKUP($A312,Hitters!$A1:$R401,8,FALSE)-AVERAGE(Rankings!Q2:Q651))/STDEV(Rankings!Q2:Q651)</f>
        <v>-0.86689529270411469</v>
      </c>
      <c r="K312" s="121">
        <f>(VLOOKUP($A312,Hitters!$A1:$R401,9,FALSE)-AVERAGE(Rankings!R2:R651))/STDEV(Rankings!R2:R651)</f>
        <v>-3.0142803772789648E-2</v>
      </c>
      <c r="L312" s="121">
        <f>(VLOOKUP($A312,Hitters!$A1:$R401,10,FALSE)-AVERAGE(Rankings!S2:S651))/STDEV(Rankings!S2:S651)</f>
        <v>-0.28670562298896651</v>
      </c>
      <c r="M312" s="121">
        <f>(VLOOKUP($A312,Hitters!$A1:$R401,11,FALSE)-AVERAGE(Rankings!T2:T651))/STDEV(Rankings!T2:T651)</f>
        <v>-0.4652085230061852</v>
      </c>
      <c r="N312" s="121">
        <f>(VLOOKUP($A312,Hitters!$A1:$R401,12,FALSE)-AVERAGE(Rankings!U2:U651))/STDEV(Rankings!U2:U651)</f>
        <v>-0.44323368068602798</v>
      </c>
      <c r="O312" s="121">
        <f>(VLOOKUP($A312,Hitters!$A1:$R401,13,FALSE)-AVERAGE(Rankings!V2:V651))/STDEV(Rankings!V2:V651)</f>
        <v>-1.0052127887404636</v>
      </c>
      <c r="P312" s="121">
        <f>(VLOOKUP($A312,Hitters!$A1:$R401,14,FALSE)-AVERAGE(Rankings!W2:W651))/STDEV(Rankings!W2:W651)</f>
        <v>-0.54643684294172956</v>
      </c>
      <c r="Q312" s="121">
        <f>(VLOOKUP($A312,Hitters!$A1:$R401,15,FALSE)-AVERAGE(Rankings!X2:X651))/STDEV(Rankings!X2:X651)</f>
        <v>-0.52310631772768756</v>
      </c>
      <c r="R312" s="121">
        <f>(VLOOKUP($A312,Hitters!$A1:$R401,16,FALSE)-AVERAGE(Rankings!Y2:Y651))/STDEV(Rankings!Y2:Y651)</f>
        <v>0.64337128683832134</v>
      </c>
      <c r="S312" s="121">
        <f>(VLOOKUP($A312,Hitters!$A1:$R401,17,FALSE)-AVERAGE(Rankings!Z2:Z651))/STDEV(Rankings!Z2:Z651)</f>
        <v>0.35577671097292257</v>
      </c>
      <c r="T312" s="121">
        <f>IFERROR((VLOOKUP($A312,Hitters!$A1:$R401,18,FALSE)-AVERAGE(Rankings!AA2:AA651))/STDEV(Rankings!AA2:AA651),0)</f>
        <v>0</v>
      </c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</row>
    <row r="313" spans="1:37" ht="18.600000000000001" customHeight="1">
      <c r="A313" s="25" t="s">
        <v>419</v>
      </c>
      <c r="B313" s="26" t="s">
        <v>225</v>
      </c>
      <c r="C313" s="126" t="s">
        <v>23</v>
      </c>
      <c r="D313" s="67">
        <f>(F313*Settings!$C$2)+(G313*Settings!$C$3)+(H313*Settings!$C$4)+(I313*Settings!$C$5)+(J313*Settings!$C$6)+(M313*Settings!$C$9)+(N313*Settings!$C$10)+(O313*Settings!$C$11)+(P313*Settings!$C$12)+(Q313*Settings!$C$13)+(T313*Settings!$C$16)+(K313*Settings!$C$7)+(L313*Settings!$C$8)+(R313*Settings!$C$14)+(S313*Settings!$C$15)</f>
        <v>-1.3572129306617939</v>
      </c>
      <c r="E313" s="67"/>
      <c r="F313" s="121">
        <f>(VLOOKUP($A313,Hitters!$A1:$R401,4,FALSE)-AVERAGE(Rankings!M2:M651))/STDEV(Rankings!M2:M651)</f>
        <v>0.12095789483047818</v>
      </c>
      <c r="G313" s="121">
        <f>(VLOOKUP($A313,Hitters!$A1:$R401,5,FALSE)-AVERAGE(Rankings!N2:N651))/STDEV(Rankings!N2:N651)</f>
        <v>-0.16419118880704425</v>
      </c>
      <c r="H313" s="121">
        <f>(VLOOKUP($A313,Hitters!$A1:$R401,6,FALSE)-AVERAGE(Rankings!O2:O651))/STDEV(Rankings!O2:O651)</f>
        <v>-0.78071482433634676</v>
      </c>
      <c r="I313" s="121">
        <f>(VLOOKUP($A313,Hitters!$A1:$R401,7,FALSE)-AVERAGE(Rankings!P2:P651))/STDEV(Rankings!P2:P651)</f>
        <v>-0.61843986949067964</v>
      </c>
      <c r="J313" s="121">
        <f>(VLOOKUP($A313,Hitters!$A1:$R401,8,FALSE)-AVERAGE(Rankings!Q2:Q651))/STDEV(Rankings!Q2:Q651)</f>
        <v>0.46334995956389258</v>
      </c>
      <c r="K313" s="121">
        <f>(VLOOKUP($A313,Hitters!$A1:$R401,9,FALSE)-AVERAGE(Rankings!R2:R651))/STDEV(Rankings!R2:R651)</f>
        <v>-0.25721700759161575</v>
      </c>
      <c r="L313" s="121">
        <f>(VLOOKUP($A313,Hitters!$A1:$R401,10,FALSE)-AVERAGE(Rankings!S2:S651))/STDEV(Rankings!S2:S651)</f>
        <v>-0.45020696716588487</v>
      </c>
      <c r="M313" s="121">
        <f>(VLOOKUP($A313,Hitters!$A1:$R401,11,FALSE)-AVERAGE(Rankings!T2:T651))/STDEV(Rankings!T2:T651)</f>
        <v>1.2480886925786064E-2</v>
      </c>
      <c r="N313" s="121">
        <f>(VLOOKUP($A313,Hitters!$A1:$R401,12,FALSE)-AVERAGE(Rankings!U2:U651))/STDEV(Rankings!U2:U651)</f>
        <v>0.1222722050758621</v>
      </c>
      <c r="O313" s="121">
        <f>(VLOOKUP($A313,Hitters!$A1:$R401,13,FALSE)-AVERAGE(Rankings!V2:V651))/STDEV(Rankings!V2:V651)</f>
        <v>-0.89459261384319366</v>
      </c>
      <c r="P313" s="121">
        <f>(VLOOKUP($A313,Hitters!$A1:$R401,14,FALSE)-AVERAGE(Rankings!W2:W651))/STDEV(Rankings!W2:W651)</f>
        <v>-0.1693530785667503</v>
      </c>
      <c r="Q313" s="121">
        <f>(VLOOKUP($A313,Hitters!$A1:$R401,15,FALSE)-AVERAGE(Rankings!X2:X651))/STDEV(Rankings!X2:X651)</f>
        <v>-0.42856232752843471</v>
      </c>
      <c r="R313" s="121">
        <f>(VLOOKUP($A313,Hitters!$A1:$R401,16,FALSE)-AVERAGE(Rankings!Y2:Y651))/STDEV(Rankings!Y2:Y651)</f>
        <v>-1.2961815404821404</v>
      </c>
      <c r="S313" s="121">
        <f>(VLOOKUP($A313,Hitters!$A1:$R401,17,FALSE)-AVERAGE(Rankings!Z2:Z651))/STDEV(Rankings!Z2:Z651)</f>
        <v>-1.1202185072807349</v>
      </c>
      <c r="T313" s="121">
        <f>IFERROR((VLOOKUP($A313,Hitters!$A1:$R401,18,FALSE)-AVERAGE(Rankings!AA2:AA651))/STDEV(Rankings!AA2:AA651),0)</f>
        <v>0</v>
      </c>
      <c r="U313" s="67"/>
      <c r="V313" s="121"/>
      <c r="W313" s="121"/>
      <c r="X313" s="121"/>
      <c r="Y313" s="121"/>
      <c r="Z313" s="121"/>
      <c r="AA313" s="121"/>
      <c r="AB313" s="121"/>
      <c r="AC313" s="121"/>
      <c r="AD313" s="121"/>
      <c r="AE313" s="121"/>
      <c r="AF313" s="121"/>
      <c r="AG313" s="121"/>
      <c r="AH313" s="121"/>
      <c r="AI313" s="121"/>
      <c r="AJ313" s="121"/>
      <c r="AK313" s="121"/>
    </row>
    <row r="314" spans="1:37" ht="18.600000000000001" customHeight="1">
      <c r="A314" s="25" t="s">
        <v>433</v>
      </c>
      <c r="B314" s="26" t="s">
        <v>158</v>
      </c>
      <c r="C314" s="126" t="s">
        <v>23</v>
      </c>
      <c r="D314" s="67">
        <f>(F314*Settings!$C$2)+(G314*Settings!$C$3)+(H314*Settings!$C$4)+(I314*Settings!$C$5)+(J314*Settings!$C$6)+(M314*Settings!$C$9)+(N314*Settings!$C$10)+(O314*Settings!$C$11)+(P314*Settings!$C$12)+(Q314*Settings!$C$13)+(T314*Settings!$C$16)+(K314*Settings!$C$7)+(L314*Settings!$C$8)+(R314*Settings!$C$14)+(S314*Settings!$C$15)</f>
        <v>-1.5500169589821626</v>
      </c>
      <c r="E314" s="67"/>
      <c r="F314" s="121">
        <f>(VLOOKUP($A314,Hitters!$A1:$R401,4,FALSE)-AVERAGE(Rankings!M2:M651))/STDEV(Rankings!M2:M651)</f>
        <v>-0.54243026855862275</v>
      </c>
      <c r="G314" s="121">
        <f>(VLOOKUP($A314,Hitters!$A1:$R401,5,FALSE)-AVERAGE(Rankings!N2:N651))/STDEV(Rankings!N2:N651)</f>
        <v>-0.63017481141564125</v>
      </c>
      <c r="H314" s="121">
        <f>(VLOOKUP($A314,Hitters!$A1:$R401,6,FALSE)-AVERAGE(Rankings!O2:O651))/STDEV(Rankings!O2:O651)</f>
        <v>-0.34630589248575555</v>
      </c>
      <c r="I314" s="121">
        <f>(VLOOKUP($A314,Hitters!$A1:$R401,7,FALSE)-AVERAGE(Rankings!P2:P651))/STDEV(Rankings!P2:P651)</f>
        <v>-0.31784322393855302</v>
      </c>
      <c r="J314" s="121">
        <f>(VLOOKUP($A314,Hitters!$A1:$R401,8,FALSE)-AVERAGE(Rankings!Q2:Q651))/STDEV(Rankings!Q2:Q651)</f>
        <v>-0.67614314332228664</v>
      </c>
      <c r="K314" s="121">
        <f>(VLOOKUP($A314,Hitters!$A1:$R401,9,FALSE)-AVERAGE(Rankings!R2:R651))/STDEV(Rankings!R2:R651)</f>
        <v>0.42045011218007372</v>
      </c>
      <c r="L314" s="121">
        <f>(VLOOKUP($A314,Hitters!$A1:$R401,10,FALSE)-AVERAGE(Rankings!S2:S651))/STDEV(Rankings!S2:S651)</f>
        <v>-0.26993226030356482</v>
      </c>
      <c r="M314" s="121">
        <f>(VLOOKUP($A314,Hitters!$A1:$R401,11,FALSE)-AVERAGE(Rankings!T2:T651))/STDEV(Rankings!T2:T651)</f>
        <v>-0.43427244693440137</v>
      </c>
      <c r="N314" s="121">
        <f>(VLOOKUP($A314,Hitters!$A1:$R401,12,FALSE)-AVERAGE(Rankings!U2:U651))/STDEV(Rankings!U2:U651)</f>
        <v>-0.41772213696744637</v>
      </c>
      <c r="O314" s="121">
        <f>(VLOOKUP($A314,Hitters!$A1:$R401,13,FALSE)-AVERAGE(Rankings!V2:V651))/STDEV(Rankings!V2:V651)</f>
        <v>-0.5903871328757041</v>
      </c>
      <c r="P314" s="121">
        <f>(VLOOKUP($A314,Hitters!$A1:$R401,14,FALSE)-AVERAGE(Rankings!W2:W651))/STDEV(Rankings!W2:W651)</f>
        <v>-0.79906438951807646</v>
      </c>
      <c r="Q314" s="121">
        <f>(VLOOKUP($A314,Hitters!$A1:$R401,15,FALSE)-AVERAGE(Rankings!X2:X651))/STDEV(Rankings!X2:X651)</f>
        <v>-0.55332140737899738</v>
      </c>
      <c r="R314" s="121">
        <f>(VLOOKUP($A314,Hitters!$A1:$R401,16,FALSE)-AVERAGE(Rankings!Y2:Y651))/STDEV(Rankings!Y2:Y651)</f>
        <v>0.21822417206889289</v>
      </c>
      <c r="S314" s="121">
        <f>(VLOOKUP($A314,Hitters!$A1:$R401,17,FALSE)-AVERAGE(Rankings!Z2:Z651))/STDEV(Rankings!Z2:Z651)</f>
        <v>5.2892436580329952E-2</v>
      </c>
      <c r="T314" s="121">
        <f>IFERROR((VLOOKUP($A314,Hitters!$A1:$R401,18,FALSE)-AVERAGE(Rankings!AA2:AA651))/STDEV(Rankings!AA2:AA651),0)</f>
        <v>0</v>
      </c>
      <c r="U314" s="67"/>
      <c r="V314" s="121"/>
      <c r="W314" s="121"/>
      <c r="X314" s="121"/>
      <c r="Y314" s="121"/>
      <c r="Z314" s="121"/>
      <c r="AA314" s="121"/>
      <c r="AB314" s="121"/>
      <c r="AC314" s="121"/>
      <c r="AD314" s="121"/>
      <c r="AE314" s="121"/>
      <c r="AF314" s="121"/>
      <c r="AG314" s="121"/>
      <c r="AH314" s="121"/>
      <c r="AI314" s="121"/>
      <c r="AJ314" s="121"/>
      <c r="AK314" s="121"/>
    </row>
    <row r="315" spans="1:37" ht="18.600000000000001" customHeight="1">
      <c r="A315" s="25" t="s">
        <v>438</v>
      </c>
      <c r="B315" s="26" t="s">
        <v>69</v>
      </c>
      <c r="C315" s="126" t="s">
        <v>23</v>
      </c>
      <c r="D315" s="67">
        <f>(F315*Settings!$C$2)+(G315*Settings!$C$3)+(H315*Settings!$C$4)+(I315*Settings!$C$5)+(J315*Settings!$C$6)+(M315*Settings!$C$9)+(N315*Settings!$C$10)+(O315*Settings!$C$11)+(P315*Settings!$C$12)+(Q315*Settings!$C$13)+(T315*Settings!$C$16)+(K315*Settings!$C$7)+(L315*Settings!$C$8)+(R315*Settings!$C$14)+(S315*Settings!$C$15)</f>
        <v>-1.6313442279149157</v>
      </c>
      <c r="E315" s="67"/>
      <c r="F315" s="121">
        <f>(VLOOKUP($A315,Hitters!$A1:$R401,4,FALSE)-AVERAGE(Rankings!M2:M651))/STDEV(Rankings!M2:M651)</f>
        <v>-0.63906555220192351</v>
      </c>
      <c r="G315" s="121">
        <f>(VLOOKUP($A315,Hitters!$A1:$R401,5,FALSE)-AVERAGE(Rankings!N2:N651))/STDEV(Rankings!N2:N651)</f>
        <v>-0.60588902000933165</v>
      </c>
      <c r="H315" s="121">
        <f>(VLOOKUP($A315,Hitters!$A1:$R401,6,FALSE)-AVERAGE(Rankings!O2:O651))/STDEV(Rankings!O2:O651)</f>
        <v>-0.25858870432361758</v>
      </c>
      <c r="I315" s="121">
        <f>(VLOOKUP($A315,Hitters!$A1:$R401,7,FALSE)-AVERAGE(Rankings!P2:P651))/STDEV(Rankings!P2:P651)</f>
        <v>-0.47816143489968432</v>
      </c>
      <c r="J315" s="121">
        <f>(VLOOKUP($A315,Hitters!$A1:$R401,8,FALSE)-AVERAGE(Rankings!Q2:Q651))/STDEV(Rankings!Q2:Q651)</f>
        <v>0.15212276846722758</v>
      </c>
      <c r="K315" s="121">
        <f>(VLOOKUP($A315,Hitters!$A1:$R401,9,FALSE)-AVERAGE(Rankings!R2:R651))/STDEV(Rankings!R2:R651)</f>
        <v>-0.44082783714950968</v>
      </c>
      <c r="L315" s="121">
        <f>(VLOOKUP($A315,Hitters!$A1:$R401,10,FALSE)-AVERAGE(Rankings!S2:S651))/STDEV(Rankings!S2:S651)</f>
        <v>-0.53163710486362048</v>
      </c>
      <c r="M315" s="121">
        <f>(VLOOKUP($A315,Hitters!$A1:$R401,11,FALSE)-AVERAGE(Rankings!T2:T651))/STDEV(Rankings!T2:T651)</f>
        <v>-0.66538313288244166</v>
      </c>
      <c r="N315" s="121">
        <f>(VLOOKUP($A315,Hitters!$A1:$R401,12,FALSE)-AVERAGE(Rankings!U2:U651))/STDEV(Rankings!U2:U651)</f>
        <v>-0.50276061602938937</v>
      </c>
      <c r="O315" s="121">
        <f>(VLOOKUP($A315,Hitters!$A1:$R401,13,FALSE)-AVERAGE(Rankings!V2:V651))/STDEV(Rankings!V2:V651)</f>
        <v>-3.7286258389357937E-2</v>
      </c>
      <c r="P315" s="121">
        <f>(VLOOKUP($A315,Hitters!$A1:$R401,14,FALSE)-AVERAGE(Rankings!W2:W651))/STDEV(Rankings!W2:W651)</f>
        <v>-0.58916061920096585</v>
      </c>
      <c r="Q315" s="121">
        <f>(VLOOKUP($A315,Hitters!$A1:$R401,15,FALSE)-AVERAGE(Rankings!X2:X651))/STDEV(Rankings!X2:X651)</f>
        <v>-0.32817025546118717</v>
      </c>
      <c r="R315" s="121">
        <f>(VLOOKUP($A315,Hitters!$A1:$R401,16,FALSE)-AVERAGE(Rankings!Y2:Y651))/STDEV(Rankings!Y2:Y651)</f>
        <v>0.18381649858177967</v>
      </c>
      <c r="S315" s="121">
        <f>(VLOOKUP($A315,Hitters!$A1:$R401,17,FALSE)-AVERAGE(Rankings!Z2:Z651))/STDEV(Rankings!Z2:Z651)</f>
        <v>-7.4878549679608913E-2</v>
      </c>
      <c r="T315" s="121">
        <f>IFERROR((VLOOKUP($A315,Hitters!$A1:$R401,18,FALSE)-AVERAGE(Rankings!AA2:AA651))/STDEV(Rankings!AA2:AA651),0)</f>
        <v>0</v>
      </c>
      <c r="U315" s="67"/>
      <c r="V315" s="121"/>
      <c r="W315" s="121"/>
      <c r="X315" s="121"/>
      <c r="Y315" s="121"/>
      <c r="Z315" s="121"/>
      <c r="AA315" s="121"/>
      <c r="AB315" s="121"/>
      <c r="AC315" s="121"/>
      <c r="AD315" s="121"/>
      <c r="AE315" s="121"/>
      <c r="AF315" s="121"/>
      <c r="AG315" s="121"/>
      <c r="AH315" s="121"/>
      <c r="AI315" s="121"/>
      <c r="AJ315" s="121"/>
      <c r="AK315" s="121"/>
    </row>
    <row r="316" spans="1:37" ht="18.600000000000001" customHeight="1">
      <c r="A316" s="25" t="s">
        <v>455</v>
      </c>
      <c r="B316" s="26" t="s">
        <v>101</v>
      </c>
      <c r="C316" s="126" t="s">
        <v>23</v>
      </c>
      <c r="D316" s="67">
        <f>(F316*Settings!$C$2)+(G316*Settings!$C$3)+(H316*Settings!$C$4)+(I316*Settings!$C$5)+(J316*Settings!$C$6)+(M316*Settings!$C$9)+(N316*Settings!$C$10)+(O316*Settings!$C$11)+(P316*Settings!$C$12)+(Q316*Settings!$C$13)+(T316*Settings!$C$16)+(K316*Settings!$C$7)+(L316*Settings!$C$8)+(R316*Settings!$C$14)+(S316*Settings!$C$15)</f>
        <v>-1.8444275525691463</v>
      </c>
      <c r="E316" s="67"/>
      <c r="F316" s="121">
        <f>(VLOOKUP($A316,Hitters!$A1:$R401,4,FALSE)-AVERAGE(Rankings!M2:M651))/STDEV(Rankings!M2:M651)</f>
        <v>-0.37005381665436676</v>
      </c>
      <c r="G316" s="121">
        <f>(VLOOKUP($A316,Hitters!$A1:$R401,5,FALSE)-AVERAGE(Rankings!N2:N651))/STDEV(Rankings!N2:N651)</f>
        <v>-0.464727857460147</v>
      </c>
      <c r="H316" s="121">
        <f>(VLOOKUP($A316,Hitters!$A1:$R401,6,FALSE)-AVERAGE(Rankings!O2:O651))/STDEV(Rankings!O2:O651)</f>
        <v>-0.19175656096199303</v>
      </c>
      <c r="I316" s="121">
        <f>(VLOOKUP($A316,Hitters!$A1:$R401,7,FALSE)-AVERAGE(Rankings!P2:P651))/STDEV(Rankings!P2:P651)</f>
        <v>-0.34559060660490321</v>
      </c>
      <c r="J316" s="121">
        <f>(VLOOKUP($A316,Hitters!$A1:$R401,8,FALSE)-AVERAGE(Rankings!Q2:Q651))/STDEV(Rankings!Q2:Q651)</f>
        <v>-0.646024382893577</v>
      </c>
      <c r="K316" s="121">
        <f>(VLOOKUP($A316,Hitters!$A1:$R401,9,FALSE)-AVERAGE(Rankings!R2:R651))/STDEV(Rankings!R2:R651)</f>
        <v>-0.19632814464852602</v>
      </c>
      <c r="L316" s="121">
        <f>(VLOOKUP($A316,Hitters!$A1:$R401,10,FALSE)-AVERAGE(Rankings!S2:S651))/STDEV(Rankings!S2:S651)</f>
        <v>-0.52169781974773521</v>
      </c>
      <c r="M316" s="121">
        <f>(VLOOKUP($A316,Hitters!$A1:$R401,11,FALSE)-AVERAGE(Rankings!T2:T651))/STDEV(Rankings!T2:T651)</f>
        <v>-0.3942375249591496</v>
      </c>
      <c r="N316" s="121">
        <f>(VLOOKUP($A316,Hitters!$A1:$R401,12,FALSE)-AVERAGE(Rankings!U2:U651))/STDEV(Rankings!U2:U651)</f>
        <v>-0.3411875058117011</v>
      </c>
      <c r="O316" s="121">
        <f>(VLOOKUP($A316,Hitters!$A1:$R401,13,FALSE)-AVERAGE(Rankings!V2:V651))/STDEV(Rankings!V2:V651)</f>
        <v>0.68174487844289422</v>
      </c>
      <c r="P316" s="121">
        <f>(VLOOKUP($A316,Hitters!$A1:$R401,14,FALSE)-AVERAGE(Rankings!W2:W651))/STDEV(Rankings!W2:W651)</f>
        <v>-0.54829439843126515</v>
      </c>
      <c r="Q316" s="121">
        <f>(VLOOKUP($A316,Hitters!$A1:$R401,15,FALSE)-AVERAGE(Rankings!X2:X651))/STDEV(Rankings!X2:X651)</f>
        <v>0.38042233087755961</v>
      </c>
      <c r="R316" s="121">
        <f>(VLOOKUP($A316,Hitters!$A1:$R401,16,FALSE)-AVERAGE(Rankings!Y2:Y651))/STDEV(Rankings!Y2:Y651)</f>
        <v>0.18284274090496297</v>
      </c>
      <c r="S316" s="121">
        <f>(VLOOKUP($A316,Hitters!$A1:$R401,17,FALSE)-AVERAGE(Rankings!Z2:Z651))/STDEV(Rankings!Z2:Z651)</f>
        <v>-7.1685951509473267E-2</v>
      </c>
      <c r="T316" s="121">
        <f>IFERROR((VLOOKUP($A316,Hitters!$A1:$R401,18,FALSE)-AVERAGE(Rankings!AA2:AA651))/STDEV(Rankings!AA2:AA651),0)</f>
        <v>0</v>
      </c>
      <c r="U316" s="67"/>
      <c r="V316" s="121"/>
      <c r="W316" s="121"/>
      <c r="X316" s="121"/>
      <c r="Y316" s="121"/>
      <c r="Z316" s="121"/>
      <c r="AA316" s="121"/>
      <c r="AB316" s="121"/>
      <c r="AC316" s="121"/>
      <c r="AD316" s="121"/>
      <c r="AE316" s="121"/>
      <c r="AF316" s="121"/>
      <c r="AG316" s="121"/>
      <c r="AH316" s="121"/>
      <c r="AI316" s="121"/>
      <c r="AJ316" s="121"/>
      <c r="AK316" s="121"/>
    </row>
    <row r="317" spans="1:37" ht="18.600000000000001" customHeight="1">
      <c r="A317" s="25" t="s">
        <v>459</v>
      </c>
      <c r="B317" s="26" t="s">
        <v>82</v>
      </c>
      <c r="C317" s="126" t="s">
        <v>23</v>
      </c>
      <c r="D317" s="67">
        <f>(F317*Settings!$C$2)+(G317*Settings!$C$3)+(H317*Settings!$C$4)+(I317*Settings!$C$5)+(J317*Settings!$C$6)+(M317*Settings!$C$9)+(N317*Settings!$C$10)+(O317*Settings!$C$11)+(P317*Settings!$C$12)+(Q317*Settings!$C$13)+(T317*Settings!$C$16)+(K317*Settings!$C$7)+(L317*Settings!$C$8)+(R317*Settings!$C$14)+(S317*Settings!$C$15)</f>
        <v>-1.8654477139665393</v>
      </c>
      <c r="E317" s="67"/>
      <c r="F317" s="121">
        <f>(VLOOKUP($A317,Hitters!$A1:$R401,4,FALSE)-AVERAGE(Rankings!M2:M651))/STDEV(Rankings!M2:M651)</f>
        <v>-0.36221852338599148</v>
      </c>
      <c r="G317" s="121">
        <f>(VLOOKUP($A317,Hitters!$A1:$R401,5,FALSE)-AVERAGE(Rankings!N2:N651))/STDEV(Rankings!N2:N651)</f>
        <v>-0.39642406912989636</v>
      </c>
      <c r="H317" s="121">
        <f>(VLOOKUP($A317,Hitters!$A1:$R401,6,FALSE)-AVERAGE(Rankings!O2:O651))/STDEV(Rankings!O2:O651)</f>
        <v>-0.17087151616147989</v>
      </c>
      <c r="I317" s="121">
        <f>(VLOOKUP($A317,Hitters!$A1:$R401,7,FALSE)-AVERAGE(Rankings!P2:P651))/STDEV(Rankings!P2:P651)</f>
        <v>-0.3224677877162781</v>
      </c>
      <c r="J317" s="121">
        <f>(VLOOKUP($A317,Hitters!$A1:$R401,8,FALSE)-AVERAGE(Rankings!Q2:Q651))/STDEV(Rankings!Q2:Q651)</f>
        <v>-0.1892231830581485</v>
      </c>
      <c r="K317" s="121">
        <f>(VLOOKUP($A317,Hitters!$A1:$R401,9,FALSE)-AVERAGE(Rankings!R2:R651))/STDEV(Rankings!R2:R651)</f>
        <v>-0.78646115790073645</v>
      </c>
      <c r="L317" s="121">
        <f>(VLOOKUP($A317,Hitters!$A1:$R401,10,FALSE)-AVERAGE(Rankings!S2:S651))/STDEV(Rankings!S2:S651)</f>
        <v>-0.68802223201945589</v>
      </c>
      <c r="M317" s="121">
        <f>(VLOOKUP($A317,Hitters!$A1:$R401,11,FALSE)-AVERAGE(Rankings!T2:T651))/STDEV(Rankings!T2:T651)</f>
        <v>-0.4979643682586633</v>
      </c>
      <c r="N317" s="121">
        <f>(VLOOKUP($A317,Hitters!$A1:$R401,12,FALSE)-AVERAGE(Rankings!U2:U651))/STDEV(Rankings!U2:U651)</f>
        <v>-0.54102793160726192</v>
      </c>
      <c r="O317" s="121">
        <f>(VLOOKUP($A317,Hitters!$A1:$R401,13,FALSE)-AVERAGE(Rankings!V2:V651))/STDEV(Rankings!V2:V651)</f>
        <v>0.21160913512949756</v>
      </c>
      <c r="P317" s="121">
        <f>(VLOOKUP($A317,Hitters!$A1:$R401,14,FALSE)-AVERAGE(Rankings!W2:W651))/STDEV(Rankings!W2:W651)</f>
        <v>-0.33839062811415443</v>
      </c>
      <c r="Q317" s="121">
        <f>(VLOOKUP($A317,Hitters!$A1:$R401,15,FALSE)-AVERAGE(Rankings!X2:X651))/STDEV(Rankings!X2:X651)</f>
        <v>0.5870545568800325</v>
      </c>
      <c r="R317" s="121">
        <f>(VLOOKUP($A317,Hitters!$A1:$R401,16,FALSE)-AVERAGE(Rankings!Y2:Y651))/STDEV(Rankings!Y2:Y651)</f>
        <v>-0.25128899536891663</v>
      </c>
      <c r="S317" s="121">
        <f>(VLOOKUP($A317,Hitters!$A1:$R401,17,FALSE)-AVERAGE(Rankings!Z2:Z651))/STDEV(Rankings!Z2:Z651)</f>
        <v>-0.45298041978332293</v>
      </c>
      <c r="T317" s="121">
        <f>IFERROR((VLOOKUP($A317,Hitters!$A1:$R401,18,FALSE)-AVERAGE(Rankings!AA2:AA651))/STDEV(Rankings!AA2:AA651),0)</f>
        <v>0</v>
      </c>
      <c r="U317" s="67"/>
      <c r="V317" s="121"/>
      <c r="W317" s="121"/>
      <c r="X317" s="121"/>
      <c r="Y317" s="121"/>
      <c r="Z317" s="121"/>
      <c r="AA317" s="121"/>
      <c r="AB317" s="121"/>
      <c r="AC317" s="121"/>
      <c r="AD317" s="121"/>
      <c r="AE317" s="121"/>
      <c r="AF317" s="121"/>
      <c r="AG317" s="121"/>
      <c r="AH317" s="121"/>
      <c r="AI317" s="121"/>
      <c r="AJ317" s="121"/>
      <c r="AK317" s="121"/>
    </row>
    <row r="318" spans="1:37" ht="18.600000000000001" customHeight="1">
      <c r="A318" s="25" t="s">
        <v>464</v>
      </c>
      <c r="B318" s="26" t="s">
        <v>309</v>
      </c>
      <c r="C318" s="126" t="s">
        <v>23</v>
      </c>
      <c r="D318" s="67">
        <f>(F318*Settings!$C$2)+(G318*Settings!$C$3)+(H318*Settings!$C$4)+(I318*Settings!$C$5)+(J318*Settings!$C$6)+(M318*Settings!$C$9)+(N318*Settings!$C$10)+(O318*Settings!$C$11)+(P318*Settings!$C$12)+(Q318*Settings!$C$13)+(T318*Settings!$C$16)+(K318*Settings!$C$7)+(L318*Settings!$C$8)+(R318*Settings!$C$14)+(S318*Settings!$C$15)</f>
        <v>-1.8959371376663019</v>
      </c>
      <c r="E318" s="67"/>
      <c r="F318" s="121">
        <f>(VLOOKUP($A318,Hitters!$A1:$R401,4,FALSE)-AVERAGE(Rankings!M2:M651))/STDEV(Rankings!M2:M651)</f>
        <v>-0.54504203298142018</v>
      </c>
      <c r="G318" s="121">
        <f>(VLOOKUP($A318,Hitters!$A1:$R401,5,FALSE)-AVERAGE(Rankings!N2:N651))/STDEV(Rankings!N2:N651)</f>
        <v>-0.72580011507799214</v>
      </c>
      <c r="H318" s="121">
        <f>(VLOOKUP($A318,Hitters!$A1:$R401,6,FALSE)-AVERAGE(Rankings!O2:O651))/STDEV(Rankings!O2:O651)</f>
        <v>-0.78906884225655083</v>
      </c>
      <c r="I318" s="121">
        <f>(VLOOKUP($A318,Hitters!$A1:$R401,7,FALSE)-AVERAGE(Rankings!P2:P651))/STDEV(Rankings!P2:P651)</f>
        <v>-0.69859897497124512</v>
      </c>
      <c r="J318" s="121">
        <f>(VLOOKUP($A318,Hitters!$A1:$R401,8,FALSE)-AVERAGE(Rankings!Q2:Q651))/STDEV(Rankings!Q2:Q651)</f>
        <v>-0.56068789501223415</v>
      </c>
      <c r="K318" s="121">
        <f>(VLOOKUP($A318,Hitters!$A1:$R401,9,FALSE)-AVERAGE(Rankings!R2:R651))/STDEV(Rankings!R2:R651)</f>
        <v>0.87821868965172056</v>
      </c>
      <c r="L318" s="121">
        <f>(VLOOKUP($A318,Hitters!$A1:$R401,10,FALSE)-AVERAGE(Rankings!S2:S651))/STDEV(Rankings!S2:S651)</f>
        <v>-0.20945590652651638</v>
      </c>
      <c r="M318" s="121">
        <f>(VLOOKUP($A318,Hitters!$A1:$R401,11,FALSE)-AVERAGE(Rankings!T2:T651))/STDEV(Rankings!T2:T651)</f>
        <v>-0.35693225675494028</v>
      </c>
      <c r="N318" s="121">
        <f>(VLOOKUP($A318,Hitters!$A1:$R401,12,FALSE)-AVERAGE(Rankings!U2:U651))/STDEV(Rankings!U2:U651)</f>
        <v>-0.22638555907808369</v>
      </c>
      <c r="O318" s="121">
        <f>(VLOOKUP($A318,Hitters!$A1:$R401,13,FALSE)-AVERAGE(Rankings!V2:V651))/STDEV(Rankings!V2:V651)</f>
        <v>0.34988435375108684</v>
      </c>
      <c r="P318" s="121">
        <f>(VLOOKUP($A318,Hitters!$A1:$R401,14,FALSE)-AVERAGE(Rankings!W2:W651))/STDEV(Rankings!W2:W651)</f>
        <v>-0.99596527140845981</v>
      </c>
      <c r="Q318" s="121">
        <f>(VLOOKUP($A318,Hitters!$A1:$R401,15,FALSE)-AVERAGE(Rankings!X2:X651))/STDEV(Rankings!X2:X651)</f>
        <v>-0.9695099003179789</v>
      </c>
      <c r="R318" s="121">
        <f>(VLOOKUP($A318,Hitters!$A1:$R401,16,FALSE)-AVERAGE(Rankings!Y2:Y651))/STDEV(Rankings!Y2:Y651)</f>
        <v>-6.2070884353736117E-2</v>
      </c>
      <c r="S318" s="121">
        <f>(VLOOKUP($A318,Hitters!$A1:$R401,17,FALSE)-AVERAGE(Rankings!Z2:Z651))/STDEV(Rankings!Z2:Z651)</f>
        <v>-0.12739832867354794</v>
      </c>
      <c r="T318" s="121">
        <f>IFERROR((VLOOKUP($A318,Hitters!$A1:$R401,18,FALSE)-AVERAGE(Rankings!AA2:AA651))/STDEV(Rankings!AA2:AA651),0)</f>
        <v>0</v>
      </c>
      <c r="U318" s="67"/>
      <c r="V318" s="121"/>
      <c r="W318" s="121"/>
      <c r="X318" s="121"/>
      <c r="Y318" s="121"/>
      <c r="Z318" s="121"/>
      <c r="AA318" s="121"/>
      <c r="AB318" s="121"/>
      <c r="AC318" s="121"/>
      <c r="AD318" s="121"/>
      <c r="AE318" s="121"/>
      <c r="AF318" s="121"/>
      <c r="AG318" s="121"/>
      <c r="AH318" s="121"/>
      <c r="AI318" s="121"/>
      <c r="AJ318" s="121"/>
      <c r="AK318" s="121"/>
    </row>
    <row r="319" spans="1:37" ht="18.600000000000001" customHeight="1">
      <c r="A319" s="25" t="s">
        <v>465</v>
      </c>
      <c r="B319" s="26" t="s">
        <v>97</v>
      </c>
      <c r="C319" s="126" t="s">
        <v>23</v>
      </c>
      <c r="D319" s="67">
        <f>(F319*Settings!$C$2)+(G319*Settings!$C$3)+(H319*Settings!$C$4)+(I319*Settings!$C$5)+(J319*Settings!$C$6)+(M319*Settings!$C$9)+(N319*Settings!$C$10)+(O319*Settings!$C$11)+(P319*Settings!$C$12)+(Q319*Settings!$C$13)+(T319*Settings!$C$16)+(K319*Settings!$C$7)+(L319*Settings!$C$8)+(R319*Settings!$C$14)+(S319*Settings!$C$15)</f>
        <v>-1.9170813216589466</v>
      </c>
      <c r="E319" s="67"/>
      <c r="F319" s="121">
        <f>(VLOOKUP($A319,Hitters!$A1:$R401,4,FALSE)-AVERAGE(Rankings!M2:M651))/STDEV(Rankings!M2:M651)</f>
        <v>-0.37005381665436676</v>
      </c>
      <c r="G319" s="121">
        <f>(VLOOKUP($A319,Hitters!$A1:$R401,5,FALSE)-AVERAGE(Rankings!N2:N651))/STDEV(Rankings!N2:N651)</f>
        <v>-0.20365559984229728</v>
      </c>
      <c r="H319" s="121">
        <f>(VLOOKUP($A319,Hitters!$A1:$R401,6,FALSE)-AVERAGE(Rankings!O2:O651))/STDEV(Rankings!O2:O651)</f>
        <v>-0.47997017920901713</v>
      </c>
      <c r="I319" s="121">
        <f>(VLOOKUP($A319,Hitters!$A1:$R401,7,FALSE)-AVERAGE(Rankings!P2:P651))/STDEV(Rankings!P2:P651)</f>
        <v>-0.60919074193522982</v>
      </c>
      <c r="J319" s="121">
        <f>(VLOOKUP($A319,Hitters!$A1:$R401,8,FALSE)-AVERAGE(Rankings!Q2:Q651))/STDEV(Rankings!Q2:Q651)</f>
        <v>0.16216235527679648</v>
      </c>
      <c r="K319" s="121">
        <f>(VLOOKUP($A319,Hitters!$A1:$R401,9,FALSE)-AVERAGE(Rankings!R2:R651))/STDEV(Rankings!R2:R651)</f>
        <v>-0.78642715594919876</v>
      </c>
      <c r="L319" s="121">
        <f>(VLOOKUP($A319,Hitters!$A1:$R401,10,FALSE)-AVERAGE(Rankings!S2:S651))/STDEV(Rankings!S2:S651)</f>
        <v>3.8532734757778866E-2</v>
      </c>
      <c r="M319" s="121">
        <f>(VLOOKUP($A319,Hitters!$A1:$R401,11,FALSE)-AVERAGE(Rankings!T2:T651))/STDEV(Rankings!T2:T651)</f>
        <v>-0.50433356039109156</v>
      </c>
      <c r="N319" s="121">
        <f>(VLOOKUP($A319,Hitters!$A1:$R401,12,FALSE)-AVERAGE(Rankings!U2:U651))/STDEV(Rankings!U2:U651)</f>
        <v>-0.71535681368424098</v>
      </c>
      <c r="O319" s="121">
        <f>(VLOOKUP($A319,Hitters!$A1:$R401,13,FALSE)-AVERAGE(Rankings!V2:V651))/STDEV(Rankings!V2:V651)</f>
        <v>-0.56273208915138628</v>
      </c>
      <c r="P319" s="121">
        <f>(VLOOKUP($A319,Hitters!$A1:$R401,14,FALSE)-AVERAGE(Rankings!W2:W651))/STDEV(Rankings!W2:W651)</f>
        <v>0.17243713150712989</v>
      </c>
      <c r="Q319" s="121">
        <f>(VLOOKUP($A319,Hitters!$A1:$R401,15,FALSE)-AVERAGE(Rankings!X2:X651))/STDEV(Rankings!X2:X651)</f>
        <v>8.9967598100460247E-2</v>
      </c>
      <c r="R319" s="121">
        <f>(VLOOKUP($A319,Hitters!$A1:$R401,16,FALSE)-AVERAGE(Rankings!Y2:Y651))/STDEV(Rankings!Y2:Y651)</f>
        <v>-0.96047458017762632</v>
      </c>
      <c r="S319" s="121">
        <f>(VLOOKUP($A319,Hitters!$A1:$R401,17,FALSE)-AVERAGE(Rankings!Z2:Z651))/STDEV(Rankings!Z2:Z651)</f>
        <v>-0.68401264042514776</v>
      </c>
      <c r="T319" s="121">
        <f>IFERROR((VLOOKUP($A319,Hitters!$A1:$R401,18,FALSE)-AVERAGE(Rankings!AA2:AA651))/STDEV(Rankings!AA2:AA651),0)</f>
        <v>0</v>
      </c>
      <c r="U319" s="67"/>
      <c r="V319" s="121"/>
      <c r="W319" s="121"/>
      <c r="X319" s="121"/>
      <c r="Y319" s="121"/>
      <c r="Z319" s="121"/>
      <c r="AA319" s="121"/>
      <c r="AB319" s="121"/>
      <c r="AC319" s="121"/>
      <c r="AD319" s="121"/>
      <c r="AE319" s="121"/>
      <c r="AF319" s="121"/>
      <c r="AG319" s="121"/>
      <c r="AH319" s="121"/>
      <c r="AI319" s="121"/>
      <c r="AJ319" s="121"/>
      <c r="AK319" s="121"/>
    </row>
    <row r="320" spans="1:37" ht="18.600000000000001" customHeight="1">
      <c r="A320" s="25" t="s">
        <v>475</v>
      </c>
      <c r="B320" s="26" t="s">
        <v>72</v>
      </c>
      <c r="C320" s="126" t="s">
        <v>23</v>
      </c>
      <c r="D320" s="67">
        <f>(F320*Settings!$C$2)+(G320*Settings!$C$3)+(H320*Settings!$C$4)+(I320*Settings!$C$5)+(J320*Settings!$C$6)+(M320*Settings!$C$9)+(N320*Settings!$C$10)+(O320*Settings!$C$11)+(P320*Settings!$C$12)+(Q320*Settings!$C$13)+(T320*Settings!$C$16)+(K320*Settings!$C$7)+(L320*Settings!$C$8)+(R320*Settings!$C$14)+(S320*Settings!$C$15)</f>
        <v>-2.0363251175627699</v>
      </c>
      <c r="E320" s="67"/>
      <c r="F320" s="121">
        <f>(VLOOKUP($A320,Hitters!$A1:$R401,4,FALSE)-AVERAGE(Rankings!M2:M651))/STDEV(Rankings!M2:M651)</f>
        <v>-0.52806556423327089</v>
      </c>
      <c r="G320" s="121">
        <f>(VLOOKUP($A320,Hitters!$A1:$R401,5,FALSE)-AVERAGE(Rankings!N2:N651))/STDEV(Rankings!N2:N651)</f>
        <v>-0.60285329608354099</v>
      </c>
      <c r="H320" s="121">
        <f>(VLOOKUP($A320,Hitters!$A1:$R401,6,FALSE)-AVERAGE(Rankings!O2:O651))/STDEV(Rankings!O2:O651)</f>
        <v>-0.35465991040596312</v>
      </c>
      <c r="I320" s="121">
        <f>(VLOOKUP($A320,Hitters!$A1:$R401,7,FALSE)-AVERAGE(Rankings!P2:P651))/STDEV(Rankings!P2:P651)</f>
        <v>-0.46043394041840641</v>
      </c>
      <c r="J320" s="121">
        <f>(VLOOKUP($A320,Hitters!$A1:$R401,8,FALSE)-AVERAGE(Rankings!Q2:Q651))/STDEV(Rankings!Q2:Q651)</f>
        <v>-0.49794047745242198</v>
      </c>
      <c r="K320" s="121">
        <f>(VLOOKUP($A320,Hitters!$A1:$R401,9,FALSE)-AVERAGE(Rankings!R2:R651))/STDEV(Rankings!R2:R651)</f>
        <v>-0.12043749320243738</v>
      </c>
      <c r="L320" s="121">
        <f>(VLOOKUP($A320,Hitters!$A1:$R401,10,FALSE)-AVERAGE(Rankings!S2:S651))/STDEV(Rankings!S2:S651)</f>
        <v>-0.7357901569744012</v>
      </c>
      <c r="M320" s="121">
        <f>(VLOOKUP($A320,Hitters!$A1:$R401,11,FALSE)-AVERAGE(Rankings!T2:T651))/STDEV(Rankings!T2:T651)</f>
        <v>-0.5161620600655964</v>
      </c>
      <c r="N320" s="121">
        <f>(VLOOKUP($A320,Hitters!$A1:$R401,12,FALSE)-AVERAGE(Rankings!U2:U651))/STDEV(Rankings!U2:U651)</f>
        <v>-0.25402306477321773</v>
      </c>
      <c r="O320" s="121">
        <f>(VLOOKUP($A320,Hitters!$A1:$R401,13,FALSE)-AVERAGE(Rankings!V2:V651))/STDEV(Rankings!V2:V651)</f>
        <v>-0.74248987335944894</v>
      </c>
      <c r="P320" s="121">
        <f>(VLOOKUP($A320,Hitters!$A1:$R401,14,FALSE)-AVERAGE(Rankings!W2:W651))/STDEV(Rankings!W2:W651)</f>
        <v>-0.81485361117909605</v>
      </c>
      <c r="Q320" s="121">
        <f>(VLOOKUP($A320,Hitters!$A1:$R401,15,FALSE)-AVERAGE(Rankings!X2:X651))/STDEV(Rankings!X2:X651)</f>
        <v>-0.68441590925321905</v>
      </c>
      <c r="R320" s="121">
        <f>(VLOOKUP($A320,Hitters!$A1:$R401,16,FALSE)-AVERAGE(Rankings!Y2:Y651))/STDEV(Rankings!Y2:Y651)</f>
        <v>-2.7550573513561521E-3</v>
      </c>
      <c r="S320" s="121">
        <f>(VLOOKUP($A320,Hitters!$A1:$R401,17,FALSE)-AVERAGE(Rankings!Z2:Z651))/STDEV(Rankings!Z2:Z651)</f>
        <v>-0.29082048475133265</v>
      </c>
      <c r="T320" s="121">
        <f>IFERROR((VLOOKUP($A320,Hitters!$A1:$R401,18,FALSE)-AVERAGE(Rankings!AA2:AA651))/STDEV(Rankings!AA2:AA651),0)</f>
        <v>0</v>
      </c>
      <c r="U320" s="67"/>
      <c r="V320" s="121"/>
      <c r="W320" s="121"/>
      <c r="X320" s="121"/>
      <c r="Y320" s="121"/>
      <c r="Z320" s="121"/>
      <c r="AA320" s="121"/>
      <c r="AB320" s="121"/>
      <c r="AC320" s="121"/>
      <c r="AD320" s="121"/>
      <c r="AE320" s="121"/>
      <c r="AF320" s="121"/>
      <c r="AG320" s="121"/>
      <c r="AH320" s="121"/>
      <c r="AI320" s="121"/>
      <c r="AJ320" s="121"/>
      <c r="AK320" s="121"/>
    </row>
    <row r="321" spans="1:37" ht="18.600000000000001" customHeight="1">
      <c r="A321" s="25" t="s">
        <v>472</v>
      </c>
      <c r="B321" s="26"/>
      <c r="C321" s="126" t="s">
        <v>23</v>
      </c>
      <c r="D321" s="67">
        <f>(F321*Settings!$C$2)+(G321*Settings!$C$3)+(H321*Settings!$C$4)+(I321*Settings!$C$5)+(J321*Settings!$C$6)+(M321*Settings!$C$9)+(N321*Settings!$C$10)+(O321*Settings!$C$11)+(P321*Settings!$C$12)+(Q321*Settings!$C$13)+(T321*Settings!$C$16)+(K321*Settings!$C$7)+(L321*Settings!$C$8)+(R321*Settings!$C$14)+(S321*Settings!$C$15)</f>
        <v>-2.0240123646165515</v>
      </c>
      <c r="E321" s="67"/>
      <c r="F321" s="121">
        <f>(VLOOKUP($A321,Hitters!$A1:$R401,4,FALSE)-AVERAGE(Rankings!M2:M651))/STDEV(Rankings!M2:M651)</f>
        <v>-0.18200677821336014</v>
      </c>
      <c r="G321" s="121">
        <f>(VLOOKUP($A321,Hitters!$A1:$R401,5,FALSE)-AVERAGE(Rankings!N2:N651))/STDEV(Rankings!N2:N651)</f>
        <v>-0.20669132376808763</v>
      </c>
      <c r="H321" s="121">
        <f>(VLOOKUP($A321,Hitters!$A1:$R401,6,FALSE)-AVERAGE(Rankings!O2:O651))/STDEV(Rankings!O2:O651)</f>
        <v>-0.47579317024891954</v>
      </c>
      <c r="I321" s="121">
        <f>(VLOOKUP($A321,Hitters!$A1:$R401,7,FALSE)-AVERAGE(Rankings!P2:P651))/STDEV(Rankings!P2:P651)</f>
        <v>-0.49511816875134407</v>
      </c>
      <c r="J321" s="121">
        <f>(VLOOKUP($A321,Hitters!$A1:$R401,8,FALSE)-AVERAGE(Rankings!Q2:Q651))/STDEV(Rankings!Q2:Q651)</f>
        <v>0.37299367827776381</v>
      </c>
      <c r="K321" s="121">
        <f>(VLOOKUP($A321,Hitters!$A1:$R401,9,FALSE)-AVERAGE(Rankings!R2:R651))/STDEV(Rankings!R2:R651)</f>
        <v>-1.2194033801259643</v>
      </c>
      <c r="L321" s="121">
        <f>(VLOOKUP($A321,Hitters!$A1:$R401,10,FALSE)-AVERAGE(Rankings!S2:S651))/STDEV(Rankings!S2:S651)</f>
        <v>0.33847174661311691</v>
      </c>
      <c r="M321" s="121">
        <f>(VLOOKUP($A321,Hitters!$A1:$R401,11,FALSE)-AVERAGE(Rankings!T2:T651))/STDEV(Rankings!T2:T651)</f>
        <v>-0.43791198529578684</v>
      </c>
      <c r="N321" s="121">
        <f>(VLOOKUP($A321,Hitters!$A1:$R401,12,FALSE)-AVERAGE(Rankings!U2:U651))/STDEV(Rankings!U2:U651)</f>
        <v>-0.33268365790551585</v>
      </c>
      <c r="O321" s="121">
        <f>(VLOOKUP($A321,Hitters!$A1:$R401,13,FALSE)-AVERAGE(Rankings!V2:V651))/STDEV(Rankings!V2:V651)</f>
        <v>-0.3138366956325282</v>
      </c>
      <c r="P321" s="121">
        <f>(VLOOKUP($A321,Hitters!$A1:$R401,14,FALSE)-AVERAGE(Rankings!W2:W651))/STDEV(Rankings!W2:W651)</f>
        <v>0.8281542193118997</v>
      </c>
      <c r="Q321" s="121">
        <f>(VLOOKUP($A321,Hitters!$A1:$R401,15,FALSE)-AVERAGE(Rankings!X2:X651))/STDEV(Rankings!X2:X651)</f>
        <v>0.30439726659362348</v>
      </c>
      <c r="R321" s="121">
        <f>(VLOOKUP($A321,Hitters!$A1:$R401,16,FALSE)-AVERAGE(Rankings!Y2:Y651))/STDEV(Rankings!Y2:Y651)</f>
        <v>-1.1389114118586865</v>
      </c>
      <c r="S321" s="121">
        <f>(VLOOKUP($A321,Hitters!$A1:$R401,17,FALSE)-AVERAGE(Rankings!Z2:Z651))/STDEV(Rankings!Z2:Z651)</f>
        <v>-0.69616517175152148</v>
      </c>
      <c r="T321" s="121">
        <f>IFERROR((VLOOKUP($A321,Hitters!$A1:$R401,18,FALSE)-AVERAGE(Rankings!AA2:AA651))/STDEV(Rankings!AA2:AA651),0)</f>
        <v>0</v>
      </c>
      <c r="U321" s="67"/>
      <c r="V321" s="121"/>
      <c r="W321" s="121"/>
      <c r="X321" s="121"/>
      <c r="Y321" s="121"/>
      <c r="Z321" s="121"/>
      <c r="AA321" s="121"/>
      <c r="AB321" s="121"/>
      <c r="AC321" s="121"/>
      <c r="AD321" s="121"/>
      <c r="AE321" s="121"/>
      <c r="AF321" s="121"/>
      <c r="AG321" s="121"/>
      <c r="AH321" s="121"/>
      <c r="AI321" s="121"/>
      <c r="AJ321" s="121"/>
      <c r="AK321" s="121"/>
    </row>
    <row r="322" spans="1:37" ht="18.600000000000001" customHeight="1">
      <c r="A322" s="25" t="s">
        <v>451</v>
      </c>
      <c r="B322" s="26" t="s">
        <v>139</v>
      </c>
      <c r="C322" s="126" t="s">
        <v>23</v>
      </c>
      <c r="D322" s="67">
        <f>(F322*Settings!$C$2)+(G322*Settings!$C$3)+(H322*Settings!$C$4)+(I322*Settings!$C$5)+(J322*Settings!$C$6)+(M322*Settings!$C$9)+(N322*Settings!$C$10)+(O322*Settings!$C$11)+(P322*Settings!$C$12)+(Q322*Settings!$C$13)+(T322*Settings!$C$16)+(K322*Settings!$C$7)+(L322*Settings!$C$8)+(R322*Settings!$C$14)+(S322*Settings!$C$15)</f>
        <v>-1.789843590468895</v>
      </c>
      <c r="E322" s="67"/>
      <c r="F322" s="121">
        <f>(VLOOKUP($A322,Hitters!$A1:$R401,4,FALSE)-AVERAGE(Rankings!M2:M651))/STDEV(Rankings!M2:M651)</f>
        <v>-1.0177713935067256</v>
      </c>
      <c r="G322" s="121">
        <f>(VLOOKUP($A322,Hitters!$A1:$R401,5,FALSE)-AVERAGE(Rankings!N2:N651))/STDEV(Rankings!N2:N651)</f>
        <v>-0.86923807057151836</v>
      </c>
      <c r="H322" s="121">
        <f>(VLOOKUP($A322,Hitters!$A1:$R401,6,FALSE)-AVERAGE(Rankings!O2:O651))/STDEV(Rankings!O2:O651)</f>
        <v>-1.2255662785871886</v>
      </c>
      <c r="I322" s="121">
        <f>(VLOOKUP($A322,Hitters!$A1:$R401,7,FALSE)-AVERAGE(Rankings!P2:P651))/STDEV(Rankings!P2:P651)</f>
        <v>-1.1124974330776349</v>
      </c>
      <c r="J322" s="121">
        <f>(VLOOKUP($A322,Hitters!$A1:$R401,8,FALSE)-AVERAGE(Rankings!Q2:Q651))/STDEV(Rankings!Q2:Q651)</f>
        <v>0.69175055948160746</v>
      </c>
      <c r="K322" s="121">
        <f>(VLOOKUP($A322,Hitters!$A1:$R401,9,FALSE)-AVERAGE(Rankings!R2:R651))/STDEV(Rankings!R2:R651)</f>
        <v>0.72570763228583945</v>
      </c>
      <c r="L322" s="121">
        <f>(VLOOKUP($A322,Hitters!$A1:$R401,10,FALSE)-AVERAGE(Rankings!S2:S651))/STDEV(Rankings!S2:S651)</f>
        <v>0.50695712278831462</v>
      </c>
      <c r="M322" s="121">
        <f>(VLOOKUP($A322,Hitters!$A1:$R401,11,FALSE)-AVERAGE(Rankings!T2:T651))/STDEV(Rankings!T2:T651)</f>
        <v>-0.81915362865101804</v>
      </c>
      <c r="N322" s="121">
        <f>(VLOOKUP($A322,Hitters!$A1:$R401,12,FALSE)-AVERAGE(Rankings!U2:U651))/STDEV(Rankings!U2:U651)</f>
        <v>-0.68134142205946124</v>
      </c>
      <c r="O322" s="121">
        <f>(VLOOKUP($A322,Hitters!$A1:$R401,13,FALSE)-AVERAGE(Rankings!V2:V651))/STDEV(Rankings!V2:V651)</f>
        <v>0.66791735658073315</v>
      </c>
      <c r="P322" s="121">
        <f>(VLOOKUP($A322,Hitters!$A1:$R401,14,FALSE)-AVERAGE(Rankings!W2:W651))/STDEV(Rankings!W2:W651)</f>
        <v>-0.75634061325884006</v>
      </c>
      <c r="Q322" s="121">
        <f>(VLOOKUP($A322,Hitters!$A1:$R401,15,FALSE)-AVERAGE(Rankings!X2:X651))/STDEV(Rankings!X2:X651)</f>
        <v>-1.2239014615757642</v>
      </c>
      <c r="R322" s="121">
        <f>(VLOOKUP($A322,Hitters!$A1:$R401,16,FALSE)-AVERAGE(Rankings!Y2:Y651))/STDEV(Rankings!Y2:Y651)</f>
        <v>-0.53739063835677159</v>
      </c>
      <c r="S322" s="121">
        <f>(VLOOKUP($A322,Hitters!$A1:$R401,17,FALSE)-AVERAGE(Rankings!Z2:Z651))/STDEV(Rankings!Z2:Z651)</f>
        <v>-0.19217856400277739</v>
      </c>
      <c r="T322" s="121">
        <f>IFERROR((VLOOKUP($A322,Hitters!$A1:$R401,18,FALSE)-AVERAGE(Rankings!AA2:AA651))/STDEV(Rankings!AA2:AA651),0)</f>
        <v>0</v>
      </c>
      <c r="U322" s="67"/>
      <c r="V322" s="121"/>
      <c r="W322" s="121"/>
      <c r="X322" s="121"/>
      <c r="Y322" s="121"/>
      <c r="Z322" s="121"/>
      <c r="AA322" s="121"/>
      <c r="AB322" s="121"/>
      <c r="AC322" s="121"/>
      <c r="AD322" s="121"/>
      <c r="AE322" s="121"/>
      <c r="AF322" s="121"/>
      <c r="AG322" s="121"/>
      <c r="AH322" s="121"/>
      <c r="AI322" s="121"/>
      <c r="AJ322" s="121"/>
      <c r="AK322" s="121"/>
    </row>
    <row r="323" spans="1:37" ht="18.600000000000001" customHeight="1">
      <c r="A323" s="25" t="s">
        <v>461</v>
      </c>
      <c r="B323" s="26" t="s">
        <v>309</v>
      </c>
      <c r="C323" s="126" t="s">
        <v>23</v>
      </c>
      <c r="D323" s="67">
        <f>(F323*Settings!$C$2)+(G323*Settings!$C$3)+(H323*Settings!$C$4)+(I323*Settings!$C$5)+(J323*Settings!$C$6)+(M323*Settings!$C$9)+(N323*Settings!$C$10)+(O323*Settings!$C$11)+(P323*Settings!$C$12)+(Q323*Settings!$C$13)+(T323*Settings!$C$16)+(K323*Settings!$C$7)+(L323*Settings!$C$8)+(R323*Settings!$C$14)+(S323*Settings!$C$15)</f>
        <v>-1.8929014287448067</v>
      </c>
      <c r="E323" s="67"/>
      <c r="F323" s="121">
        <f>(VLOOKUP($A323,Hitters!$A1:$R401,4,FALSE)-AVERAGE(Rankings!M2:M651))/STDEV(Rankings!M2:M651)</f>
        <v>4.2604962146725434E-2</v>
      </c>
      <c r="G323" s="121">
        <f>(VLOOKUP($A323,Hitters!$A1:$R401,5,FALSE)-AVERAGE(Rankings!N2:N651))/STDEV(Rankings!N2:N651)</f>
        <v>-0.35240607220595538</v>
      </c>
      <c r="H323" s="121">
        <f>(VLOOKUP($A323,Hitters!$A1:$R401,6,FALSE)-AVERAGE(Rankings!O2:O651))/STDEV(Rankings!O2:O651)</f>
        <v>-0.85172397665807775</v>
      </c>
      <c r="I323" s="121">
        <f>(VLOOKUP($A323,Hitters!$A1:$R401,7,FALSE)-AVERAGE(Rankings!P2:P651))/STDEV(Rankings!P2:P651)</f>
        <v>-0.71093114504518007</v>
      </c>
      <c r="J323" s="121">
        <f>(VLOOKUP($A323,Hitters!$A1:$R401,8,FALSE)-AVERAGE(Rankings!Q2:Q651))/STDEV(Rankings!Q2:Q651)</f>
        <v>1.1962397966624936</v>
      </c>
      <c r="K323" s="121">
        <f>(VLOOKUP($A323,Hitters!$A1:$R401,9,FALSE)-AVERAGE(Rankings!R2:R651))/STDEV(Rankings!R2:R651)</f>
        <v>-1.174080031498087</v>
      </c>
      <c r="L323" s="121">
        <f>(VLOOKUP($A323,Hitters!$A1:$R401,10,FALSE)-AVERAGE(Rankings!S2:S651))/STDEV(Rankings!S2:S651)</f>
        <v>-1.6644486812296815</v>
      </c>
      <c r="M323" s="121">
        <f>(VLOOKUP($A323,Hitters!$A1:$R401,11,FALSE)-AVERAGE(Rankings!T2:T651))/STDEV(Rankings!T2:T651)</f>
        <v>-0.25229552886507806</v>
      </c>
      <c r="N323" s="121">
        <f>(VLOOKUP($A323,Hitters!$A1:$R401,12,FALSE)-AVERAGE(Rankings!U2:U651))/STDEV(Rankings!U2:U651)</f>
        <v>-0.15410285187544376</v>
      </c>
      <c r="O323" s="121">
        <f>(VLOOKUP($A323,Hitters!$A1:$R401,13,FALSE)-AVERAGE(Rankings!V2:V651))/STDEV(Rankings!V2:V651)</f>
        <v>0.26691922257813488</v>
      </c>
      <c r="P323" s="121">
        <f>(VLOOKUP($A323,Hitters!$A1:$R401,14,FALSE)-AVERAGE(Rankings!W2:W651))/STDEV(Rankings!W2:W651)</f>
        <v>-0.59844839664862737</v>
      </c>
      <c r="Q323" s="121">
        <f>(VLOOKUP($A323,Hitters!$A1:$R401,15,FALSE)-AVERAGE(Rankings!X2:X651))/STDEV(Rankings!X2:X651)</f>
        <v>0.4194095433308504</v>
      </c>
      <c r="R323" s="121">
        <f>(VLOOKUP($A323,Hitters!$A1:$R401,16,FALSE)-AVERAGE(Rankings!Y2:Y651))/STDEV(Rankings!Y2:Y651)</f>
        <v>-1.7167569172968464</v>
      </c>
      <c r="S323" s="121">
        <f>(VLOOKUP($A323,Hitters!$A1:$R401,17,FALSE)-AVERAGE(Rankings!Z2:Z651))/STDEV(Rankings!Z2:Z651)</f>
        <v>-1.9029775340088804</v>
      </c>
      <c r="T323" s="121">
        <f>IFERROR((VLOOKUP($A323,Hitters!$A1:$R401,18,FALSE)-AVERAGE(Rankings!AA2:AA651))/STDEV(Rankings!AA2:AA651),0)</f>
        <v>0</v>
      </c>
      <c r="U323" s="67"/>
      <c r="V323" s="121"/>
      <c r="W323" s="121"/>
      <c r="X323" s="121"/>
      <c r="Y323" s="121"/>
      <c r="Z323" s="121"/>
      <c r="AA323" s="121"/>
      <c r="AB323" s="121"/>
      <c r="AC323" s="121"/>
      <c r="AD323" s="121"/>
      <c r="AE323" s="121"/>
      <c r="AF323" s="121"/>
      <c r="AG323" s="121"/>
      <c r="AH323" s="121"/>
      <c r="AI323" s="121"/>
      <c r="AJ323" s="121"/>
      <c r="AK323" s="121"/>
    </row>
    <row r="324" spans="1:37" ht="18.600000000000001" customHeight="1">
      <c r="A324" s="25" t="s">
        <v>463</v>
      </c>
      <c r="B324" s="26" t="s">
        <v>219</v>
      </c>
      <c r="C324" s="126" t="s">
        <v>23</v>
      </c>
      <c r="D324" s="67">
        <f>(F324*Settings!$C$2)+(G324*Settings!$C$3)+(H324*Settings!$C$4)+(I324*Settings!$C$5)+(J324*Settings!$C$6)+(M324*Settings!$C$9)+(N324*Settings!$C$10)+(O324*Settings!$C$11)+(P324*Settings!$C$12)+(Q324*Settings!$C$13)+(T324*Settings!$C$16)+(K324*Settings!$C$7)+(L324*Settings!$C$8)+(R324*Settings!$C$14)+(S324*Settings!$C$15)</f>
        <v>-1.8941832605763735</v>
      </c>
      <c r="E324" s="67"/>
      <c r="F324" s="121">
        <f>(VLOOKUP($A324,Hitters!$A1:$R401,4,FALSE)-AVERAGE(Rankings!M2:M651))/STDEV(Rankings!M2:M651)</f>
        <v>-1.1117949127272289</v>
      </c>
      <c r="G324" s="121">
        <f>(VLOOKUP($A324,Hitters!$A1:$R401,5,FALSE)-AVERAGE(Rankings!N2:N651))/STDEV(Rankings!N2:N651)</f>
        <v>-0.71062149544904907</v>
      </c>
      <c r="H324" s="121">
        <f>(VLOOKUP($A324,Hitters!$A1:$R401,6,FALSE)-AVERAGE(Rankings!O2:O651))/STDEV(Rankings!O2:O651)</f>
        <v>-0.84336995873787379</v>
      </c>
      <c r="I324" s="121">
        <f>(VLOOKUP($A324,Hitters!$A1:$R401,7,FALSE)-AVERAGE(Rankings!P2:P651))/STDEV(Rankings!P2:P651)</f>
        <v>-1.0963114598555974</v>
      </c>
      <c r="J324" s="121">
        <f>(VLOOKUP($A324,Hitters!$A1:$R401,8,FALSE)-AVERAGE(Rankings!Q2:Q651))/STDEV(Rankings!Q2:Q651)</f>
        <v>0.68924066277921003</v>
      </c>
      <c r="K324" s="121">
        <f>(VLOOKUP($A324,Hitters!$A1:$R401,9,FALSE)-AVERAGE(Rankings!R2:R651))/STDEV(Rankings!R2:R651)</f>
        <v>6.6878990686936646E-2</v>
      </c>
      <c r="L324" s="121">
        <f>(VLOOKUP($A324,Hitters!$A1:$R401,10,FALSE)-AVERAGE(Rankings!S2:S651))/STDEV(Rankings!S2:S651)</f>
        <v>0.951598645126154</v>
      </c>
      <c r="M324" s="121">
        <f>(VLOOKUP($A324,Hitters!$A1:$R401,11,FALSE)-AVERAGE(Rankings!T2:T651))/STDEV(Rankings!T2:T651)</f>
        <v>-0.99385146999756768</v>
      </c>
      <c r="N324" s="121">
        <f>(VLOOKUP($A324,Hitters!$A1:$R401,12,FALSE)-AVERAGE(Rankings!U2:U651))/STDEV(Rankings!U2:U651)</f>
        <v>-1.1192895892284427</v>
      </c>
      <c r="O324" s="121">
        <f>(VLOOKUP($A324,Hitters!$A1:$R401,13,FALSE)-AVERAGE(Rankings!V2:V651))/STDEV(Rankings!V2:V651)</f>
        <v>-0.17556147701094724</v>
      </c>
      <c r="P324" s="121">
        <f>(VLOOKUP($A324,Hitters!$A1:$R401,14,FALSE)-AVERAGE(Rankings!W2:W651))/STDEV(Rankings!W2:W651)</f>
        <v>-0.31424240675024123</v>
      </c>
      <c r="Q324" s="121">
        <f>(VLOOKUP($A324,Hitters!$A1:$R401,15,FALSE)-AVERAGE(Rankings!X2:X651))/STDEV(Rankings!X2:X651)</f>
        <v>-0.60497946387961843</v>
      </c>
      <c r="R324" s="121">
        <f>(VLOOKUP($A324,Hitters!$A1:$R401,16,FALSE)-AVERAGE(Rankings!Y2:Y651))/STDEV(Rankings!Y2:Y651)</f>
        <v>-0.34950908851119389</v>
      </c>
      <c r="S324" s="121">
        <f>(VLOOKUP($A324,Hitters!$A1:$R401,17,FALSE)-AVERAGE(Rankings!Z2:Z651))/STDEV(Rankings!Z2:Z651)</f>
        <v>0.11911434447490872</v>
      </c>
      <c r="T324" s="121">
        <f>IFERROR((VLOOKUP($A324,Hitters!$A1:$R401,18,FALSE)-AVERAGE(Rankings!AA2:AA651))/STDEV(Rankings!AA2:AA651),0)</f>
        <v>0</v>
      </c>
      <c r="U324" s="67"/>
      <c r="V324" s="121"/>
      <c r="W324" s="121"/>
      <c r="X324" s="121"/>
      <c r="Y324" s="121"/>
      <c r="Z324" s="121"/>
      <c r="AA324" s="121"/>
      <c r="AB324" s="121"/>
      <c r="AC324" s="121"/>
      <c r="AD324" s="121"/>
      <c r="AE324" s="121"/>
      <c r="AF324" s="121"/>
      <c r="AG324" s="121"/>
      <c r="AH324" s="121"/>
      <c r="AI324" s="121"/>
      <c r="AJ324" s="121"/>
      <c r="AK324" s="121"/>
    </row>
    <row r="325" spans="1:37" ht="18.600000000000001" customHeight="1">
      <c r="A325" s="25" t="s">
        <v>480</v>
      </c>
      <c r="B325" s="26" t="s">
        <v>260</v>
      </c>
      <c r="C325" s="126" t="s">
        <v>23</v>
      </c>
      <c r="D325" s="67">
        <f>(F325*Settings!$C$2)+(G325*Settings!$C$3)+(H325*Settings!$C$4)+(I325*Settings!$C$5)+(J325*Settings!$C$6)+(M325*Settings!$C$9)+(N325*Settings!$C$10)+(O325*Settings!$C$11)+(P325*Settings!$C$12)+(Q325*Settings!$C$13)+(T325*Settings!$C$16)+(K325*Settings!$C$7)+(L325*Settings!$C$8)+(R325*Settings!$C$14)+(S325*Settings!$C$15)</f>
        <v>-2.105117424258105</v>
      </c>
      <c r="E325" s="67"/>
      <c r="F325" s="121">
        <f>(VLOOKUP($A325,Hitters!$A1:$R401,4,FALSE)-AVERAGE(Rankings!M2:M651))/STDEV(Rankings!M2:M651)</f>
        <v>-0.78793612430105375</v>
      </c>
      <c r="G325" s="121">
        <f>(VLOOKUP($A325,Hitters!$A1:$R401,5,FALSE)-AVERAGE(Rankings!N2:N651))/STDEV(Rankings!N2:N651)</f>
        <v>-0.81990755677744998</v>
      </c>
      <c r="H325" s="121">
        <f>(VLOOKUP($A325,Hitters!$A1:$R401,6,FALSE)-AVERAGE(Rankings!O2:O651))/STDEV(Rankings!O2:O651)</f>
        <v>-0.94779518274041841</v>
      </c>
      <c r="I325" s="121">
        <f>(VLOOKUP($A325,Hitters!$A1:$R401,7,FALSE)-AVERAGE(Rankings!P2:P651))/STDEV(Rankings!P2:P651)</f>
        <v>-0.96682367407929681</v>
      </c>
      <c r="J325" s="121">
        <f>(VLOOKUP($A325,Hitters!$A1:$R401,8,FALSE)-AVERAGE(Rankings!Q2:Q651))/STDEV(Rankings!Q2:Q651)</f>
        <v>0.15212276846722758</v>
      </c>
      <c r="K325" s="121">
        <f>(VLOOKUP($A325,Hitters!$A1:$R401,9,FALSE)-AVERAGE(Rankings!R2:R651))/STDEV(Rankings!R2:R651)</f>
        <v>0.47728622087183281</v>
      </c>
      <c r="L325" s="121">
        <f>(VLOOKUP($A325,Hitters!$A1:$R401,10,FALSE)-AVERAGE(Rankings!S2:S651))/STDEV(Rankings!S2:S651)</f>
        <v>-0.17892098137984375</v>
      </c>
      <c r="M325" s="121">
        <f>(VLOOKUP($A325,Hitters!$A1:$R401,11,FALSE)-AVERAGE(Rankings!T2:T651))/STDEV(Rankings!T2:T651)</f>
        <v>-0.64627555648516266</v>
      </c>
      <c r="N325" s="121">
        <f>(VLOOKUP($A325,Hitters!$A1:$R401,12,FALSE)-AVERAGE(Rankings!U2:U651))/STDEV(Rankings!U2:U651)</f>
        <v>-0.92795301133907993</v>
      </c>
      <c r="O325" s="121">
        <f>(VLOOKUP($A325,Hitters!$A1:$R401,13,FALSE)-AVERAGE(Rankings!V2:V651))/STDEV(Rankings!V2:V651)</f>
        <v>0.65408983471857152</v>
      </c>
      <c r="P325" s="121">
        <f>(VLOOKUP($A325,Hitters!$A1:$R401,14,FALSE)-AVERAGE(Rankings!W2:W651))/STDEV(Rankings!W2:W651)</f>
        <v>-0.89751483046326552</v>
      </c>
      <c r="Q325" s="121">
        <f>(VLOOKUP($A325,Hitters!$A1:$R401,15,FALSE)-AVERAGE(Rankings!X2:X651))/STDEV(Rankings!X2:X651)</f>
        <v>-0.88471271323205036</v>
      </c>
      <c r="R325" s="121">
        <f>(VLOOKUP($A325,Hitters!$A1:$R401,16,FALSE)-AVERAGE(Rankings!Y2:Y651))/STDEV(Rankings!Y2:Y651)</f>
        <v>-0.57588325222791892</v>
      </c>
      <c r="S325" s="121">
        <f>(VLOOKUP($A325,Hitters!$A1:$R401,17,FALSE)-AVERAGE(Rankings!Z2:Z651))/STDEV(Rankings!Z2:Z651)</f>
        <v>-0.48942105911012684</v>
      </c>
      <c r="T325" s="121">
        <f>IFERROR((VLOOKUP($A325,Hitters!$A1:$R401,18,FALSE)-AVERAGE(Rankings!AA2:AA651))/STDEV(Rankings!AA2:AA651),0)</f>
        <v>0</v>
      </c>
      <c r="U325" s="67"/>
      <c r="V325" s="121"/>
      <c r="W325" s="121"/>
      <c r="X325" s="121"/>
      <c r="Y325" s="121"/>
      <c r="Z325" s="121"/>
      <c r="AA325" s="121"/>
      <c r="AB325" s="121"/>
      <c r="AC325" s="121"/>
      <c r="AD325" s="121"/>
      <c r="AE325" s="121"/>
      <c r="AF325" s="121"/>
      <c r="AG325" s="121"/>
      <c r="AH325" s="121"/>
      <c r="AI325" s="121"/>
      <c r="AJ325" s="121"/>
      <c r="AK325" s="121"/>
    </row>
    <row r="326" spans="1:37" ht="18.600000000000001" customHeight="1">
      <c r="A326" s="25" t="s">
        <v>442</v>
      </c>
      <c r="B326" s="26" t="s">
        <v>87</v>
      </c>
      <c r="C326" s="126" t="s">
        <v>23</v>
      </c>
      <c r="D326" s="67">
        <f>(F326*Settings!$C$2)+(G326*Settings!$C$3)+(H326*Settings!$C$4)+(I326*Settings!$C$5)+(J326*Settings!$C$6)+(M326*Settings!$C$9)+(N326*Settings!$C$10)+(O326*Settings!$C$11)+(P326*Settings!$C$12)+(Q326*Settings!$C$13)+(T326*Settings!$C$16)+(K326*Settings!$C$7)+(L326*Settings!$C$8)+(R326*Settings!$C$14)+(S326*Settings!$C$15)</f>
        <v>-1.6707299661965374</v>
      </c>
      <c r="E326" s="67"/>
      <c r="F326" s="121">
        <f>(VLOOKUP($A326,Hitters!$A1:$R401,4,FALSE)-AVERAGE(Rankings!M2:M651))/STDEV(Rankings!M2:M651)</f>
        <v>-0.92635963870901128</v>
      </c>
      <c r="G326" s="121">
        <f>(VLOOKUP($A326,Hitters!$A1:$R401,5,FALSE)-AVERAGE(Rankings!N2:N651))/STDEV(Rankings!N2:N651)</f>
        <v>-1.0430332653229355</v>
      </c>
      <c r="H326" s="121">
        <f>(VLOOKUP($A326,Hitters!$A1:$R401,6,FALSE)-AVERAGE(Rankings!O2:O651))/STDEV(Rankings!O2:O651)</f>
        <v>-1.2067697382667304</v>
      </c>
      <c r="I326" s="121">
        <f>(VLOOKUP($A326,Hitters!$A1:$R401,7,FALSE)-AVERAGE(Rankings!P2:P651))/STDEV(Rankings!P2:P651)</f>
        <v>-1.2766694471868734</v>
      </c>
      <c r="J326" s="121">
        <f>(VLOOKUP($A326,Hitters!$A1:$R401,8,FALSE)-AVERAGE(Rankings!Q2:Q651))/STDEV(Rankings!Q2:Q651)</f>
        <v>2.1249015765477117</v>
      </c>
      <c r="K326" s="121">
        <f>(VLOOKUP($A326,Hitters!$A1:$R401,9,FALSE)-AVERAGE(Rankings!R2:R651))/STDEV(Rankings!R2:R651)</f>
        <v>-0.26915909196770987</v>
      </c>
      <c r="L326" s="121">
        <f>(VLOOKUP($A326,Hitters!$A1:$R401,10,FALSE)-AVERAGE(Rankings!S2:S651))/STDEV(Rankings!S2:S651)</f>
        <v>-1.4280921736474907</v>
      </c>
      <c r="M326" s="121">
        <f>(VLOOKUP($A326,Hitters!$A1:$R401,11,FALSE)-AVERAGE(Rankings!T2:T651))/STDEV(Rankings!T2:T651)</f>
        <v>-0.88102578079458882</v>
      </c>
      <c r="N326" s="121">
        <f>(VLOOKUP($A326,Hitters!$A1:$R401,12,FALSE)-AVERAGE(Rankings!U2:U651))/STDEV(Rankings!U2:U651)</f>
        <v>-1.1788165245718041</v>
      </c>
      <c r="O326" s="121">
        <f>(VLOOKUP($A326,Hitters!$A1:$R401,13,FALSE)-AVERAGE(Rankings!V2:V651))/STDEV(Rankings!V2:V651)</f>
        <v>-0.2861816519082136</v>
      </c>
      <c r="P326" s="121">
        <f>(VLOOKUP($A326,Hitters!$A1:$R401,14,FALSE)-AVERAGE(Rankings!W2:W651))/STDEV(Rankings!W2:W651)</f>
        <v>-1.313607260118421</v>
      </c>
      <c r="Q326" s="121">
        <f>(VLOOKUP($A326,Hitters!$A1:$R401,15,FALSE)-AVERAGE(Rankings!X2:X651))/STDEV(Rankings!X2:X651)</f>
        <v>-0.37982831196180816</v>
      </c>
      <c r="R326" s="121">
        <f>(VLOOKUP($A326,Hitters!$A1:$R401,16,FALSE)-AVERAGE(Rankings!Y2:Y651))/STDEV(Rankings!Y2:Y651)</f>
        <v>-1.6213269481826422</v>
      </c>
      <c r="S326" s="121">
        <f>(VLOOKUP($A326,Hitters!$A1:$R401,17,FALSE)-AVERAGE(Rankings!Z2:Z651))/STDEV(Rankings!Z2:Z651)</f>
        <v>-1.7407377198623897</v>
      </c>
      <c r="T326" s="121">
        <f>IFERROR((VLOOKUP($A326,Hitters!$A1:$R401,18,FALSE)-AVERAGE(Rankings!AA2:AA651))/STDEV(Rankings!AA2:AA651),0)</f>
        <v>0</v>
      </c>
      <c r="U326" s="67"/>
      <c r="V326" s="121"/>
      <c r="W326" s="121"/>
      <c r="X326" s="121"/>
      <c r="Y326" s="121"/>
      <c r="Z326" s="121"/>
      <c r="AA326" s="121"/>
      <c r="AB326" s="121"/>
      <c r="AC326" s="121"/>
      <c r="AD326" s="121"/>
      <c r="AE326" s="121"/>
      <c r="AF326" s="121"/>
      <c r="AG326" s="121"/>
      <c r="AH326" s="121"/>
      <c r="AI326" s="121"/>
      <c r="AJ326" s="121"/>
      <c r="AK326" s="121"/>
    </row>
    <row r="327" spans="1:37" ht="18.600000000000001" customHeight="1">
      <c r="A327" s="25" t="s">
        <v>486</v>
      </c>
      <c r="B327" s="26" t="s">
        <v>95</v>
      </c>
      <c r="C327" s="126" t="s">
        <v>23</v>
      </c>
      <c r="D327" s="67">
        <f>(F327*Settings!$C$2)+(G327*Settings!$C$3)+(H327*Settings!$C$4)+(I327*Settings!$C$5)+(J327*Settings!$C$6)+(M327*Settings!$C$9)+(N327*Settings!$C$10)+(O327*Settings!$C$11)+(P327*Settings!$C$12)+(Q327*Settings!$C$13)+(T327*Settings!$C$16)+(K327*Settings!$C$7)+(L327*Settings!$C$8)+(R327*Settings!$C$14)+(S327*Settings!$C$15)</f>
        <v>-2.1927450980990875</v>
      </c>
      <c r="E327" s="67"/>
      <c r="F327" s="121">
        <f>(VLOOKUP($A327,Hitters!$A1:$R401,4,FALSE)-AVERAGE(Rankings!M2:M651))/STDEV(Rankings!M2:M651)</f>
        <v>-0.43534792722416632</v>
      </c>
      <c r="G327" s="121">
        <f>(VLOOKUP($A327,Hitters!$A1:$R401,5,FALSE)-AVERAGE(Rankings!N2:N651))/STDEV(Rankings!N2:N651)</f>
        <v>-0.51785302616145001</v>
      </c>
      <c r="H327" s="121">
        <f>(VLOOKUP($A327,Hitters!$A1:$R401,6,FALSE)-AVERAGE(Rankings!O2:O651))/STDEV(Rankings!O2:O651)</f>
        <v>-0.80159986913685621</v>
      </c>
      <c r="I327" s="121">
        <f>(VLOOKUP($A327,Hitters!$A1:$R401,7,FALSE)-AVERAGE(Rankings!P2:P651))/STDEV(Rankings!P2:P651)</f>
        <v>-0.65235333719399491</v>
      </c>
      <c r="J327" s="121">
        <f>(VLOOKUP($A327,Hitters!$A1:$R401,8,FALSE)-AVERAGE(Rankings!Q2:Q651))/STDEV(Rankings!Q2:Q651)</f>
        <v>0.5035083068021724</v>
      </c>
      <c r="K327" s="121">
        <f>(VLOOKUP($A327,Hitters!$A1:$R401,9,FALSE)-AVERAGE(Rankings!R2:R651))/STDEV(Rankings!R2:R651)</f>
        <v>-0.72444717240895873</v>
      </c>
      <c r="L327" s="121">
        <f>(VLOOKUP($A327,Hitters!$A1:$R401,10,FALSE)-AVERAGE(Rankings!S2:S651))/STDEV(Rankings!S2:S651)</f>
        <v>-0.89556577996977094</v>
      </c>
      <c r="M327" s="121">
        <f>(VLOOKUP($A327,Hitters!$A1:$R401,11,FALSE)-AVERAGE(Rankings!T2:T651))/STDEV(Rankings!T2:T651)</f>
        <v>-0.54618825154703443</v>
      </c>
      <c r="N327" s="121">
        <f>(VLOOKUP($A327,Hitters!$A1:$R401,12,FALSE)-AVERAGE(Rankings!U2:U651))/STDEV(Rankings!U2:U651)</f>
        <v>-0.42622598487364433</v>
      </c>
      <c r="O327" s="121">
        <f>(VLOOKUP($A327,Hitters!$A1:$R401,13,FALSE)-AVERAGE(Rankings!V2:V651))/STDEV(Rankings!V2:V651)</f>
        <v>1.1242255780319683</v>
      </c>
      <c r="P327" s="121">
        <f>(VLOOKUP($A327,Hitters!$A1:$R401,14,FALSE)-AVERAGE(Rankings!W2:W651))/STDEV(Rankings!W2:W651)</f>
        <v>-0.55758217587892112</v>
      </c>
      <c r="Q327" s="121">
        <f>(VLOOKUP($A327,Hitters!$A1:$R401,15,FALSE)-AVERAGE(Rankings!X2:X651))/STDEV(Rankings!X2:X651)</f>
        <v>-2.2120637702777612E-2</v>
      </c>
      <c r="R327" s="121">
        <f>(VLOOKUP($A327,Hitters!$A1:$R401,16,FALSE)-AVERAGE(Rankings!Y2:Y651))/STDEV(Rankings!Y2:Y651)</f>
        <v>-0.94591734220750523</v>
      </c>
      <c r="S327" s="121">
        <f>(VLOOKUP($A327,Hitters!$A1:$R401,17,FALSE)-AVERAGE(Rankings!Z2:Z651))/STDEV(Rankings!Z2:Z651)</f>
        <v>-1.0400720825071794</v>
      </c>
      <c r="T327" s="121">
        <f>IFERROR((VLOOKUP($A327,Hitters!$A1:$R401,18,FALSE)-AVERAGE(Rankings!AA2:AA651))/STDEV(Rankings!AA2:AA651),0)</f>
        <v>0</v>
      </c>
      <c r="U327" s="67"/>
      <c r="V327" s="121"/>
      <c r="W327" s="121"/>
      <c r="X327" s="121"/>
      <c r="Y327" s="121"/>
      <c r="Z327" s="121"/>
      <c r="AA327" s="121"/>
      <c r="AB327" s="121"/>
      <c r="AC327" s="121"/>
      <c r="AD327" s="121"/>
      <c r="AE327" s="121"/>
      <c r="AF327" s="121"/>
      <c r="AG327" s="121"/>
      <c r="AH327" s="121"/>
      <c r="AI327" s="121"/>
      <c r="AJ327" s="121"/>
      <c r="AK327" s="121"/>
    </row>
    <row r="328" spans="1:37" ht="18.600000000000001" customHeight="1">
      <c r="A328" s="25" t="s">
        <v>502</v>
      </c>
      <c r="B328" s="26" t="s">
        <v>158</v>
      </c>
      <c r="C328" s="126" t="s">
        <v>23</v>
      </c>
      <c r="D328" s="67">
        <f>(F328*Settings!$C$2)+(G328*Settings!$C$3)+(H328*Settings!$C$4)+(I328*Settings!$C$5)+(J328*Settings!$C$6)+(M328*Settings!$C$9)+(N328*Settings!$C$10)+(O328*Settings!$C$11)+(P328*Settings!$C$12)+(Q328*Settings!$C$13)+(T328*Settings!$C$16)+(K328*Settings!$C$7)+(L328*Settings!$C$8)+(R328*Settings!$C$14)+(S328*Settings!$C$15)</f>
        <v>-2.3750992940757576</v>
      </c>
      <c r="E328" s="67"/>
      <c r="F328" s="121">
        <f>(VLOOKUP($A328,Hitters!$A1:$R401,4,FALSE)-AVERAGE(Rankings!M2:M651))/STDEV(Rankings!M2:M651)</f>
        <v>-0.28908911954782507</v>
      </c>
      <c r="G328" s="121">
        <f>(VLOOKUP($A328,Hitters!$A1:$R401,5,FALSE)-AVERAGE(Rankings!N2:N651))/STDEV(Rankings!N2:N651)</f>
        <v>-0.55579957523381451</v>
      </c>
      <c r="H328" s="121">
        <f>(VLOOKUP($A328,Hitters!$A1:$R401,6,FALSE)-AVERAGE(Rankings!O2:O651))/STDEV(Rankings!O2:O651)</f>
        <v>-0.70970567201461576</v>
      </c>
      <c r="I328" s="121">
        <f>(VLOOKUP($A328,Hitters!$A1:$R401,7,FALSE)-AVERAGE(Rankings!P2:P651))/STDEV(Rankings!P2:P651)</f>
        <v>-0.59994161437977955</v>
      </c>
      <c r="J328" s="121">
        <f>(VLOOKUP($A328,Hitters!$A1:$R401,8,FALSE)-AVERAGE(Rankings!Q2:Q651))/STDEV(Rankings!Q2:Q651)</f>
        <v>-0.11392628198637449</v>
      </c>
      <c r="K328" s="121">
        <f>(VLOOKUP($A328,Hitters!$A1:$R401,9,FALSE)-AVERAGE(Rankings!R2:R651))/STDEV(Rankings!R2:R651)</f>
        <v>-0.39572615046117338</v>
      </c>
      <c r="L328" s="121">
        <f>(VLOOKUP($A328,Hitters!$A1:$R401,10,FALSE)-AVERAGE(Rankings!S2:S651))/STDEV(Rankings!S2:S651)</f>
        <v>-0.77613280204445279</v>
      </c>
      <c r="M328" s="121">
        <f>(VLOOKUP($A328,Hitters!$A1:$R401,11,FALSE)-AVERAGE(Rankings!T2:T651))/STDEV(Rankings!T2:T651)</f>
        <v>-0.36330144888736576</v>
      </c>
      <c r="N328" s="121">
        <f>(VLOOKUP($A328,Hitters!$A1:$R401,12,FALSE)-AVERAGE(Rankings!U2:U651))/STDEV(Rankings!U2:U651)</f>
        <v>-0.76637990112140442</v>
      </c>
      <c r="O328" s="121">
        <f>(VLOOKUP($A328,Hitters!$A1:$R401,13,FALSE)-AVERAGE(Rankings!V2:V651))/STDEV(Rankings!V2:V651)</f>
        <v>0.12864400395654579</v>
      </c>
      <c r="P328" s="121">
        <f>(VLOOKUP($A328,Hitters!$A1:$R401,14,FALSE)-AVERAGE(Rankings!W2:W651))/STDEV(Rankings!W2:W651)</f>
        <v>-0.57058506430564826</v>
      </c>
      <c r="Q328" s="121">
        <f>(VLOOKUP($A328,Hitters!$A1:$R401,15,FALSE)-AVERAGE(Rankings!X2:X651))/STDEV(Rankings!X2:X651)</f>
        <v>0.11141056494977761</v>
      </c>
      <c r="R328" s="121">
        <f>(VLOOKUP($A328,Hitters!$A1:$R401,16,FALSE)-AVERAGE(Rankings!Y2:Y651))/STDEV(Rankings!Y2:Y651)</f>
        <v>-1.1526148238930325</v>
      </c>
      <c r="S328" s="121">
        <f>(VLOOKUP($A328,Hitters!$A1:$R401,17,FALSE)-AVERAGE(Rankings!Z2:Z651))/STDEV(Rankings!Z2:Z651)</f>
        <v>-1.1436486738027527</v>
      </c>
      <c r="T328" s="121">
        <f>IFERROR((VLOOKUP($A328,Hitters!$A1:$R401,18,FALSE)-AVERAGE(Rankings!AA2:AA651))/STDEV(Rankings!AA2:AA651),0)</f>
        <v>0</v>
      </c>
      <c r="U328" s="67"/>
      <c r="V328" s="121"/>
      <c r="W328" s="121"/>
      <c r="X328" s="121"/>
      <c r="Y328" s="121"/>
      <c r="Z328" s="121"/>
      <c r="AA328" s="121"/>
      <c r="AB328" s="121"/>
      <c r="AC328" s="121"/>
      <c r="AD328" s="121"/>
      <c r="AE328" s="121"/>
      <c r="AF328" s="121"/>
      <c r="AG328" s="121"/>
      <c r="AH328" s="121"/>
      <c r="AI328" s="121"/>
      <c r="AJ328" s="121"/>
      <c r="AK328" s="121"/>
    </row>
    <row r="329" spans="1:37" ht="18.600000000000001" customHeight="1">
      <c r="A329" s="25" t="s">
        <v>493</v>
      </c>
      <c r="B329" s="26" t="s">
        <v>77</v>
      </c>
      <c r="C329" s="126" t="s">
        <v>23</v>
      </c>
      <c r="D329" s="67">
        <f>(F329*Settings!$C$2)+(G329*Settings!$C$3)+(H329*Settings!$C$4)+(I329*Settings!$C$5)+(J329*Settings!$C$6)+(M329*Settings!$C$9)+(N329*Settings!$C$10)+(O329*Settings!$C$11)+(P329*Settings!$C$12)+(Q329*Settings!$C$13)+(T329*Settings!$C$16)+(K329*Settings!$C$7)+(L329*Settings!$C$8)+(R329*Settings!$C$14)+(S329*Settings!$C$15)</f>
        <v>-2.2563456947119489</v>
      </c>
      <c r="E329" s="67"/>
      <c r="F329" s="121">
        <f>(VLOOKUP($A329,Hitters!$A1:$R401,4,FALSE)-AVERAGE(Rankings!M2:M651))/STDEV(Rankings!M2:M651)</f>
        <v>-1.0021008069699751</v>
      </c>
      <c r="G329" s="121">
        <f>(VLOOKUP($A329,Hitters!$A1:$R401,5,FALSE)-AVERAGE(Rankings!N2:N651))/STDEV(Rankings!N2:N651)</f>
        <v>-1.041515403360038</v>
      </c>
      <c r="H329" s="121">
        <f>(VLOOKUP($A329,Hitters!$A1:$R401,6,FALSE)-AVERAGE(Rankings!O2:O651))/STDEV(Rankings!O2:O651)</f>
        <v>-1.1900617024263238</v>
      </c>
      <c r="I329" s="121">
        <f>(VLOOKUP($A329,Hitters!$A1:$R401,7,FALSE)-AVERAGE(Rankings!P2:P651))/STDEV(Rankings!P2:P651)</f>
        <v>-1.0300260457082069</v>
      </c>
      <c r="J329" s="121">
        <f>(VLOOKUP($A329,Hitters!$A1:$R401,8,FALSE)-AVERAGE(Rankings!Q2:Q651))/STDEV(Rankings!Q2:Q651)</f>
        <v>-0.22938153029642838</v>
      </c>
      <c r="K329" s="121">
        <f>(VLOOKUP($A329,Hitters!$A1:$R401,9,FALSE)-AVERAGE(Rankings!R2:R651))/STDEV(Rankings!R2:R651)</f>
        <v>1.2346389870790484</v>
      </c>
      <c r="L329" s="121">
        <f>(VLOOKUP($A329,Hitters!$A1:$R401,10,FALSE)-AVERAGE(Rankings!S2:S651))/STDEV(Rankings!S2:S651)</f>
        <v>0.43610202647140595</v>
      </c>
      <c r="M329" s="121">
        <f>(VLOOKUP($A329,Hitters!$A1:$R401,11,FALSE)-AVERAGE(Rankings!T2:T651))/STDEV(Rankings!T2:T651)</f>
        <v>-0.73271459256808902</v>
      </c>
      <c r="N329" s="121">
        <f>(VLOOKUP($A329,Hitters!$A1:$R401,12,FALSE)-AVERAGE(Rankings!U2:U651))/STDEV(Rankings!U2:U651)</f>
        <v>-0.68984526996565942</v>
      </c>
      <c r="O329" s="121">
        <f>(VLOOKUP($A329,Hitters!$A1:$R401,13,FALSE)-AVERAGE(Rankings!V2:V651))/STDEV(Rankings!V2:V651)</f>
        <v>-0.47976695797843194</v>
      </c>
      <c r="P329" s="121">
        <f>(VLOOKUP($A329,Hitters!$A1:$R401,14,FALSE)-AVERAGE(Rankings!W2:W651))/STDEV(Rankings!W2:W651)</f>
        <v>-1.0015379378770557</v>
      </c>
      <c r="Q329" s="121">
        <f>(VLOOKUP($A329,Hitters!$A1:$R401,15,FALSE)-AVERAGE(Rankings!X2:X651))/STDEV(Rankings!X2:X651)</f>
        <v>-1.5738116933441371</v>
      </c>
      <c r="R329" s="121">
        <f>(VLOOKUP($A329,Hitters!$A1:$R401,16,FALSE)-AVERAGE(Rankings!Y2:Y651))/STDEV(Rankings!Y2:Y651)</f>
        <v>-0.50166095281643919</v>
      </c>
      <c r="S329" s="121">
        <f>(VLOOKUP($A329,Hitters!$A1:$R401,17,FALSE)-AVERAGE(Rankings!Z2:Z651))/STDEV(Rankings!Z2:Z651)</f>
        <v>-0.19398292336253101</v>
      </c>
      <c r="T329" s="121">
        <f>IFERROR((VLOOKUP($A329,Hitters!$A1:$R401,18,FALSE)-AVERAGE(Rankings!AA2:AA651))/STDEV(Rankings!AA2:AA651),0)</f>
        <v>0</v>
      </c>
      <c r="U329" s="67"/>
      <c r="V329" s="121"/>
      <c r="W329" s="121"/>
      <c r="X329" s="121"/>
      <c r="Y329" s="121"/>
      <c r="Z329" s="121"/>
      <c r="AA329" s="121"/>
      <c r="AB329" s="121"/>
      <c r="AC329" s="121"/>
      <c r="AD329" s="121"/>
      <c r="AE329" s="121"/>
      <c r="AF329" s="121"/>
      <c r="AG329" s="121"/>
      <c r="AH329" s="121"/>
      <c r="AI329" s="121"/>
      <c r="AJ329" s="121"/>
      <c r="AK329" s="121"/>
    </row>
    <row r="330" spans="1:37" ht="18.600000000000001" customHeight="1">
      <c r="A330" s="25" t="s">
        <v>508</v>
      </c>
      <c r="B330" s="26" t="s">
        <v>178</v>
      </c>
      <c r="C330" s="126" t="s">
        <v>23</v>
      </c>
      <c r="D330" s="67">
        <f>(F330*Settings!$C$2)+(G330*Settings!$C$3)+(H330*Settings!$C$4)+(I330*Settings!$C$5)+(J330*Settings!$C$6)+(M330*Settings!$C$9)+(N330*Settings!$C$10)+(O330*Settings!$C$11)+(P330*Settings!$C$12)+(Q330*Settings!$C$13)+(T330*Settings!$C$16)+(K330*Settings!$C$7)+(L330*Settings!$C$8)+(R330*Settings!$C$14)+(S330*Settings!$C$15)</f>
        <v>-2.5018492173512517</v>
      </c>
      <c r="E330" s="67"/>
      <c r="F330" s="121">
        <f>(VLOOKUP($A330,Hitters!$A1:$R401,4,FALSE)-AVERAGE(Rankings!M2:M651))/STDEV(Rankings!M2:M651)</f>
        <v>-1.4722184030724916</v>
      </c>
      <c r="G330" s="121">
        <f>(VLOOKUP($A330,Hitters!$A1:$R401,5,FALSE)-AVERAGE(Rankings!N2:N651))/STDEV(Rankings!N2:N651)</f>
        <v>-1.1447300168368626</v>
      </c>
      <c r="H330" s="121">
        <f>(VLOOKUP($A330,Hitters!$A1:$R401,6,FALSE)-AVERAGE(Rankings!O2:O651))/STDEV(Rankings!O2:O651)</f>
        <v>-0.72641370785502379</v>
      </c>
      <c r="I330" s="121">
        <f>(VLOOKUP($A330,Hitters!$A1:$R401,7,FALSE)-AVERAGE(Rankings!P2:P651))/STDEV(Rankings!P2:P651)</f>
        <v>-1.0516073433375874</v>
      </c>
      <c r="J330" s="121">
        <f>(VLOOKUP($A330,Hitters!$A1:$R401,8,FALSE)-AVERAGE(Rankings!Q2:Q651))/STDEV(Rankings!Q2:Q651)</f>
        <v>-0.61088582906008304</v>
      </c>
      <c r="K330" s="121">
        <f>(VLOOKUP($A330,Hitters!$A1:$R401,9,FALSE)-AVERAGE(Rankings!R2:R651))/STDEV(Rankings!R2:R651)</f>
        <v>1.0317876797383052</v>
      </c>
      <c r="L330" s="121">
        <f>(VLOOKUP($A330,Hitters!$A1:$R401,10,FALSE)-AVERAGE(Rankings!S2:S651))/STDEV(Rankings!S2:S651)</f>
        <v>2.7410718609255542</v>
      </c>
      <c r="M330" s="121">
        <f>(VLOOKUP($A330,Hitters!$A1:$R401,11,FALSE)-AVERAGE(Rankings!T2:T651))/STDEV(Rankings!T2:T651)</f>
        <v>-1.2049446949579807</v>
      </c>
      <c r="N330" s="121">
        <f>(VLOOKUP($A330,Hitters!$A1:$R401,12,FALSE)-AVERAGE(Rankings!U2:U651))/STDEV(Rankings!U2:U651)</f>
        <v>-0.86417415204262571</v>
      </c>
      <c r="O330" s="121">
        <f>(VLOOKUP($A330,Hitters!$A1:$R401,13,FALSE)-AVERAGE(Rankings!V2:V651))/STDEV(Rankings!V2:V651)</f>
        <v>-0.673352264048656</v>
      </c>
      <c r="P330" s="121">
        <f>(VLOOKUP($A330,Hitters!$A1:$R401,14,FALSE)-AVERAGE(Rankings!W2:W651))/STDEV(Rankings!W2:W651)</f>
        <v>-0.14891996818189701</v>
      </c>
      <c r="Q330" s="121">
        <f>(VLOOKUP($A330,Hitters!$A1:$R401,15,FALSE)-AVERAGE(Rankings!X2:X651))/STDEV(Rankings!X2:X651)</f>
        <v>-0.97828202311997137</v>
      </c>
      <c r="R330" s="121">
        <f>(VLOOKUP($A330,Hitters!$A1:$R401,16,FALSE)-AVERAGE(Rankings!Y2:Y651))/STDEV(Rankings!Y2:Y651)</f>
        <v>1.323162977937109</v>
      </c>
      <c r="S330" s="121">
        <f>(VLOOKUP($A330,Hitters!$A1:$R401,17,FALSE)-AVERAGE(Rankings!Z2:Z651))/STDEV(Rankings!Z2:Z651)</f>
        <v>2.0390772285156187</v>
      </c>
      <c r="T330" s="121">
        <f>IFERROR((VLOOKUP($A330,Hitters!$A1:$R401,18,FALSE)-AVERAGE(Rankings!AA2:AA651))/STDEV(Rankings!AA2:AA651),0)</f>
        <v>0</v>
      </c>
      <c r="U330" s="67"/>
      <c r="V330" s="121"/>
      <c r="W330" s="121"/>
      <c r="X330" s="121"/>
      <c r="Y330" s="121"/>
      <c r="Z330" s="121"/>
      <c r="AA330" s="121"/>
      <c r="AB330" s="121"/>
      <c r="AC330" s="121"/>
      <c r="AD330" s="121"/>
      <c r="AE330" s="121"/>
      <c r="AF330" s="121"/>
      <c r="AG330" s="121"/>
      <c r="AH330" s="121"/>
      <c r="AI330" s="121"/>
      <c r="AJ330" s="121"/>
      <c r="AK330" s="121"/>
    </row>
    <row r="331" spans="1:37" ht="18.600000000000001" customHeight="1">
      <c r="A331" s="25" t="s">
        <v>547</v>
      </c>
      <c r="B331" s="26" t="s">
        <v>260</v>
      </c>
      <c r="C331" s="126" t="s">
        <v>23</v>
      </c>
      <c r="D331" s="67">
        <f>(F331*Settings!$C$2)+(G331*Settings!$C$3)+(H331*Settings!$C$4)+(I331*Settings!$C$5)+(J331*Settings!$C$6)+(M331*Settings!$C$9)+(N331*Settings!$C$10)+(O331*Settings!$C$11)+(P331*Settings!$C$12)+(Q331*Settings!$C$13)+(T331*Settings!$C$16)+(K331*Settings!$C$7)+(L331*Settings!$C$8)+(R331*Settings!$C$14)+(S331*Settings!$C$15)</f>
        <v>-2.8680308503815786</v>
      </c>
      <c r="E331" s="67"/>
      <c r="F331" s="121">
        <f>(VLOOKUP($A331,Hitters!$A1:$R401,4,FALSE)-AVERAGE(Rankings!M2:M651))/STDEV(Rankings!M2:M651)</f>
        <v>-0.37527734549995306</v>
      </c>
      <c r="G331" s="121">
        <f>(VLOOKUP($A331,Hitters!$A1:$R401,5,FALSE)-AVERAGE(Rankings!N2:N651))/STDEV(Rankings!N2:N651)</f>
        <v>-0.68178211815405154</v>
      </c>
      <c r="H331" s="121">
        <f>(VLOOKUP($A331,Hitters!$A1:$R401,6,FALSE)-AVERAGE(Rankings!O2:O651))/STDEV(Rankings!O2:O651)</f>
        <v>-0.63034250177268203</v>
      </c>
      <c r="I331" s="121">
        <f>(VLOOKUP($A331,Hitters!$A1:$R401,7,FALSE)-AVERAGE(Rankings!P2:P651))/STDEV(Rankings!P2:P651)</f>
        <v>-0.62152291200915988</v>
      </c>
      <c r="J331" s="121">
        <f>(VLOOKUP($A331,Hitters!$A1:$R401,8,FALSE)-AVERAGE(Rankings!Q2:Q651))/STDEV(Rankings!Q2:Q651)</f>
        <v>-0.41511388627347051</v>
      </c>
      <c r="K331" s="121">
        <f>(VLOOKUP($A331,Hitters!$A1:$R401,9,FALSE)-AVERAGE(Rankings!R2:R651))/STDEV(Rankings!R2:R651)</f>
        <v>-0.51926943217221433</v>
      </c>
      <c r="L331" s="121">
        <f>(VLOOKUP($A331,Hitters!$A1:$R401,10,FALSE)-AVERAGE(Rankings!S2:S651))/STDEV(Rankings!S2:S651)</f>
        <v>-7.2888162920422536E-2</v>
      </c>
      <c r="M331" s="121">
        <f>(VLOOKUP($A331,Hitters!$A1:$R401,11,FALSE)-AVERAGE(Rankings!T2:T651))/STDEV(Rankings!T2:T651)</f>
        <v>-0.45883933087376005</v>
      </c>
      <c r="N331" s="121">
        <f>(VLOOKUP($A331,Hitters!$A1:$R401,12,FALSE)-AVERAGE(Rankings!U2:U651))/STDEV(Rankings!U2:U651)</f>
        <v>-0.6473260304346814</v>
      </c>
      <c r="O331" s="121">
        <f>(VLOOKUP($A331,Hitters!$A1:$R401,13,FALSE)-AVERAGE(Rankings!V2:V651))/STDEV(Rankings!V2:V651)</f>
        <v>0.34988435375108684</v>
      </c>
      <c r="P331" s="121">
        <f>(VLOOKUP($A331,Hitters!$A1:$R401,14,FALSE)-AVERAGE(Rankings!W2:W651))/STDEV(Rankings!W2:W651)</f>
        <v>-5.9757304684363986E-2</v>
      </c>
      <c r="Q331" s="121">
        <f>(VLOOKUP($A331,Hitters!$A1:$R401,15,FALSE)-AVERAGE(Rankings!X2:X651))/STDEV(Rankings!X2:X651)</f>
        <v>-4.258892424076044E-2</v>
      </c>
      <c r="R331" s="121">
        <f>(VLOOKUP($A331,Hitters!$A1:$R401,16,FALSE)-AVERAGE(Rankings!Y2:Y651))/STDEV(Rankings!Y2:Y651)</f>
        <v>-0.88924201221406296</v>
      </c>
      <c r="S331" s="121">
        <f>(VLOOKUP($A331,Hitters!$A1:$R401,17,FALSE)-AVERAGE(Rankings!Z2:Z651))/STDEV(Rankings!Z2:Z651)</f>
        <v>-0.67589718576233937</v>
      </c>
      <c r="T331" s="121">
        <f>IFERROR((VLOOKUP($A331,Hitters!$A1:$R401,18,FALSE)-AVERAGE(Rankings!AA2:AA651))/STDEV(Rankings!AA2:AA651),0)</f>
        <v>0</v>
      </c>
      <c r="U331" s="67"/>
      <c r="V331" s="121"/>
      <c r="W331" s="121"/>
      <c r="X331" s="121"/>
      <c r="Y331" s="121"/>
      <c r="Z331" s="121"/>
      <c r="AA331" s="121"/>
      <c r="AB331" s="121"/>
      <c r="AC331" s="121"/>
      <c r="AD331" s="121"/>
      <c r="AE331" s="121"/>
      <c r="AF331" s="121"/>
      <c r="AG331" s="121"/>
      <c r="AH331" s="121"/>
      <c r="AI331" s="121"/>
      <c r="AJ331" s="121"/>
      <c r="AK331" s="121"/>
    </row>
    <row r="332" spans="1:37" ht="18.600000000000001" customHeight="1">
      <c r="A332" s="25" t="s">
        <v>518</v>
      </c>
      <c r="B332" s="26" t="s">
        <v>119</v>
      </c>
      <c r="C332" s="126" t="s">
        <v>23</v>
      </c>
      <c r="D332" s="67">
        <f>(F332*Settings!$C$2)+(G332*Settings!$C$3)+(H332*Settings!$C$4)+(I332*Settings!$C$5)+(J332*Settings!$C$6)+(M332*Settings!$C$9)+(N332*Settings!$C$10)+(O332*Settings!$C$11)+(P332*Settings!$C$12)+(Q332*Settings!$C$13)+(T332*Settings!$C$16)+(K332*Settings!$C$7)+(L332*Settings!$C$8)+(R332*Settings!$C$14)+(S332*Settings!$C$15)</f>
        <v>-2.6044968941290243</v>
      </c>
      <c r="E332" s="67"/>
      <c r="F332" s="121">
        <f>(VLOOKUP($A332,Hitters!$A1:$R401,4,FALSE)-AVERAGE(Rankings!M2:M651))/STDEV(Rankings!M2:M651)</f>
        <v>-1.2476066627123978</v>
      </c>
      <c r="G332" s="121">
        <f>(VLOOKUP($A332,Hitters!$A1:$R401,5,FALSE)-AVERAGE(Rankings!N2:N651))/STDEV(Rankings!N2:N651)</f>
        <v>-1.0946405720613455</v>
      </c>
      <c r="H332" s="121">
        <f>(VLOOKUP($A332,Hitters!$A1:$R401,6,FALSE)-AVERAGE(Rankings!O2:O651))/STDEV(Rankings!O2:O651)</f>
        <v>-1.2819558995485627</v>
      </c>
      <c r="I332" s="121">
        <f>(VLOOKUP($A332,Hitters!$A1:$R401,7,FALSE)-AVERAGE(Rankings!P2:P651))/STDEV(Rankings!P2:P651)</f>
        <v>-1.2273407668911382</v>
      </c>
      <c r="J332" s="121">
        <f>(VLOOKUP($A332,Hitters!$A1:$R401,8,FALSE)-AVERAGE(Rankings!Q2:Q651))/STDEV(Rankings!Q2:Q651)</f>
        <v>1.0607053747333004</v>
      </c>
      <c r="K332" s="121">
        <f>(VLOOKUP($A332,Hitters!$A1:$R401,9,FALSE)-AVERAGE(Rankings!R2:R651))/STDEV(Rankings!R2:R651)</f>
        <v>-6.1265030361277971E-2</v>
      </c>
      <c r="L332" s="121">
        <f>(VLOOKUP($A332,Hitters!$A1:$R401,10,FALSE)-AVERAGE(Rankings!S2:S651))/STDEV(Rankings!S2:S651)</f>
        <v>-0.38617828516767044</v>
      </c>
      <c r="M332" s="121">
        <f>(VLOOKUP($A332,Hitters!$A1:$R401,11,FALSE)-AVERAGE(Rankings!T2:T651))/STDEV(Rankings!T2:T651)</f>
        <v>-1.1285143893688654</v>
      </c>
      <c r="N332" s="121">
        <f>(VLOOKUP($A332,Hitters!$A1:$R401,12,FALSE)-AVERAGE(Rankings!U2:U651))/STDEV(Rankings!U2:U651)</f>
        <v>-1.2638550036337435</v>
      </c>
      <c r="O332" s="121">
        <f>(VLOOKUP($A332,Hitters!$A1:$R401,13,FALSE)-AVERAGE(Rankings!V2:V651))/STDEV(Rankings!V2:V651)</f>
        <v>1.4837411464480903</v>
      </c>
      <c r="P332" s="121">
        <f>(VLOOKUP($A332,Hitters!$A1:$R401,14,FALSE)-AVERAGE(Rankings!W2:W651))/STDEV(Rankings!W2:W651)</f>
        <v>-1.0368314921781607</v>
      </c>
      <c r="Q332" s="121">
        <f>(VLOOKUP($A332,Hitters!$A1:$R401,15,FALSE)-AVERAGE(Rankings!X2:X651))/STDEV(Rankings!X2:X651)</f>
        <v>-1.0133705143279419</v>
      </c>
      <c r="R332" s="121">
        <f>(VLOOKUP($A332,Hitters!$A1:$R401,16,FALSE)-AVERAGE(Rankings!Y2:Y651))/STDEV(Rankings!Y2:Y651)</f>
        <v>-0.92406062514169141</v>
      </c>
      <c r="S332" s="121">
        <f>(VLOOKUP($A332,Hitters!$A1:$R401,17,FALSE)-AVERAGE(Rankings!Z2:Z651))/STDEV(Rankings!Z2:Z651)</f>
        <v>-0.82421574102162343</v>
      </c>
      <c r="T332" s="121">
        <f>IFERROR((VLOOKUP($A332,Hitters!$A1:$R401,18,FALSE)-AVERAGE(Rankings!AA2:AA651))/STDEV(Rankings!AA2:AA651),0)</f>
        <v>0</v>
      </c>
      <c r="U332" s="67"/>
      <c r="V332" s="121"/>
      <c r="W332" s="121"/>
      <c r="X332" s="121"/>
      <c r="Y332" s="121"/>
      <c r="Z332" s="121"/>
      <c r="AA332" s="121"/>
      <c r="AB332" s="121"/>
      <c r="AC332" s="121"/>
      <c r="AD332" s="121"/>
      <c r="AE332" s="121"/>
      <c r="AF332" s="121"/>
      <c r="AG332" s="121"/>
      <c r="AH332" s="121"/>
      <c r="AI332" s="121"/>
      <c r="AJ332" s="121"/>
      <c r="AK332" s="121"/>
    </row>
    <row r="333" spans="1:37" ht="18.600000000000001" customHeight="1">
      <c r="A333" s="25" t="s">
        <v>570</v>
      </c>
      <c r="B333" s="26" t="s">
        <v>136</v>
      </c>
      <c r="C333" s="126" t="s">
        <v>23</v>
      </c>
      <c r="D333" s="67">
        <f>(F333*Settings!$C$2)+(G333*Settings!$C$3)+(H333*Settings!$C$4)+(I333*Settings!$C$5)+(J333*Settings!$C$6)+(M333*Settings!$C$9)+(N333*Settings!$C$10)+(O333*Settings!$C$11)+(P333*Settings!$C$12)+(Q333*Settings!$C$13)+(T333*Settings!$C$16)+(K333*Settings!$C$7)+(L333*Settings!$C$8)+(R333*Settings!$C$14)+(S333*Settings!$C$15)</f>
        <v>-3.1591422877993125</v>
      </c>
      <c r="E333" s="67"/>
      <c r="F333" s="121">
        <f>(VLOOKUP($A333,Hitters!$A1:$R401,4,FALSE)-AVERAGE(Rankings!M2:M651))/STDEV(Rankings!M2:M651)</f>
        <v>-0.92374787428622229</v>
      </c>
      <c r="G333" s="121">
        <f>(VLOOKUP($A333,Hitters!$A1:$R401,5,FALSE)-AVERAGE(Rankings!N2:N651))/STDEV(Rankings!N2:N651)</f>
        <v>-0.91553286043980098</v>
      </c>
      <c r="H333" s="121">
        <f>(VLOOKUP($A333,Hitters!$A1:$R401,6,FALSE)-AVERAGE(Rankings!O2:O651))/STDEV(Rankings!O2:O651)</f>
        <v>-0.32124383872514461</v>
      </c>
      <c r="I333" s="121">
        <f>(VLOOKUP($A333,Hitters!$A1:$R401,7,FALSE)-AVERAGE(Rankings!P2:P651))/STDEV(Rankings!P2:P651)</f>
        <v>-0.67547615608262002</v>
      </c>
      <c r="J333" s="121">
        <f>(VLOOKUP($A333,Hitters!$A1:$R401,8,FALSE)-AVERAGE(Rankings!Q2:Q651))/STDEV(Rankings!Q2:Q651)</f>
        <v>-0.721321283965351</v>
      </c>
      <c r="K333" s="121">
        <f>(VLOOKUP($A333,Hitters!$A1:$R401,9,FALSE)-AVERAGE(Rankings!R2:R651))/STDEV(Rankings!R2:R651)</f>
        <v>-0.52556814858639589</v>
      </c>
      <c r="L333" s="121">
        <f>(VLOOKUP($A333,Hitters!$A1:$R401,10,FALSE)-AVERAGE(Rankings!S2:S651))/STDEV(Rankings!S2:S651)</f>
        <v>-0.6148898800039142</v>
      </c>
      <c r="M333" s="121">
        <f>(VLOOKUP($A333,Hitters!$A1:$R401,11,FALSE)-AVERAGE(Rankings!T2:T651))/STDEV(Rankings!T2:T651)</f>
        <v>-0.91651127981810654</v>
      </c>
      <c r="N333" s="121">
        <f>(VLOOKUP($A333,Hitters!$A1:$R401,12,FALSE)-AVERAGE(Rankings!U2:U651))/STDEV(Rankings!U2:U651)</f>
        <v>-1.0682665017912791</v>
      </c>
      <c r="O333" s="121">
        <f>(VLOOKUP($A333,Hitters!$A1:$R401,13,FALSE)-AVERAGE(Rankings!V2:V651))/STDEV(Rankings!V2:V651)</f>
        <v>0.29457426630244948</v>
      </c>
      <c r="P333" s="121">
        <f>(VLOOKUP($A333,Hitters!$A1:$R401,14,FALSE)-AVERAGE(Rankings!W2:W651))/STDEV(Rankings!W2:W651)</f>
        <v>-0.77491616815415754</v>
      </c>
      <c r="Q333" s="121">
        <f>(VLOOKUP($A333,Hitters!$A1:$R401,15,FALSE)-AVERAGE(Rankings!X2:X651))/STDEV(Rankings!X2:X651)</f>
        <v>-0.48801782651971704</v>
      </c>
      <c r="R333" s="121">
        <f>(VLOOKUP($A333,Hitters!$A1:$R401,16,FALSE)-AVERAGE(Rankings!Y2:Y651))/STDEV(Rankings!Y2:Y651)</f>
        <v>0.27513083257350823</v>
      </c>
      <c r="S333" s="121">
        <f>(VLOOKUP($A333,Hitters!$A1:$R401,17,FALSE)-AVERAGE(Rankings!Z2:Z651))/STDEV(Rankings!Z2:Z651)</f>
        <v>-4.1088751072277011E-2</v>
      </c>
      <c r="T333" s="121">
        <f>IFERROR((VLOOKUP($A333,Hitters!$A1:$R401,18,FALSE)-AVERAGE(Rankings!AA2:AA651))/STDEV(Rankings!AA2:AA651),0)</f>
        <v>0</v>
      </c>
      <c r="U333" s="67"/>
      <c r="V333" s="121"/>
      <c r="W333" s="121"/>
      <c r="X333" s="121"/>
      <c r="Y333" s="121"/>
      <c r="Z333" s="121"/>
      <c r="AA333" s="121"/>
      <c r="AB333" s="121"/>
      <c r="AC333" s="121"/>
      <c r="AD333" s="121"/>
      <c r="AE333" s="121"/>
      <c r="AF333" s="121"/>
      <c r="AG333" s="121"/>
      <c r="AH333" s="121"/>
      <c r="AI333" s="121"/>
      <c r="AJ333" s="121"/>
      <c r="AK333" s="121"/>
    </row>
    <row r="334" spans="1:37" ht="18.600000000000001" customHeight="1">
      <c r="A334" s="25" t="s">
        <v>565</v>
      </c>
      <c r="B334" s="26" t="s">
        <v>139</v>
      </c>
      <c r="C334" s="126" t="s">
        <v>23</v>
      </c>
      <c r="D334" s="67">
        <f>(F334*Settings!$C$2)+(G334*Settings!$C$3)+(H334*Settings!$C$4)+(I334*Settings!$C$5)+(J334*Settings!$C$6)+(M334*Settings!$C$9)+(N334*Settings!$C$10)+(O334*Settings!$C$11)+(P334*Settings!$C$12)+(Q334*Settings!$C$13)+(T334*Settings!$C$16)+(K334*Settings!$C$7)+(L334*Settings!$C$8)+(R334*Settings!$C$14)+(S334*Settings!$C$15)</f>
        <v>-3.0757224584040075</v>
      </c>
      <c r="E334" s="67"/>
      <c r="F334" s="121">
        <f>(VLOOKUP($A334,Hitters!$A1:$R401,4,FALSE)-AVERAGE(Rankings!M2:M651))/STDEV(Rankings!M2:M651)</f>
        <v>-0.93419493197738657</v>
      </c>
      <c r="G334" s="121">
        <f>(VLOOKUP($A334,Hitters!$A1:$R401,5,FALSE)-AVERAGE(Rankings!N2:N651))/STDEV(Rankings!N2:N651)</f>
        <v>-1.0263367837310948</v>
      </c>
      <c r="H334" s="121">
        <f>(VLOOKUP($A334,Hitters!$A1:$R401,6,FALSE)-AVERAGE(Rankings!O2:O651))/STDEV(Rankings!O2:O651)</f>
        <v>-0.83919294977777237</v>
      </c>
      <c r="I334" s="121">
        <f>(VLOOKUP($A334,Hitters!$A1:$R401,7,FALSE)-AVERAGE(Rankings!P2:P651))/STDEV(Rankings!P2:P651)</f>
        <v>-0.98378040793095667</v>
      </c>
      <c r="J334" s="121">
        <f>(VLOOKUP($A334,Hitters!$A1:$R401,8,FALSE)-AVERAGE(Rankings!Q2:Q651))/STDEV(Rankings!Q2:Q651)</f>
        <v>-0.34483677860648093</v>
      </c>
      <c r="K334" s="121">
        <f>(VLOOKUP($A334,Hitters!$A1:$R401,9,FALSE)-AVERAGE(Rankings!R2:R651))/STDEV(Rankings!R2:R651)</f>
        <v>0.11842446164229735</v>
      </c>
      <c r="L334" s="121">
        <f>(VLOOKUP($A334,Hitters!$A1:$R401,10,FALSE)-AVERAGE(Rankings!S2:S651))/STDEV(Rankings!S2:S651)</f>
        <v>-0.36694452868412952</v>
      </c>
      <c r="M334" s="121">
        <f>(VLOOKUP($A334,Hitters!$A1:$R401,11,FALSE)-AVERAGE(Rankings!T2:T651))/STDEV(Rankings!T2:T651)</f>
        <v>-0.83098212832552332</v>
      </c>
      <c r="N334" s="121">
        <f>(VLOOKUP($A334,Hitters!$A1:$R401,12,FALSE)-AVERAGE(Rankings!U2:U651))/STDEV(Rankings!U2:U651)</f>
        <v>-0.59630294299751796</v>
      </c>
      <c r="O334" s="121">
        <f>(VLOOKUP($A334,Hitters!$A1:$R401,13,FALSE)-AVERAGE(Rankings!V2:V651))/STDEV(Rankings!V2:V651)</f>
        <v>-0.86693757011887684</v>
      </c>
      <c r="P334" s="121">
        <f>(VLOOKUP($A334,Hitters!$A1:$R401,14,FALSE)-AVERAGE(Rankings!W2:W651))/STDEV(Rankings!W2:W651)</f>
        <v>-0.92166305182718422</v>
      </c>
      <c r="Q334" s="121">
        <f>(VLOOKUP($A334,Hitters!$A1:$R401,15,FALSE)-AVERAGE(Rankings!X2:X651))/STDEV(Rankings!X2:X651)</f>
        <v>-1.0474843252245807</v>
      </c>
      <c r="R334" s="121">
        <f>(VLOOKUP($A334,Hitters!$A1:$R401,16,FALSE)-AVERAGE(Rankings!Y2:Y651))/STDEV(Rankings!Y2:Y651)</f>
        <v>-0.39876356612475383</v>
      </c>
      <c r="S334" s="121">
        <f>(VLOOKUP($A334,Hitters!$A1:$R401,17,FALSE)-AVERAGE(Rankings!Z2:Z651))/STDEV(Rankings!Z2:Z651)</f>
        <v>-0.43429782008956341</v>
      </c>
      <c r="T334" s="121">
        <f>IFERROR((VLOOKUP($A334,Hitters!$A1:$R401,18,FALSE)-AVERAGE(Rankings!AA2:AA651))/STDEV(Rankings!AA2:AA651),0)</f>
        <v>0</v>
      </c>
      <c r="U334" s="67"/>
      <c r="V334" s="121"/>
      <c r="W334" s="121"/>
      <c r="X334" s="121"/>
      <c r="Y334" s="121"/>
      <c r="Z334" s="121"/>
      <c r="AA334" s="121"/>
      <c r="AB334" s="121"/>
      <c r="AC334" s="121"/>
      <c r="AD334" s="121"/>
      <c r="AE334" s="121"/>
      <c r="AF334" s="121"/>
      <c r="AG334" s="121"/>
      <c r="AH334" s="121"/>
      <c r="AI334" s="121"/>
      <c r="AJ334" s="121"/>
      <c r="AK334" s="121"/>
    </row>
    <row r="335" spans="1:37" ht="18.600000000000001" customHeight="1">
      <c r="A335" s="25" t="s">
        <v>572</v>
      </c>
      <c r="B335" s="26" t="s">
        <v>69</v>
      </c>
      <c r="C335" s="126" t="s">
        <v>23</v>
      </c>
      <c r="D335" s="67">
        <f>(F335*Settings!$C$2)+(G335*Settings!$C$3)+(H335*Settings!$C$4)+(I335*Settings!$C$5)+(J335*Settings!$C$6)+(M335*Settings!$C$9)+(N335*Settings!$C$10)+(O335*Settings!$C$11)+(P335*Settings!$C$12)+(Q335*Settings!$C$13)+(T335*Settings!$C$16)+(K335*Settings!$C$7)+(L335*Settings!$C$8)+(R335*Settings!$C$14)+(S335*Settings!$C$15)</f>
        <v>-3.2141823013475248</v>
      </c>
      <c r="E335" s="67"/>
      <c r="F335" s="121">
        <f>(VLOOKUP($A335,Hitters!$A1:$R401,4,FALSE)-AVERAGE(Rankings!M2:M651))/STDEV(Rankings!M2:M651)</f>
        <v>-0.5789949704777102</v>
      </c>
      <c r="G335" s="121">
        <f>(VLOOKUP($A335,Hitters!$A1:$R401,5,FALSE)-AVERAGE(Rankings!N2:N651))/STDEV(Rankings!N2:N651)</f>
        <v>-0.46624571942303972</v>
      </c>
      <c r="H335" s="121">
        <f>(VLOOKUP($A335,Hitters!$A1:$R401,6,FALSE)-AVERAGE(Rankings!O2:O651))/STDEV(Rankings!O2:O651)</f>
        <v>-0.67628960033380214</v>
      </c>
      <c r="I335" s="121">
        <f>(VLOOKUP($A335,Hitters!$A1:$R401,7,FALSE)-AVERAGE(Rankings!P2:P651))/STDEV(Rankings!P2:P651)</f>
        <v>-0.69705745371200523</v>
      </c>
      <c r="J335" s="121">
        <f>(VLOOKUP($A335,Hitters!$A1:$R401,8,FALSE)-AVERAGE(Rankings!Q2:Q651))/STDEV(Rankings!Q2:Q651)</f>
        <v>1.1568553133248437E-2</v>
      </c>
      <c r="K335" s="121">
        <f>(VLOOKUP($A335,Hitters!$A1:$R401,9,FALSE)-AVERAGE(Rankings!R2:R651))/STDEV(Rankings!R2:R651)</f>
        <v>-1.3861580810119261</v>
      </c>
      <c r="L335" s="121">
        <f>(VLOOKUP($A335,Hitters!$A1:$R401,10,FALSE)-AVERAGE(Rankings!S2:S651))/STDEV(Rankings!S2:S651)</f>
        <v>0.53170643406836293</v>
      </c>
      <c r="M335" s="121">
        <f>(VLOOKUP($A335,Hitters!$A1:$R401,11,FALSE)-AVERAGE(Rankings!T2:T651))/STDEV(Rankings!T2:T651)</f>
        <v>-0.77729893749507506</v>
      </c>
      <c r="N335" s="121">
        <f>(VLOOKUP($A335,Hitters!$A1:$R401,12,FALSE)-AVERAGE(Rankings!U2:U651))/STDEV(Rankings!U2:U651)</f>
        <v>-1.0427549580726976</v>
      </c>
      <c r="O335" s="121">
        <f>(VLOOKUP($A335,Hitters!$A1:$R401,13,FALSE)-AVERAGE(Rankings!V2:V651))/STDEV(Rankings!V2:V651)</f>
        <v>0.1562990476808602</v>
      </c>
      <c r="P335" s="121">
        <f>(VLOOKUP($A335,Hitters!$A1:$R401,14,FALSE)-AVERAGE(Rankings!W2:W651))/STDEV(Rankings!W2:W651)</f>
        <v>0.64239867035870801</v>
      </c>
      <c r="Q335" s="121">
        <f>(VLOOKUP($A335,Hitters!$A1:$R401,15,FALSE)-AVERAGE(Rankings!X2:X651))/STDEV(Rankings!X2:X651)</f>
        <v>-0.2950311248758799</v>
      </c>
      <c r="R335" s="121">
        <f>(VLOOKUP($A335,Hitters!$A1:$R401,16,FALSE)-AVERAGE(Rankings!Y2:Y651))/STDEV(Rankings!Y2:Y651)</f>
        <v>-1.3718152391894158</v>
      </c>
      <c r="S335" s="121">
        <f>(VLOOKUP($A335,Hitters!$A1:$R401,17,FALSE)-AVERAGE(Rankings!Z2:Z651))/STDEV(Rankings!Z2:Z651)</f>
        <v>-0.78984866779082252</v>
      </c>
      <c r="T335" s="121">
        <f>IFERROR((VLOOKUP($A335,Hitters!$A1:$R401,18,FALSE)-AVERAGE(Rankings!AA2:AA651))/STDEV(Rankings!AA2:AA651),0)</f>
        <v>0</v>
      </c>
      <c r="U335" s="67"/>
      <c r="V335" s="121"/>
      <c r="W335" s="121"/>
      <c r="X335" s="121"/>
      <c r="Y335" s="121"/>
      <c r="Z335" s="121"/>
      <c r="AA335" s="121"/>
      <c r="AB335" s="121"/>
      <c r="AC335" s="121"/>
      <c r="AD335" s="121"/>
      <c r="AE335" s="121"/>
      <c r="AF335" s="121"/>
      <c r="AG335" s="121"/>
      <c r="AH335" s="121"/>
      <c r="AI335" s="121"/>
      <c r="AJ335" s="121"/>
      <c r="AK335" s="121"/>
    </row>
    <row r="336" spans="1:37" ht="18.600000000000001" customHeight="1">
      <c r="A336" s="25" t="s">
        <v>611</v>
      </c>
      <c r="B336" s="26" t="s">
        <v>178</v>
      </c>
      <c r="C336" s="126" t="s">
        <v>23</v>
      </c>
      <c r="D336" s="67">
        <f>(F336*Settings!$C$2)+(G336*Settings!$C$3)+(H336*Settings!$C$4)+(I336*Settings!$C$5)+(J336*Settings!$C$6)+(M336*Settings!$C$9)+(N336*Settings!$C$10)+(O336*Settings!$C$11)+(P336*Settings!$C$12)+(Q336*Settings!$C$13)+(T336*Settings!$C$16)+(K336*Settings!$C$7)+(L336*Settings!$C$8)+(R336*Settings!$C$14)+(S336*Settings!$C$15)</f>
        <v>-3.6454874937528037</v>
      </c>
      <c r="E336" s="67"/>
      <c r="F336" s="121">
        <f>(VLOOKUP($A336,Hitters!$A1:$R401,4,FALSE)-AVERAGE(Rankings!M2:M651))/STDEV(Rankings!M2:M651)</f>
        <v>-1.4748301674952808</v>
      </c>
      <c r="G336" s="121">
        <f>(VLOOKUP($A336,Hitters!$A1:$R401,5,FALSE)-AVERAGE(Rankings!N2:N651))/STDEV(Rankings!N2:N651)</f>
        <v>-1.1902658757236964</v>
      </c>
      <c r="H336" s="121">
        <f>(VLOOKUP($A336,Hitters!$A1:$R401,6,FALSE)-AVERAGE(Rankings!O2:O651))/STDEV(Rankings!O2:O651)</f>
        <v>-0.90602509313940072</v>
      </c>
      <c r="I336" s="121">
        <f>(VLOOKUP($A336,Hitters!$A1:$R401,7,FALSE)-AVERAGE(Rankings!P2:P651))/STDEV(Rankings!P2:P651)</f>
        <v>-1.0762716834854571</v>
      </c>
      <c r="J336" s="121">
        <f>(VLOOKUP($A336,Hitters!$A1:$R401,8,FALSE)-AVERAGE(Rankings!Q2:Q651))/STDEV(Rankings!Q2:Q651)</f>
        <v>-0.6661035565127178</v>
      </c>
      <c r="K336" s="121">
        <f>(VLOOKUP($A336,Hitters!$A1:$R401,9,FALSE)-AVERAGE(Rankings!R2:R651))/STDEV(Rankings!R2:R651)</f>
        <v>0.19317871510846815</v>
      </c>
      <c r="L336" s="121">
        <f>(VLOOKUP($A336,Hitters!$A1:$R401,10,FALSE)-AVERAGE(Rankings!S2:S651))/STDEV(Rankings!S2:S651)</f>
        <v>0.5369724581687304</v>
      </c>
      <c r="M336" s="121">
        <f>(VLOOKUP($A336,Hitters!$A1:$R401,11,FALSE)-AVERAGE(Rankings!T2:T651))/STDEV(Rankings!T2:T651)</f>
        <v>-1.2977529231733351</v>
      </c>
      <c r="N336" s="121">
        <f>(VLOOKUP($A336,Hitters!$A1:$R401,12,FALSE)-AVERAGE(Rankings!U2:U651))/STDEV(Rankings!U2:U651)</f>
        <v>-1.2043280682903859</v>
      </c>
      <c r="O336" s="121">
        <f>(VLOOKUP($A336,Hitters!$A1:$R401,13,FALSE)-AVERAGE(Rankings!V2:V651))/STDEV(Rankings!V2:V651)</f>
        <v>-0.83928252639455969</v>
      </c>
      <c r="P336" s="121">
        <f>(VLOOKUP($A336,Hitters!$A1:$R401,14,FALSE)-AVERAGE(Rankings!W2:W651))/STDEV(Rankings!W2:W651)</f>
        <v>-0.86965149812028641</v>
      </c>
      <c r="Q336" s="121">
        <f>(VLOOKUP($A336,Hitters!$A1:$R401,15,FALSE)-AVERAGE(Rankings!X2:X651))/STDEV(Rankings!X2:X651)</f>
        <v>-0.93539608942134</v>
      </c>
      <c r="R336" s="121">
        <f>(VLOOKUP($A336,Hitters!$A1:$R401,16,FALSE)-AVERAGE(Rankings!Y2:Y651))/STDEV(Rankings!Y2:Y651)</f>
        <v>7.7778951630859489E-2</v>
      </c>
      <c r="S336" s="121">
        <f>(VLOOKUP($A336,Hitters!$A1:$R401,17,FALSE)-AVERAGE(Rankings!Z2:Z651))/STDEV(Rankings!Z2:Z651)</f>
        <v>0.26739036483695694</v>
      </c>
      <c r="T336" s="121">
        <f>IFERROR((VLOOKUP($A336,Hitters!$A1:$R401,18,FALSE)-AVERAGE(Rankings!AA2:AA651))/STDEV(Rankings!AA2:AA651),0)</f>
        <v>0</v>
      </c>
      <c r="U336" s="67"/>
      <c r="V336" s="121"/>
      <c r="W336" s="121"/>
      <c r="X336" s="121"/>
      <c r="Y336" s="121"/>
      <c r="Z336" s="121"/>
      <c r="AA336" s="121"/>
      <c r="AB336" s="121"/>
      <c r="AC336" s="121"/>
      <c r="AD336" s="121"/>
      <c r="AE336" s="121"/>
      <c r="AF336" s="121"/>
      <c r="AG336" s="121"/>
      <c r="AH336" s="121"/>
      <c r="AI336" s="121"/>
      <c r="AJ336" s="121"/>
      <c r="AK336" s="121"/>
    </row>
    <row r="337" spans="1:37" ht="18.600000000000001" customHeight="1">
      <c r="A337" s="25" t="s">
        <v>609</v>
      </c>
      <c r="B337" s="26" t="s">
        <v>309</v>
      </c>
      <c r="C337" s="126" t="s">
        <v>23</v>
      </c>
      <c r="D337" s="67">
        <f>(F337*Settings!$C$2)+(G337*Settings!$C$3)+(H337*Settings!$C$4)+(I337*Settings!$C$5)+(J337*Settings!$C$6)+(M337*Settings!$C$9)+(N337*Settings!$C$10)+(O337*Settings!$C$11)+(P337*Settings!$C$12)+(Q337*Settings!$C$13)+(T337*Settings!$C$16)+(K337*Settings!$C$7)+(L337*Settings!$C$8)+(R337*Settings!$C$14)+(S337*Settings!$C$15)</f>
        <v>-3.6240312949458491</v>
      </c>
      <c r="E337" s="67"/>
      <c r="F337" s="121">
        <f>(VLOOKUP($A337,Hitters!$A1:$R401,4,FALSE)-AVERAGE(Rankings!M2:M651))/STDEV(Rankings!M2:M651)</f>
        <v>-1.2084301963705213</v>
      </c>
      <c r="G337" s="121">
        <f>(VLOOKUP($A337,Hitters!$A1:$R401,5,FALSE)-AVERAGE(Rankings!N2:N651))/STDEV(Rankings!N2:N651)</f>
        <v>-0.92160430829137707</v>
      </c>
      <c r="H337" s="121">
        <f>(VLOOKUP($A337,Hitters!$A1:$R401,6,FALSE)-AVERAGE(Rankings!O2:O651))/STDEV(Rankings!O2:O651)</f>
        <v>-0.76400678849594006</v>
      </c>
      <c r="I337" s="121">
        <f>(VLOOKUP($A337,Hitters!$A1:$R401,7,FALSE)-AVERAGE(Rankings!P2:P651))/STDEV(Rankings!P2:P651)</f>
        <v>-1.0701055984484873</v>
      </c>
      <c r="J337" s="121">
        <f>(VLOOKUP($A337,Hitters!$A1:$R401,8,FALSE)-AVERAGE(Rankings!Q2:Q651))/STDEV(Rankings!Q2:Q651)</f>
        <v>-0.20930235667728764</v>
      </c>
      <c r="K337" s="121">
        <f>(VLOOKUP($A337,Hitters!$A1:$R401,9,FALSE)-AVERAGE(Rankings!R2:R651))/STDEV(Rankings!R2:R651)</f>
        <v>-0.65901224303275663</v>
      </c>
      <c r="L337" s="121">
        <f>(VLOOKUP($A337,Hitters!$A1:$R401,10,FALSE)-AVERAGE(Rankings!S2:S651))/STDEV(Rankings!S2:S651)</f>
        <v>0.14510094118178826</v>
      </c>
      <c r="M337" s="121">
        <f>(VLOOKUP($A337,Hitters!$A1:$R401,11,FALSE)-AVERAGE(Rankings!T2:T651))/STDEV(Rankings!T2:T651)</f>
        <v>-1.1703690805248113</v>
      </c>
      <c r="N337" s="121">
        <f>(VLOOKUP($A337,Hitters!$A1:$R401,12,FALSE)-AVERAGE(Rankings!U2:U651))/STDEV(Rankings!U2:U651)</f>
        <v>-1.1277934371346408</v>
      </c>
      <c r="O337" s="121">
        <f>(VLOOKUP($A337,Hitters!$A1:$R401,13,FALSE)-AVERAGE(Rankings!V2:V651))/STDEV(Rankings!V2:V651)</f>
        <v>-0.53507704542706924</v>
      </c>
      <c r="P337" s="121">
        <f>(VLOOKUP($A337,Hitters!$A1:$R401,14,FALSE)-AVERAGE(Rankings!W2:W651))/STDEV(Rankings!W2:W651)</f>
        <v>-0.53343395451500775</v>
      </c>
      <c r="Q337" s="121">
        <f>(VLOOKUP($A337,Hitters!$A1:$R401,15,FALSE)-AVERAGE(Rankings!X2:X651))/STDEV(Rankings!X2:X651)</f>
        <v>-1.1439776760464992</v>
      </c>
      <c r="R337" s="121">
        <f>(VLOOKUP($A337,Hitters!$A1:$R401,16,FALSE)-AVERAGE(Rankings!Y2:Y651))/STDEV(Rankings!Y2:Y651)</f>
        <v>-0.4058819442849132</v>
      </c>
      <c r="S337" s="121">
        <f>(VLOOKUP($A337,Hitters!$A1:$R401,17,FALSE)-AVERAGE(Rankings!Z2:Z651))/STDEV(Rankings!Z2:Z651)</f>
        <v>-0.23848937978097032</v>
      </c>
      <c r="T337" s="121">
        <f>IFERROR((VLOOKUP($A337,Hitters!$A1:$R401,18,FALSE)-AVERAGE(Rankings!AA2:AA651))/STDEV(Rankings!AA2:AA651),0)</f>
        <v>0</v>
      </c>
      <c r="U337" s="67"/>
      <c r="V337" s="121"/>
      <c r="W337" s="121"/>
      <c r="X337" s="121"/>
      <c r="Y337" s="121"/>
      <c r="Z337" s="121"/>
      <c r="AA337" s="121"/>
      <c r="AB337" s="121"/>
      <c r="AC337" s="121"/>
      <c r="AD337" s="121"/>
      <c r="AE337" s="121"/>
      <c r="AF337" s="121"/>
      <c r="AG337" s="121"/>
      <c r="AH337" s="121"/>
      <c r="AI337" s="121"/>
      <c r="AJ337" s="121"/>
      <c r="AK337" s="121"/>
    </row>
    <row r="338" spans="1:37" ht="18.600000000000001" customHeight="1">
      <c r="A338" s="25" t="s">
        <v>627</v>
      </c>
      <c r="B338" s="26" t="s">
        <v>105</v>
      </c>
      <c r="C338" s="126" t="s">
        <v>23</v>
      </c>
      <c r="D338" s="67">
        <f>(F338*Settings!$C$2)+(G338*Settings!$C$3)+(H338*Settings!$C$4)+(I338*Settings!$C$5)+(J338*Settings!$C$6)+(M338*Settings!$C$9)+(N338*Settings!$C$10)+(O338*Settings!$C$11)+(P338*Settings!$C$12)+(Q338*Settings!$C$13)+(T338*Settings!$C$16)+(K338*Settings!$C$7)+(L338*Settings!$C$8)+(R338*Settings!$C$14)+(S338*Settings!$C$15)</f>
        <v>-3.804331046792722</v>
      </c>
      <c r="E338" s="67"/>
      <c r="F338" s="121">
        <f>(VLOOKUP($A338,Hitters!$A1:$R401,4,FALSE)-AVERAGE(Rankings!M2:M651))/STDEV(Rankings!M2:M651)</f>
        <v>-1.6210889751716218</v>
      </c>
      <c r="G338" s="121">
        <f>(VLOOKUP($A338,Hitters!$A1:$R401,5,FALSE)-AVERAGE(Rankings!N2:N651))/STDEV(Rankings!N2:N651)</f>
        <v>-1.2358017346105301</v>
      </c>
      <c r="H338" s="121">
        <f>(VLOOKUP($A338,Hitters!$A1:$R401,6,FALSE)-AVERAGE(Rankings!O2:O651))/STDEV(Rankings!O2:O651)</f>
        <v>-1.1858846934662211</v>
      </c>
      <c r="I338" s="121">
        <f>(VLOOKUP($A338,Hitters!$A1:$R401,7,FALSE)-AVERAGE(Rankings!P2:P651))/STDEV(Rankings!P2:P651)</f>
        <v>-1.3814928928153087</v>
      </c>
      <c r="J338" s="121">
        <f>(VLOOKUP($A338,Hitters!$A1:$R401,8,FALSE)-AVERAGE(Rankings!Q2:Q651))/STDEV(Rankings!Q2:Q651)</f>
        <v>-0.74642025098927633</v>
      </c>
      <c r="K338" s="121">
        <f>(VLOOKUP($A338,Hitters!$A1:$R401,9,FALSE)-AVERAGE(Rankings!R2:R651))/STDEV(Rankings!R2:R651)</f>
        <v>0.74526852508861363</v>
      </c>
      <c r="L338" s="121">
        <f>(VLOOKUP($A338,Hitters!$A1:$R401,10,FALSE)-AVERAGE(Rankings!S2:S651))/STDEV(Rankings!S2:S651)</f>
        <v>0.81295518647322706</v>
      </c>
      <c r="M338" s="121">
        <f>(VLOOKUP($A338,Hitters!$A1:$R401,11,FALSE)-AVERAGE(Rankings!T2:T651))/STDEV(Rankings!T2:T651)</f>
        <v>-1.3732733441721048</v>
      </c>
      <c r="N338" s="121">
        <f>(VLOOKUP($A338,Hitters!$A1:$R401,12,FALSE)-AVERAGE(Rankings!U2:U651))/STDEV(Rankings!U2:U651)</f>
        <v>-1.2298396120089676</v>
      </c>
      <c r="O338" s="121">
        <f>(VLOOKUP($A338,Hitters!$A1:$R401,13,FALSE)-AVERAGE(Rankings!V2:V651))/STDEV(Rankings!V2:V651)</f>
        <v>-1.281763225983636</v>
      </c>
      <c r="P338" s="121">
        <f>(VLOOKUP($A338,Hitters!$A1:$R401,14,FALSE)-AVERAGE(Rankings!W2:W651))/STDEV(Rankings!W2:W651)</f>
        <v>-1.0405466031572264</v>
      </c>
      <c r="Q338" s="121">
        <f>(VLOOKUP($A338,Hitters!$A1:$R401,15,FALSE)-AVERAGE(Rankings!X2:X651))/STDEV(Rankings!X2:X651)</f>
        <v>-1.2200027403304352</v>
      </c>
      <c r="R338" s="121">
        <f>(VLOOKUP($A338,Hitters!$A1:$R401,16,FALSE)-AVERAGE(Rankings!Y2:Y651))/STDEV(Rankings!Y2:Y651)</f>
        <v>-0.30066865263904596</v>
      </c>
      <c r="S338" s="121">
        <f>(VLOOKUP($A338,Hitters!$A1:$R401,17,FALSE)-AVERAGE(Rankings!Z2:Z651))/STDEV(Rankings!Z2:Z651)</f>
        <v>0.10024487529911388</v>
      </c>
      <c r="T338" s="121">
        <f>IFERROR((VLOOKUP($A338,Hitters!$A1:$R401,18,FALSE)-AVERAGE(Rankings!AA2:AA651))/STDEV(Rankings!AA2:AA651),0)</f>
        <v>0</v>
      </c>
      <c r="U338" s="67"/>
      <c r="V338" s="121"/>
      <c r="W338" s="121"/>
      <c r="X338" s="121"/>
      <c r="Y338" s="121"/>
      <c r="Z338" s="121"/>
      <c r="AA338" s="121"/>
      <c r="AB338" s="121"/>
      <c r="AC338" s="121"/>
      <c r="AD338" s="121"/>
      <c r="AE338" s="121"/>
      <c r="AF338" s="121"/>
      <c r="AG338" s="121"/>
      <c r="AH338" s="121"/>
      <c r="AI338" s="121"/>
      <c r="AJ338" s="121"/>
      <c r="AK338" s="121"/>
    </row>
    <row r="339" spans="1:37" ht="18.600000000000001" customHeight="1">
      <c r="A339" s="25" t="s">
        <v>615</v>
      </c>
      <c r="B339" s="26" t="s">
        <v>64</v>
      </c>
      <c r="C339" s="126" t="s">
        <v>23</v>
      </c>
      <c r="D339" s="67">
        <f>(F339*Settings!$C$2)+(G339*Settings!$C$3)+(H339*Settings!$C$4)+(I339*Settings!$C$5)+(J339*Settings!$C$6)+(M339*Settings!$C$9)+(N339*Settings!$C$10)+(O339*Settings!$C$11)+(P339*Settings!$C$12)+(Q339*Settings!$C$13)+(T339*Settings!$C$16)+(K339*Settings!$C$7)+(L339*Settings!$C$8)+(R339*Settings!$C$14)+(S339*Settings!$C$15)</f>
        <v>-3.6773019006340188</v>
      </c>
      <c r="E339" s="67"/>
      <c r="F339" s="121">
        <f>(VLOOKUP($A339,Hitters!$A1:$R401,4,FALSE)-AVERAGE(Rankings!M2:M651))/STDEV(Rankings!M2:M651)</f>
        <v>-1.1509713790691054</v>
      </c>
      <c r="G339" s="121">
        <f>(VLOOKUP($A339,Hitters!$A1:$R401,5,FALSE)-AVERAGE(Rankings!N2:N651))/STDEV(Rankings!N2:N651)</f>
        <v>-1.0991941579500288</v>
      </c>
      <c r="H339" s="121">
        <f>(VLOOKUP($A339,Hitters!$A1:$R401,6,FALSE)-AVERAGE(Rankings!O2:O651))/STDEV(Rankings!O2:O651)</f>
        <v>-1.1190525501045927</v>
      </c>
      <c r="I339" s="121">
        <f>(VLOOKUP($A339,Hitters!$A1:$R401,7,FALSE)-AVERAGE(Rankings!P2:P651))/STDEV(Rankings!P2:P651)</f>
        <v>-1.224257724372658</v>
      </c>
      <c r="J339" s="121">
        <f>(VLOOKUP($A339,Hitters!$A1:$R401,8,FALSE)-AVERAGE(Rankings!Q2:Q651))/STDEV(Rankings!Q2:Q651)</f>
        <v>0.49346871999260206</v>
      </c>
      <c r="K339" s="121">
        <f>(VLOOKUP($A339,Hitters!$A1:$R401,9,FALSE)-AVERAGE(Rankings!R2:R651))/STDEV(Rankings!R2:R651)</f>
        <v>-0.72826618819934097</v>
      </c>
      <c r="L339" s="121">
        <f>(VLOOKUP($A339,Hitters!$A1:$R401,10,FALSE)-AVERAGE(Rankings!S2:S651))/STDEV(Rankings!S2:S651)</f>
        <v>-1.5350111904957544</v>
      </c>
      <c r="M339" s="121">
        <f>(VLOOKUP($A339,Hitters!$A1:$R401,11,FALSE)-AVERAGE(Rankings!T2:T651))/STDEV(Rankings!T2:T651)</f>
        <v>-1.1321539277302535</v>
      </c>
      <c r="N339" s="121">
        <f>(VLOOKUP($A339,Hitters!$A1:$R401,12,FALSE)-AVERAGE(Rankings!U2:U651))/STDEV(Rankings!U2:U651)</f>
        <v>-0.87267799994882389</v>
      </c>
      <c r="O339" s="121">
        <f>(VLOOKUP($A339,Hitters!$A1:$R401,13,FALSE)-AVERAGE(Rankings!V2:V651))/STDEV(Rankings!V2:V651)</f>
        <v>-0.56273208915138628</v>
      </c>
      <c r="P339" s="121">
        <f>(VLOOKUP($A339,Hitters!$A1:$R401,14,FALSE)-AVERAGE(Rankings!W2:W651))/STDEV(Rankings!W2:W651)</f>
        <v>-1.2727410393487202</v>
      </c>
      <c r="Q339" s="121">
        <f>(VLOOKUP($A339,Hitters!$A1:$R401,15,FALSE)-AVERAGE(Rankings!X2:X651))/STDEV(Rankings!X2:X651)</f>
        <v>-0.76482703493815118</v>
      </c>
      <c r="R339" s="121">
        <f>(VLOOKUP($A339,Hitters!$A1:$R401,16,FALSE)-AVERAGE(Rankings!Y2:Y651))/STDEV(Rankings!Y2:Y651)</f>
        <v>-1.1871379504127419</v>
      </c>
      <c r="S339" s="121">
        <f>(VLOOKUP($A339,Hitters!$A1:$R401,17,FALSE)-AVERAGE(Rankings!Z2:Z651))/STDEV(Rankings!Z2:Z651)</f>
        <v>-1.4666560848775838</v>
      </c>
      <c r="T339" s="121">
        <f>IFERROR((VLOOKUP($A339,Hitters!$A1:$R401,18,FALSE)-AVERAGE(Rankings!AA2:AA651))/STDEV(Rankings!AA2:AA651),0)</f>
        <v>0</v>
      </c>
      <c r="U339" s="67"/>
      <c r="V339" s="121"/>
      <c r="W339" s="121"/>
      <c r="X339" s="121"/>
      <c r="Y339" s="121"/>
      <c r="Z339" s="121"/>
      <c r="AA339" s="121"/>
      <c r="AB339" s="121"/>
      <c r="AC339" s="121"/>
      <c r="AD339" s="121"/>
      <c r="AE339" s="121"/>
      <c r="AF339" s="121"/>
      <c r="AG339" s="121"/>
      <c r="AH339" s="121"/>
      <c r="AI339" s="121"/>
      <c r="AJ339" s="121"/>
      <c r="AK339" s="121"/>
    </row>
    <row r="340" spans="1:37" ht="18.600000000000001" customHeight="1">
      <c r="A340" s="25" t="s">
        <v>626</v>
      </c>
      <c r="B340" s="26" t="s">
        <v>309</v>
      </c>
      <c r="C340" s="126" t="s">
        <v>23</v>
      </c>
      <c r="D340" s="67">
        <f>(F340*Settings!$C$2)+(G340*Settings!$C$3)+(H340*Settings!$C$4)+(I340*Settings!$C$5)+(J340*Settings!$C$6)+(M340*Settings!$C$9)+(N340*Settings!$C$10)+(O340*Settings!$C$11)+(P340*Settings!$C$12)+(Q340*Settings!$C$13)+(T340*Settings!$C$16)+(K340*Settings!$C$7)+(L340*Settings!$C$8)+(R340*Settings!$C$14)+(S340*Settings!$C$15)</f>
        <v>-3.7660850654840958</v>
      </c>
      <c r="E340" s="67"/>
      <c r="F340" s="121">
        <f>(VLOOKUP($A340,Hitters!$A1:$R401,4,FALSE)-AVERAGE(Rankings!M2:M651))/STDEV(Rankings!M2:M651)</f>
        <v>-1.597583095366496</v>
      </c>
      <c r="G340" s="121">
        <f>(VLOOKUP($A340,Hitters!$A1:$R401,5,FALSE)-AVERAGE(Rankings!N2:N651))/STDEV(Rankings!N2:N651)</f>
        <v>-1.294998351163414</v>
      </c>
      <c r="H340" s="121">
        <f>(VLOOKUP($A340,Hitters!$A1:$R401,6,FALSE)-AVERAGE(Rankings!O2:O651))/STDEV(Rankings!O2:O651)</f>
        <v>-0.69299763617420906</v>
      </c>
      <c r="I340" s="121">
        <f>(VLOOKUP($A340,Hitters!$A1:$R401,7,FALSE)-AVERAGE(Rankings!P2:P651))/STDEV(Rankings!P2:P651)</f>
        <v>-1.1888027354100978</v>
      </c>
      <c r="J340" s="121">
        <f>(VLOOKUP($A340,Hitters!$A1:$R401,8,FALSE)-AVERAGE(Rankings!Q2:Q651))/STDEV(Rankings!Q2:Q651)</f>
        <v>-0.26953987753470693</v>
      </c>
      <c r="K340" s="121">
        <f>(VLOOKUP($A340,Hitters!$A1:$R401,9,FALSE)-AVERAGE(Rankings!R2:R651))/STDEV(Rankings!R2:R651)</f>
        <v>-0.31974646520166772</v>
      </c>
      <c r="L340" s="121">
        <f>(VLOOKUP($A340,Hitters!$A1:$R401,10,FALSE)-AVERAGE(Rankings!S2:S651))/STDEV(Rankings!S2:S651)</f>
        <v>-1.3982279182868815</v>
      </c>
      <c r="M340" s="121">
        <f>(VLOOKUP($A340,Hitters!$A1:$R401,11,FALSE)-AVERAGE(Rankings!T2:T651))/STDEV(Rankings!T2:T651)</f>
        <v>-1.4569827264839941</v>
      </c>
      <c r="N340" s="121">
        <f>(VLOOKUP($A340,Hitters!$A1:$R401,12,FALSE)-AVERAGE(Rankings!U2:U651))/STDEV(Rankings!U2:U651)</f>
        <v>-1.0810222736505701</v>
      </c>
      <c r="O340" s="121">
        <f>(VLOOKUP($A340,Hitters!$A1:$R401,13,FALSE)-AVERAGE(Rankings!V2:V651))/STDEV(Rankings!V2:V651)</f>
        <v>-0.83928252639455969</v>
      </c>
      <c r="P340" s="121">
        <f>(VLOOKUP($A340,Hitters!$A1:$R401,14,FALSE)-AVERAGE(Rankings!W2:W651))/STDEV(Rankings!W2:W651)</f>
        <v>-1.5272261414145936</v>
      </c>
      <c r="Q340" s="121">
        <f>(VLOOKUP($A340,Hitters!$A1:$R401,15,FALSE)-AVERAGE(Rankings!X2:X651))/STDEV(Rankings!X2:X651)</f>
        <v>-1.1381295941785043</v>
      </c>
      <c r="R340" s="121">
        <f>(VLOOKUP($A340,Hitters!$A1:$R401,16,FALSE)-AVERAGE(Rankings!Y2:Y651))/STDEV(Rankings!Y2:Y651)</f>
        <v>0.9464755308785131</v>
      </c>
      <c r="S340" s="121">
        <f>(VLOOKUP($A340,Hitters!$A1:$R401,17,FALSE)-AVERAGE(Rankings!Z2:Z651))/STDEV(Rankings!Z2:Z651)</f>
        <v>0.14011006526613498</v>
      </c>
      <c r="T340" s="121">
        <f>IFERROR((VLOOKUP($A340,Hitters!$A1:$R401,18,FALSE)-AVERAGE(Rankings!AA2:AA651))/STDEV(Rankings!AA2:AA651),0)</f>
        <v>0</v>
      </c>
      <c r="U340" s="67"/>
      <c r="V340" s="121"/>
      <c r="W340" s="121"/>
      <c r="X340" s="121"/>
      <c r="Y340" s="121"/>
      <c r="Z340" s="121"/>
      <c r="AA340" s="121"/>
      <c r="AB340" s="121"/>
      <c r="AC340" s="121"/>
      <c r="AD340" s="121"/>
      <c r="AE340" s="121"/>
      <c r="AF340" s="121"/>
      <c r="AG340" s="121"/>
      <c r="AH340" s="121"/>
      <c r="AI340" s="121"/>
      <c r="AJ340" s="121"/>
      <c r="AK340" s="121"/>
    </row>
    <row r="341" spans="1:37" ht="18.600000000000001" customHeight="1">
      <c r="A341" s="25" t="s">
        <v>635</v>
      </c>
      <c r="B341" s="26" t="s">
        <v>79</v>
      </c>
      <c r="C341" s="126" t="s">
        <v>23</v>
      </c>
      <c r="D341" s="67">
        <f>(F341*Settings!$C$2)+(G341*Settings!$C$3)+(H341*Settings!$C$4)+(I341*Settings!$C$5)+(J341*Settings!$C$6)+(M341*Settings!$C$9)+(N341*Settings!$C$10)+(O341*Settings!$C$11)+(P341*Settings!$C$12)+(Q341*Settings!$C$13)+(T341*Settings!$C$16)+(K341*Settings!$C$7)+(L341*Settings!$C$8)+(R341*Settings!$C$14)+(S341*Settings!$C$15)</f>
        <v>-3.994004260585486</v>
      </c>
      <c r="E341" s="67"/>
      <c r="F341" s="121">
        <f>(VLOOKUP($A341,Hitters!$A1:$R401,4,FALSE)-AVERAGE(Rankings!M2:M651))/STDEV(Rankings!M2:M651)</f>
        <v>-1.3076772444366107</v>
      </c>
      <c r="G341" s="121">
        <f>(VLOOKUP($A341,Hitters!$A1:$R401,5,FALSE)-AVERAGE(Rankings!N2:N651))/STDEV(Rankings!N2:N651)</f>
        <v>-1.1629443603915961</v>
      </c>
      <c r="H341" s="121">
        <f>(VLOOKUP($A341,Hitters!$A1:$R401,6,FALSE)-AVERAGE(Rankings!O2:O651))/STDEV(Rankings!O2:O651)</f>
        <v>-1.0104503171419454</v>
      </c>
      <c r="I341" s="121">
        <f>(VLOOKUP($A341,Hitters!$A1:$R401,7,FALSE)-AVERAGE(Rankings!P2:P651))/STDEV(Rankings!P2:P651)</f>
        <v>-1.0408166945228972</v>
      </c>
      <c r="J341" s="121">
        <f>(VLOOKUP($A341,Hitters!$A1:$R401,8,FALSE)-AVERAGE(Rankings!Q2:Q651))/STDEV(Rankings!Q2:Q651)</f>
        <v>-0.38499512584476092</v>
      </c>
      <c r="K341" s="121">
        <f>(VLOOKUP($A341,Hitters!$A1:$R401,9,FALSE)-AVERAGE(Rankings!R2:R651))/STDEV(Rankings!R2:R651)</f>
        <v>-0.39479776268428635</v>
      </c>
      <c r="L341" s="121">
        <f>(VLOOKUP($A341,Hitters!$A1:$R401,10,FALSE)-AVERAGE(Rankings!S2:S651))/STDEV(Rankings!S2:S651)</f>
        <v>-0.79802508544114314</v>
      </c>
      <c r="M341" s="121">
        <f>(VLOOKUP($A341,Hitters!$A1:$R401,11,FALSE)-AVERAGE(Rankings!T2:T651))/STDEV(Rankings!T2:T651)</f>
        <v>-1.2204127329938739</v>
      </c>
      <c r="N341" s="121">
        <f>(VLOOKUP($A341,Hitters!$A1:$R401,12,FALSE)-AVERAGE(Rankings!U2:U651))/STDEV(Rankings!U2:U651)</f>
        <v>-1.1873203724780024</v>
      </c>
      <c r="O341" s="121">
        <f>(VLOOKUP($A341,Hitters!$A1:$R401,13,FALSE)-AVERAGE(Rankings!V2:V651))/STDEV(Rankings!V2:V651)</f>
        <v>-0.45211191425411734</v>
      </c>
      <c r="P341" s="121">
        <f>(VLOOKUP($A341,Hitters!$A1:$R401,14,FALSE)-AVERAGE(Rankings!W2:W651))/STDEV(Rankings!W2:W651)</f>
        <v>-1.1371394886128852</v>
      </c>
      <c r="Q341" s="121">
        <f>(VLOOKUP($A341,Hitters!$A1:$R401,15,FALSE)-AVERAGE(Rankings!X2:X651))/STDEV(Rankings!X2:X651)</f>
        <v>-0.80868764894811418</v>
      </c>
      <c r="R341" s="121">
        <f>(VLOOKUP($A341,Hitters!$A1:$R401,16,FALSE)-AVERAGE(Rankings!Y2:Y651))/STDEV(Rankings!Y2:Y651)</f>
        <v>-0.71905784787388305</v>
      </c>
      <c r="S341" s="121">
        <f>(VLOOKUP($A341,Hitters!$A1:$R401,17,FALSE)-AVERAGE(Rankings!Z2:Z651))/STDEV(Rankings!Z2:Z651)</f>
        <v>-0.83665208713129458</v>
      </c>
      <c r="T341" s="121">
        <f>IFERROR((VLOOKUP($A341,Hitters!$A1:$R401,18,FALSE)-AVERAGE(Rankings!AA2:AA651))/STDEV(Rankings!AA2:AA651),0)</f>
        <v>0</v>
      </c>
      <c r="U341" s="67"/>
      <c r="V341" s="121"/>
      <c r="W341" s="121"/>
      <c r="X341" s="121"/>
      <c r="Y341" s="121"/>
      <c r="Z341" s="121"/>
      <c r="AA341" s="121"/>
      <c r="AB341" s="121"/>
      <c r="AC341" s="121"/>
      <c r="AD341" s="121"/>
      <c r="AE341" s="121"/>
      <c r="AF341" s="121"/>
      <c r="AG341" s="121"/>
      <c r="AH341" s="121"/>
      <c r="AI341" s="121"/>
      <c r="AJ341" s="121"/>
      <c r="AK341" s="121"/>
    </row>
    <row r="342" spans="1:37" ht="18.600000000000001" customHeight="1">
      <c r="A342" s="25" t="s">
        <v>648</v>
      </c>
      <c r="B342" s="26" t="s">
        <v>122</v>
      </c>
      <c r="C342" s="126" t="s">
        <v>23</v>
      </c>
      <c r="D342" s="67">
        <f>(F342*Settings!$C$2)+(G342*Settings!$C$3)+(H342*Settings!$C$4)+(I342*Settings!$C$5)+(J342*Settings!$C$6)+(M342*Settings!$C$9)+(N342*Settings!$C$10)+(O342*Settings!$C$11)+(P342*Settings!$C$12)+(Q342*Settings!$C$13)+(T342*Settings!$C$16)+(K342*Settings!$C$7)+(L342*Settings!$C$8)+(R342*Settings!$C$14)+(S342*Settings!$C$15)</f>
        <v>-4.2069171973057733</v>
      </c>
      <c r="E342" s="67"/>
      <c r="F342" s="121">
        <f>(VLOOKUP($A342,Hitters!$A1:$R401,4,FALSE)-AVERAGE(Rankings!M2:M651))/STDEV(Rankings!M2:M651)</f>
        <v>-1.4252066434622399</v>
      </c>
      <c r="G342" s="121">
        <f>(VLOOKUP($A342,Hitters!$A1:$R401,5,FALSE)-AVERAGE(Rankings!N2:N651))/STDEV(Rankings!N2:N651)</f>
        <v>-1.2494624922765802</v>
      </c>
      <c r="H342" s="121">
        <f>(VLOOKUP($A342,Hitters!$A1:$R401,6,FALSE)-AVERAGE(Rankings!O2:O651))/STDEV(Rankings!O2:O651)</f>
        <v>-1.1566456307455089</v>
      </c>
      <c r="I342" s="121">
        <f>(VLOOKUP($A342,Hitters!$A1:$R401,7,FALSE)-AVERAGE(Rankings!P2:P651))/STDEV(Rankings!P2:P651)</f>
        <v>-1.3321642125195736</v>
      </c>
      <c r="J342" s="121">
        <f>(VLOOKUP($A342,Hitters!$A1:$R401,8,FALSE)-AVERAGE(Rankings!Q2:Q651))/STDEV(Rankings!Q2:Q651)</f>
        <v>-0.48037120053567417</v>
      </c>
      <c r="K342" s="121">
        <f>(VLOOKUP($A342,Hitters!$A1:$R401,9,FALSE)-AVERAGE(Rankings!R2:R651))/STDEV(Rankings!R2:R651)</f>
        <v>1.172633877156392E-2</v>
      </c>
      <c r="L342" s="121">
        <f>(VLOOKUP($A342,Hitters!$A1:$R401,10,FALSE)-AVERAGE(Rankings!S2:S651))/STDEV(Rankings!S2:S651)</f>
        <v>-0.75427292479763997</v>
      </c>
      <c r="M342" s="121">
        <f>(VLOOKUP($A342,Hitters!$A1:$R401,11,FALSE)-AVERAGE(Rankings!T2:T651))/STDEV(Rankings!T2:T651)</f>
        <v>-1.274095923824325</v>
      </c>
      <c r="N342" s="121">
        <f>(VLOOKUP($A342,Hitters!$A1:$R401,12,FALSE)-AVERAGE(Rankings!U2:U651))/STDEV(Rankings!U2:U651)</f>
        <v>-1.2340915359620641</v>
      </c>
      <c r="O342" s="121">
        <f>(VLOOKUP($A342,Hitters!$A1:$R401,13,FALSE)-AVERAGE(Rankings!V2:V651))/STDEV(Rankings!V2:V651)</f>
        <v>-0.25852660818389916</v>
      </c>
      <c r="P342" s="121">
        <f>(VLOOKUP($A342,Hitters!$A1:$R401,14,FALSE)-AVERAGE(Rankings!W2:W651))/STDEV(Rankings!W2:W651)</f>
        <v>-1.313607260118421</v>
      </c>
      <c r="Q342" s="121">
        <f>(VLOOKUP($A342,Hitters!$A1:$R401,15,FALSE)-AVERAGE(Rankings!X2:X651))/STDEV(Rankings!X2:X651)</f>
        <v>-1.5572421280514834</v>
      </c>
      <c r="R342" s="121">
        <f>(VLOOKUP($A342,Hitters!$A1:$R401,16,FALSE)-AVERAGE(Rankings!Y2:Y651))/STDEV(Rankings!Y2:Y651)</f>
        <v>-0.6746925597980542</v>
      </c>
      <c r="S342" s="121">
        <f>(VLOOKUP($A342,Hitters!$A1:$R401,17,FALSE)-AVERAGE(Rankings!Z2:Z651))/STDEV(Rankings!Z2:Z651)</f>
        <v>-0.78718445618819566</v>
      </c>
      <c r="T342" s="121">
        <f>IFERROR((VLOOKUP($A342,Hitters!$A1:$R401,18,FALSE)-AVERAGE(Rankings!AA2:AA651))/STDEV(Rankings!AA2:AA651),0)</f>
        <v>0</v>
      </c>
      <c r="U342" s="67"/>
      <c r="V342" s="121"/>
      <c r="W342" s="121"/>
      <c r="X342" s="121"/>
      <c r="Y342" s="121"/>
      <c r="Z342" s="121"/>
      <c r="AA342" s="121"/>
      <c r="AB342" s="121"/>
      <c r="AC342" s="121"/>
      <c r="AD342" s="121"/>
      <c r="AE342" s="121"/>
      <c r="AF342" s="121"/>
      <c r="AG342" s="121"/>
      <c r="AH342" s="121"/>
      <c r="AI342" s="121"/>
      <c r="AJ342" s="121"/>
      <c r="AK342" s="121"/>
    </row>
    <row r="343" spans="1:37" ht="18.600000000000001" customHeight="1">
      <c r="A343" s="25" t="s">
        <v>657</v>
      </c>
      <c r="B343" s="26" t="s">
        <v>142</v>
      </c>
      <c r="C343" s="126" t="s">
        <v>23</v>
      </c>
      <c r="D343" s="67">
        <f>(F343*Settings!$C$2)+(G343*Settings!$C$3)+(H343*Settings!$C$4)+(I343*Settings!$C$5)+(J343*Settings!$C$6)+(M343*Settings!$C$9)+(N343*Settings!$C$10)+(O343*Settings!$C$11)+(P343*Settings!$C$12)+(Q343*Settings!$C$13)+(T343*Settings!$C$16)+(K343*Settings!$C$7)+(L343*Settings!$C$8)+(R343*Settings!$C$14)+(S343*Settings!$C$15)</f>
        <v>-4.4269442985264211</v>
      </c>
      <c r="E343" s="67"/>
      <c r="F343" s="121">
        <f>(VLOOKUP($A343,Hitters!$A1:$R401,4,FALSE)-AVERAGE(Rankings!M2:M651))/STDEV(Rankings!M2:M651)</f>
        <v>-1.6576536770907091</v>
      </c>
      <c r="G343" s="121">
        <f>(VLOOKUP($A343,Hitters!$A1:$R401,5,FALSE)-AVERAGE(Rankings!N2:N651))/STDEV(Rankings!N2:N651)</f>
        <v>-1.4771417867107488</v>
      </c>
      <c r="H343" s="121">
        <f>(VLOOKUP($A343,Hitters!$A1:$R401,6,FALSE)-AVERAGE(Rankings!O2:O651))/STDEV(Rankings!O2:O651)</f>
        <v>-1.0856364784237778</v>
      </c>
      <c r="I343" s="121">
        <f>(VLOOKUP($A343,Hitters!$A1:$R401,7,FALSE)-AVERAGE(Rankings!P2:P651))/STDEV(Rankings!P2:P651)</f>
        <v>-1.3676192014821338</v>
      </c>
      <c r="J343" s="121">
        <f>(VLOOKUP($A343,Hitters!$A1:$R401,8,FALSE)-AVERAGE(Rankings!Q2:Q651))/STDEV(Rankings!Q2:Q651)</f>
        <v>-0.32977739839212616</v>
      </c>
      <c r="K343" s="121">
        <f>(VLOOKUP($A343,Hitters!$A1:$R401,9,FALSE)-AVERAGE(Rankings!R2:R651))/STDEV(Rankings!R2:R651)</f>
        <v>-0.16676943351763437</v>
      </c>
      <c r="L343" s="121">
        <f>(VLOOKUP($A343,Hitters!$A1:$R401,10,FALSE)-AVERAGE(Rankings!S2:S651))/STDEV(Rankings!S2:S651)</f>
        <v>-0.18118024188861501</v>
      </c>
      <c r="M343" s="121">
        <f>(VLOOKUP($A343,Hitters!$A1:$R401,11,FALSE)-AVERAGE(Rankings!T2:T651))/STDEV(Rankings!T2:T651)</f>
        <v>-1.4933781100978576</v>
      </c>
      <c r="N343" s="121">
        <f>(VLOOKUP($A343,Hitters!$A1:$R401,12,FALSE)-AVERAGE(Rankings!U2:U651))/STDEV(Rankings!U2:U651)</f>
        <v>-1.5232223647726568</v>
      </c>
      <c r="O343" s="121">
        <f>(VLOOKUP($A343,Hitters!$A1:$R401,13,FALSE)-AVERAGE(Rankings!V2:V651))/STDEV(Rankings!V2:V651)</f>
        <v>-0.42445687052980291</v>
      </c>
      <c r="P343" s="121">
        <f>(VLOOKUP($A343,Hitters!$A1:$R401,14,FALSE)-AVERAGE(Rankings!W2:W651))/STDEV(Rankings!W2:W651)</f>
        <v>-1.1724330429139957</v>
      </c>
      <c r="Q343" s="121">
        <f>(VLOOKUP($A343,Hitters!$A1:$R401,15,FALSE)-AVERAGE(Rankings!X2:X651))/STDEV(Rankings!X2:X651)</f>
        <v>-1.5903812586367878</v>
      </c>
      <c r="R343" s="121">
        <f>(VLOOKUP($A343,Hitters!$A1:$R401,16,FALSE)-AVERAGE(Rankings!Y2:Y651))/STDEV(Rankings!Y2:Y651)</f>
        <v>-0.34821127060516405</v>
      </c>
      <c r="S343" s="121">
        <f>(VLOOKUP($A343,Hitters!$A1:$R401,17,FALSE)-AVERAGE(Rankings!Z2:Z651))/STDEV(Rankings!Z2:Z651)</f>
        <v>-0.32458349221291011</v>
      </c>
      <c r="T343" s="121">
        <f>IFERROR((VLOOKUP($A343,Hitters!$A1:$R401,18,FALSE)-AVERAGE(Rankings!AA2:AA651))/STDEV(Rankings!AA2:AA651),0)</f>
        <v>0</v>
      </c>
      <c r="U343" s="67"/>
      <c r="V343" s="121"/>
      <c r="W343" s="121"/>
      <c r="X343" s="121"/>
      <c r="Y343" s="121"/>
      <c r="Z343" s="121"/>
      <c r="AA343" s="121"/>
      <c r="AB343" s="121"/>
      <c r="AC343" s="121"/>
      <c r="AD343" s="121"/>
      <c r="AE343" s="121"/>
      <c r="AF343" s="121"/>
      <c r="AG343" s="121"/>
      <c r="AH343" s="121"/>
      <c r="AI343" s="121"/>
      <c r="AJ343" s="121"/>
      <c r="AK343" s="121"/>
    </row>
    <row r="344" spans="1:37" ht="18.600000000000001" customHeight="1">
      <c r="A344" s="25" t="s">
        <v>664</v>
      </c>
      <c r="B344" s="26" t="s">
        <v>103</v>
      </c>
      <c r="C344" s="126" t="s">
        <v>23</v>
      </c>
      <c r="D344" s="67">
        <f>(F344*Settings!$C$2)+(G344*Settings!$C$3)+(H344*Settings!$C$4)+(I344*Settings!$C$5)+(J344*Settings!$C$6)+(M344*Settings!$C$9)+(N344*Settings!$C$10)+(O344*Settings!$C$11)+(P344*Settings!$C$12)+(Q344*Settings!$C$13)+(T344*Settings!$C$16)+(K344*Settings!$C$7)+(L344*Settings!$C$8)+(R344*Settings!$C$14)+(S344*Settings!$C$15)</f>
        <v>-4.527167921125077</v>
      </c>
      <c r="E344" s="67"/>
      <c r="F344" s="121">
        <f>(VLOOKUP($A344,Hitters!$A1:$R401,4,FALSE)-AVERAGE(Rankings!M2:M651))/STDEV(Rankings!M2:M651)</f>
        <v>-1.3990889992343249</v>
      </c>
      <c r="G344" s="121">
        <f>(VLOOKUP($A344,Hitters!$A1:$R401,5,FALSE)-AVERAGE(Rankings!N2:N651))/STDEV(Rankings!N2:N651)</f>
        <v>-1.2175873910557966</v>
      </c>
      <c r="H344" s="121">
        <f>(VLOOKUP($A344,Hitters!$A1:$R401,6,FALSE)-AVERAGE(Rankings!O2:O651))/STDEV(Rankings!O2:O651)</f>
        <v>-1.0396893798626587</v>
      </c>
      <c r="I344" s="121">
        <f>(VLOOKUP($A344,Hitters!$A1:$R401,7,FALSE)-AVERAGE(Rankings!P2:P651))/STDEV(Rankings!P2:P651)</f>
        <v>-1.2658787983721831</v>
      </c>
      <c r="J344" s="121">
        <f>(VLOOKUP($A344,Hitters!$A1:$R401,8,FALSE)-AVERAGE(Rankings!Q2:Q651))/STDEV(Rankings!Q2:Q651)</f>
        <v>-1.8550207295461196E-2</v>
      </c>
      <c r="K344" s="121">
        <f>(VLOOKUP($A344,Hitters!$A1:$R401,9,FALSE)-AVERAGE(Rankings!R2:R651))/STDEV(Rankings!R2:R651)</f>
        <v>-0.98546214453897718</v>
      </c>
      <c r="L344" s="121">
        <f>(VLOOKUP($A344,Hitters!$A1:$R401,10,FALSE)-AVERAGE(Rankings!S2:S651))/STDEV(Rankings!S2:S651)</f>
        <v>-0.54837881911493647</v>
      </c>
      <c r="M344" s="121">
        <f>(VLOOKUP($A344,Hitters!$A1:$R401,11,FALSE)-AVERAGE(Rankings!T2:T651))/STDEV(Rankings!T2:T651)</f>
        <v>-1.3641744982686397</v>
      </c>
      <c r="N344" s="121">
        <f>(VLOOKUP($A344,Hitters!$A1:$R401,12,FALSE)-AVERAGE(Rankings!U2:U651))/STDEV(Rankings!U2:U651)</f>
        <v>-1.0087395664479304</v>
      </c>
      <c r="O344" s="121">
        <f>(VLOOKUP($A344,Hitters!$A1:$R401,13,FALSE)-AVERAGE(Rankings!V2:V651))/STDEV(Rankings!V2:V651)</f>
        <v>-0.47976695797843194</v>
      </c>
      <c r="P344" s="121">
        <f>(VLOOKUP($A344,Hitters!$A1:$R401,14,FALSE)-AVERAGE(Rankings!W2:W651))/STDEV(Rankings!W2:W651)</f>
        <v>-0.88822705301560956</v>
      </c>
      <c r="Q344" s="121">
        <f>(VLOOKUP($A344,Hitters!$A1:$R401,15,FALSE)-AVERAGE(Rankings!X2:X651))/STDEV(Rankings!X2:X651)</f>
        <v>-0.62447307010626962</v>
      </c>
      <c r="R344" s="121">
        <f>(VLOOKUP($A344,Hitters!$A1:$R401,16,FALSE)-AVERAGE(Rankings!Y2:Y651))/STDEV(Rankings!Y2:Y651)</f>
        <v>-0.73645820865321177</v>
      </c>
      <c r="S344" s="121">
        <f>(VLOOKUP($A344,Hitters!$A1:$R401,17,FALSE)-AVERAGE(Rankings!Z2:Z651))/STDEV(Rankings!Z2:Z651)</f>
        <v>-0.75132588896240859</v>
      </c>
      <c r="T344" s="121">
        <f>IFERROR((VLOOKUP($A344,Hitters!$A1:$R401,18,FALSE)-AVERAGE(Rankings!AA2:AA651))/STDEV(Rankings!AA2:AA651),0)</f>
        <v>0</v>
      </c>
      <c r="U344" s="67"/>
      <c r="V344" s="121"/>
      <c r="W344" s="121"/>
      <c r="X344" s="121"/>
      <c r="Y344" s="121"/>
      <c r="Z344" s="121"/>
      <c r="AA344" s="121"/>
      <c r="AB344" s="121"/>
      <c r="AC344" s="121"/>
      <c r="AD344" s="121"/>
      <c r="AE344" s="121"/>
      <c r="AF344" s="121"/>
      <c r="AG344" s="121"/>
      <c r="AH344" s="121"/>
      <c r="AI344" s="121"/>
      <c r="AJ344" s="121"/>
      <c r="AK344" s="121"/>
    </row>
    <row r="345" spans="1:37" ht="18.600000000000001" customHeight="1">
      <c r="A345" s="25" t="s">
        <v>672</v>
      </c>
      <c r="B345" s="26" t="s">
        <v>160</v>
      </c>
      <c r="C345" s="126" t="s">
        <v>23</v>
      </c>
      <c r="D345" s="67">
        <f>(F345*Settings!$C$2)+(G345*Settings!$C$3)+(H345*Settings!$C$4)+(I345*Settings!$C$5)+(J345*Settings!$C$6)+(M345*Settings!$C$9)+(N345*Settings!$C$10)+(O345*Settings!$C$11)+(P345*Settings!$C$12)+(Q345*Settings!$C$13)+(T345*Settings!$C$16)+(K345*Settings!$C$7)+(L345*Settings!$C$8)+(R345*Settings!$C$14)+(S345*Settings!$C$15)</f>
        <v>-4.685159241106704</v>
      </c>
      <c r="E345" s="67"/>
      <c r="F345" s="121">
        <f>(VLOOKUP($A345,Hitters!$A1:$R401,4,FALSE)-AVERAGE(Rankings!M2:M651))/STDEV(Rankings!M2:M651)</f>
        <v>-1.3285713598189475</v>
      </c>
      <c r="G345" s="121">
        <f>(VLOOKUP($A345,Hitters!$A1:$R401,5,FALSE)-AVERAGE(Rankings!N2:N651))/STDEV(Rankings!N2:N651)</f>
        <v>-1.2494624922765802</v>
      </c>
      <c r="H345" s="121">
        <f>(VLOOKUP($A345,Hitters!$A1:$R401,6,FALSE)-AVERAGE(Rankings!O2:O651))/STDEV(Rankings!O2:O651)</f>
        <v>-0.77653781537624544</v>
      </c>
      <c r="I345" s="121">
        <f>(VLOOKUP($A345,Hitters!$A1:$R401,7,FALSE)-AVERAGE(Rankings!P2:P651))/STDEV(Rankings!P2:P651)</f>
        <v>-1.0331090882266871</v>
      </c>
      <c r="J345" s="121">
        <f>(VLOOKUP($A345,Hitters!$A1:$R401,8,FALSE)-AVERAGE(Rankings!Q2:Q651))/STDEV(Rankings!Q2:Q651)</f>
        <v>-7.8787728152880335E-2</v>
      </c>
      <c r="K345" s="121">
        <f>(VLOOKUP($A345,Hitters!$A1:$R401,9,FALSE)-AVERAGE(Rankings!R2:R651))/STDEV(Rankings!R2:R651)</f>
        <v>-1.547262117074311</v>
      </c>
      <c r="L345" s="121">
        <f>(VLOOKUP($A345,Hitters!$A1:$R401,10,FALSE)-AVERAGE(Rankings!S2:S651))/STDEV(Rankings!S2:S651)</f>
        <v>-1.2542793318946295</v>
      </c>
      <c r="M345" s="121">
        <f>(VLOOKUP($A345,Hitters!$A1:$R401,11,FALSE)-AVERAGE(Rankings!T2:T651))/STDEV(Rankings!T2:T651)</f>
        <v>-1.3741832287624507</v>
      </c>
      <c r="N345" s="121">
        <f>(VLOOKUP($A345,Hitters!$A1:$R401,12,FALSE)-AVERAGE(Rankings!U2:U651))/STDEV(Rankings!U2:U651)</f>
        <v>-1.3829088743204576</v>
      </c>
      <c r="O345" s="121">
        <f>(VLOOKUP($A345,Hitters!$A1:$R401,13,FALSE)-AVERAGE(Rankings!V2:V651))/STDEV(Rankings!V2:V651)</f>
        <v>0.4328494849240388</v>
      </c>
      <c r="P345" s="121">
        <f>(VLOOKUP($A345,Hitters!$A1:$R401,14,FALSE)-AVERAGE(Rankings!W2:W651))/STDEV(Rankings!W2:W651)</f>
        <v>-0.95509905063875922</v>
      </c>
      <c r="Q345" s="121">
        <f>(VLOOKUP($A345,Hitters!$A1:$R401,15,FALSE)-AVERAGE(Rankings!X2:X651))/STDEV(Rankings!X2:X651)</f>
        <v>-0.56306821049232159</v>
      </c>
      <c r="R345" s="121">
        <f>(VLOOKUP($A345,Hitters!$A1:$R401,16,FALSE)-AVERAGE(Rankings!Y2:Y651))/STDEV(Rankings!Y2:Y651)</f>
        <v>-0.54887478488470209</v>
      </c>
      <c r="S345" s="121">
        <f>(VLOOKUP($A345,Hitters!$A1:$R401,17,FALSE)-AVERAGE(Rankings!Z2:Z651))/STDEV(Rankings!Z2:Z651)</f>
        <v>-0.89186497456723424</v>
      </c>
      <c r="T345" s="121">
        <f>IFERROR((VLOOKUP($A345,Hitters!$A1:$R401,18,FALSE)-AVERAGE(Rankings!AA2:AA651))/STDEV(Rankings!AA2:AA651),0)</f>
        <v>0</v>
      </c>
      <c r="U345" s="67"/>
      <c r="V345" s="121"/>
      <c r="W345" s="121"/>
      <c r="X345" s="121"/>
      <c r="Y345" s="121"/>
      <c r="Z345" s="121"/>
      <c r="AA345" s="121"/>
      <c r="AB345" s="121"/>
      <c r="AC345" s="121"/>
      <c r="AD345" s="121"/>
      <c r="AE345" s="121"/>
      <c r="AF345" s="121"/>
      <c r="AG345" s="121"/>
      <c r="AH345" s="121"/>
      <c r="AI345" s="121"/>
      <c r="AJ345" s="121"/>
      <c r="AK345" s="121"/>
    </row>
    <row r="346" spans="1:37" ht="18.600000000000001" customHeight="1">
      <c r="A346" s="25" t="s">
        <v>667</v>
      </c>
      <c r="B346" s="26" t="s">
        <v>64</v>
      </c>
      <c r="C346" s="126" t="s">
        <v>23</v>
      </c>
      <c r="D346" s="67">
        <f>(F346*Settings!$C$2)+(G346*Settings!$C$3)+(H346*Settings!$C$4)+(I346*Settings!$C$5)+(J346*Settings!$C$6)+(M346*Settings!$C$9)+(N346*Settings!$C$10)+(O346*Settings!$C$11)+(P346*Settings!$C$12)+(Q346*Settings!$C$13)+(T346*Settings!$C$16)+(K346*Settings!$C$7)+(L346*Settings!$C$8)+(R346*Settings!$C$14)+(S346*Settings!$C$15)</f>
        <v>-4.5931017429464767</v>
      </c>
      <c r="E346" s="67"/>
      <c r="F346" s="121">
        <f>(VLOOKUP($A346,Hitters!$A1:$R401,4,FALSE)-AVERAGE(Rankings!M2:M651))/STDEV(Rankings!M2:M651)</f>
        <v>-1.482665460763656</v>
      </c>
      <c r="G346" s="121">
        <f>(VLOOKUP($A346,Hitters!$A1:$R401,5,FALSE)-AVERAGE(Rankings!N2:N651))/STDEV(Rankings!N2:N651)</f>
        <v>-1.366337863419455</v>
      </c>
      <c r="H346" s="121">
        <f>(VLOOKUP($A346,Hitters!$A1:$R401,6,FALSE)-AVERAGE(Rankings!O2:O651))/STDEV(Rankings!O2:O651)</f>
        <v>-1.5785235357157912</v>
      </c>
      <c r="I346" s="121">
        <f>(VLOOKUP($A346,Hitters!$A1:$R401,7,FALSE)-AVERAGE(Rankings!P2:P651))/STDEV(Rankings!P2:P651)</f>
        <v>-1.6435515068863904</v>
      </c>
      <c r="J346" s="121">
        <f>(VLOOKUP($A346,Hitters!$A1:$R401,8,FALSE)-AVERAGE(Rankings!Q2:Q651))/STDEV(Rankings!Q2:Q651)</f>
        <v>-5.8708554533739597E-2</v>
      </c>
      <c r="K346" s="121">
        <f>(VLOOKUP($A346,Hitters!$A1:$R401,9,FALSE)-AVERAGE(Rankings!R2:R651))/STDEV(Rankings!R2:R651)</f>
        <v>5.4019717608899245E-2</v>
      </c>
      <c r="L346" s="121">
        <f>(VLOOKUP($A346,Hitters!$A1:$R401,10,FALSE)-AVERAGE(Rankings!S2:S651))/STDEV(Rankings!S2:S651)</f>
        <v>-0.91564713534153896</v>
      </c>
      <c r="M346" s="121">
        <f>(VLOOKUP($A346,Hitters!$A1:$R401,11,FALSE)-AVERAGE(Rankings!T2:T651))/STDEV(Rankings!T2:T651)</f>
        <v>-1.3195901533416539</v>
      </c>
      <c r="N346" s="121">
        <f>(VLOOKUP($A346,Hitters!$A1:$R401,12,FALSE)-AVERAGE(Rankings!U2:U651))/STDEV(Rankings!U2:U651)</f>
        <v>-1.3531454066487794</v>
      </c>
      <c r="O346" s="121">
        <f>(VLOOKUP($A346,Hitters!$A1:$R401,13,FALSE)-AVERAGE(Rankings!V2:V651))/STDEV(Rankings!V2:V651)</f>
        <v>0.37753939747540144</v>
      </c>
      <c r="P346" s="121">
        <f>(VLOOKUP($A346,Hitters!$A1:$R401,14,FALSE)-AVERAGE(Rankings!W2:W651))/STDEV(Rankings!W2:W651)</f>
        <v>-1.4157728120426756</v>
      </c>
      <c r="Q346" s="121">
        <f>(VLOOKUP($A346,Hitters!$A1:$R401,15,FALSE)-AVERAGE(Rankings!X2:X651))/STDEV(Rankings!X2:X651)</f>
        <v>-1.4032426388609456</v>
      </c>
      <c r="R346" s="121">
        <f>(VLOOKUP($A346,Hitters!$A1:$R401,16,FALSE)-AVERAGE(Rankings!Y2:Y651))/STDEV(Rankings!Y2:Y651)</f>
        <v>-1.6585956501606789</v>
      </c>
      <c r="S346" s="121">
        <f>(VLOOKUP($A346,Hitters!$A1:$R401,17,FALSE)-AVERAGE(Rankings!Z2:Z651))/STDEV(Rankings!Z2:Z651)</f>
        <v>-1.5667191177243573</v>
      </c>
      <c r="T346" s="121">
        <f>IFERROR((VLOOKUP($A346,Hitters!$A1:$R401,18,FALSE)-AVERAGE(Rankings!AA2:AA651))/STDEV(Rankings!AA2:AA651),0)</f>
        <v>0</v>
      </c>
      <c r="U346" s="67"/>
      <c r="V346" s="121"/>
      <c r="W346" s="121"/>
      <c r="X346" s="121"/>
      <c r="Y346" s="121"/>
      <c r="Z346" s="121"/>
      <c r="AA346" s="121"/>
      <c r="AB346" s="121"/>
      <c r="AC346" s="121"/>
      <c r="AD346" s="121"/>
      <c r="AE346" s="121"/>
      <c r="AF346" s="121"/>
      <c r="AG346" s="121"/>
      <c r="AH346" s="121"/>
      <c r="AI346" s="121"/>
      <c r="AJ346" s="121"/>
      <c r="AK346" s="121"/>
    </row>
    <row r="347" spans="1:37" ht="18.600000000000001" customHeight="1">
      <c r="A347" s="25" t="s">
        <v>680</v>
      </c>
      <c r="B347" s="26" t="s">
        <v>225</v>
      </c>
      <c r="C347" s="126" t="s">
        <v>23</v>
      </c>
      <c r="D347" s="67">
        <f>(F347*Settings!$C$2)+(G347*Settings!$C$3)+(H347*Settings!$C$4)+(I347*Settings!$C$5)+(J347*Settings!$C$6)+(M347*Settings!$C$9)+(N347*Settings!$C$10)+(O347*Settings!$C$11)+(P347*Settings!$C$12)+(Q347*Settings!$C$13)+(T347*Settings!$C$16)+(K347*Settings!$C$7)+(L347*Settings!$C$8)+(R347*Settings!$C$14)+(S347*Settings!$C$15)</f>
        <v>-4.7566357700985922</v>
      </c>
      <c r="E347" s="67"/>
      <c r="F347" s="121">
        <f>(VLOOKUP($A347,Hitters!$A1:$R401,4,FALSE)-AVERAGE(Rankings!M2:M651))/STDEV(Rankings!M2:M651)</f>
        <v>-1.4591595809585303</v>
      </c>
      <c r="G347" s="121">
        <f>(VLOOKUP($A347,Hitters!$A1:$R401,5,FALSE)-AVERAGE(Rankings!N2:N651))/STDEV(Rankings!N2:N651)</f>
        <v>-1.1917837376865892</v>
      </c>
      <c r="H347" s="121">
        <f>(VLOOKUP($A347,Hitters!$A1:$R401,6,FALSE)-AVERAGE(Rankings!O2:O651))/STDEV(Rankings!O2:O651)</f>
        <v>-0.80995388705705906</v>
      </c>
      <c r="I347" s="121">
        <f>(VLOOKUP($A347,Hitters!$A1:$R401,7,FALSE)-AVERAGE(Rankings!P2:P651))/STDEV(Rankings!P2:P651)</f>
        <v>-1.2905431385200485</v>
      </c>
      <c r="J347" s="121">
        <f>(VLOOKUP($A347,Hitters!$A1:$R401,8,FALSE)-AVERAGE(Rankings!Q2:Q651))/STDEV(Rankings!Q2:Q651)</f>
        <v>-0.53558892798830893</v>
      </c>
      <c r="K347" s="121">
        <f>(VLOOKUP($A347,Hitters!$A1:$R401,9,FALSE)-AVERAGE(Rankings!R2:R651))/STDEV(Rankings!R2:R651)</f>
        <v>-0.92876607884658657</v>
      </c>
      <c r="L347" s="121">
        <f>(VLOOKUP($A347,Hitters!$A1:$R401,10,FALSE)-AVERAGE(Rankings!S2:S651))/STDEV(Rankings!S2:S651)</f>
        <v>-0.88684080299740498</v>
      </c>
      <c r="M347" s="121">
        <f>(VLOOKUP($A347,Hitters!$A1:$R401,11,FALSE)-AVERAGE(Rankings!T2:T651))/STDEV(Rankings!T2:T651)</f>
        <v>-1.4060291894245829</v>
      </c>
      <c r="N347" s="121">
        <f>(VLOOKUP($A347,Hitters!$A1:$R401,12,FALSE)-AVERAGE(Rankings!U2:U651))/STDEV(Rankings!U2:U651)</f>
        <v>-1.2128319161965802</v>
      </c>
      <c r="O347" s="121">
        <f>(VLOOKUP($A347,Hitters!$A1:$R401,13,FALSE)-AVERAGE(Rankings!V2:V651))/STDEV(Rankings!V2:V651)</f>
        <v>-0.50742200170275464</v>
      </c>
      <c r="P347" s="121">
        <f>(VLOOKUP($A347,Hitters!$A1:$R401,14,FALSE)-AVERAGE(Rankings!W2:W651))/STDEV(Rankings!W2:W651)</f>
        <v>-1.0869854903955229</v>
      </c>
      <c r="Q347" s="121">
        <f>(VLOOKUP($A347,Hitters!$A1:$R401,15,FALSE)-AVERAGE(Rankings!X2:X651))/STDEV(Rankings!X2:X651)</f>
        <v>-0.90810504070403053</v>
      </c>
      <c r="R347" s="121">
        <f>(VLOOKUP($A347,Hitters!$A1:$R401,16,FALSE)-AVERAGE(Rankings!Y2:Y651))/STDEV(Rankings!Y2:Y651)</f>
        <v>-0.12803476582586928</v>
      </c>
      <c r="S347" s="121">
        <f>(VLOOKUP($A347,Hitters!$A1:$R401,17,FALSE)-AVERAGE(Rankings!Z2:Z651))/STDEV(Rankings!Z2:Z651)</f>
        <v>-0.44130360903827398</v>
      </c>
      <c r="T347" s="121">
        <f>IFERROR((VLOOKUP($A347,Hitters!$A1:$R401,18,FALSE)-AVERAGE(Rankings!AA2:AA651))/STDEV(Rankings!AA2:AA651),0)</f>
        <v>0</v>
      </c>
      <c r="U347" s="67"/>
      <c r="V347" s="121"/>
      <c r="W347" s="121"/>
      <c r="X347" s="121"/>
      <c r="Y347" s="121"/>
      <c r="Z347" s="121"/>
      <c r="AA347" s="121"/>
      <c r="AB347" s="121"/>
      <c r="AC347" s="121"/>
      <c r="AD347" s="121"/>
      <c r="AE347" s="121"/>
      <c r="AF347" s="121"/>
      <c r="AG347" s="121"/>
      <c r="AH347" s="121"/>
      <c r="AI347" s="121"/>
      <c r="AJ347" s="121"/>
      <c r="AK347" s="121"/>
    </row>
    <row r="348" spans="1:37" ht="18.600000000000001" customHeight="1">
      <c r="A348" s="25" t="s">
        <v>676</v>
      </c>
      <c r="B348" s="26" t="s">
        <v>225</v>
      </c>
      <c r="C348" s="126" t="s">
        <v>23</v>
      </c>
      <c r="D348" s="67">
        <f>(F348*Settings!$C$2)+(G348*Settings!$C$3)+(H348*Settings!$C$4)+(I348*Settings!$C$5)+(J348*Settings!$C$6)+(M348*Settings!$C$9)+(N348*Settings!$C$10)+(O348*Settings!$C$11)+(P348*Settings!$C$12)+(Q348*Settings!$C$13)+(T348*Settings!$C$16)+(K348*Settings!$C$7)+(L348*Settings!$C$8)+(R348*Settings!$C$14)+(S348*Settings!$C$15)</f>
        <v>-4.7344212873730163</v>
      </c>
      <c r="E348" s="67"/>
      <c r="F348" s="121">
        <f>(VLOOKUP($A348,Hitters!$A1:$R401,4,FALSE)-AVERAGE(Rankings!M2:M651))/STDEV(Rankings!M2:M651)</f>
        <v>-1.8352536578405434</v>
      </c>
      <c r="G348" s="121">
        <f>(VLOOKUP($A348,Hitters!$A1:$R401,5,FALSE)-AVERAGE(Rankings!N2:N651))/STDEV(Rankings!N2:N651)</f>
        <v>-1.5211597836346895</v>
      </c>
      <c r="H348" s="121">
        <f>(VLOOKUP($A348,Hitters!$A1:$R401,6,FALSE)-AVERAGE(Rankings!O2:O651))/STDEV(Rankings!O2:O651)</f>
        <v>-1.2736018816283587</v>
      </c>
      <c r="I348" s="121">
        <f>(VLOOKUP($A348,Hitters!$A1:$R401,7,FALSE)-AVERAGE(Rankings!P2:P651))/STDEV(Rankings!P2:P651)</f>
        <v>-1.5464356675541648</v>
      </c>
      <c r="J348" s="121">
        <f>(VLOOKUP($A348,Hitters!$A1:$R401,8,FALSE)-AVERAGE(Rankings!Q2:Q651))/STDEV(Rankings!Q2:Q651)</f>
        <v>-0.42013367967825493</v>
      </c>
      <c r="K348" s="121">
        <f>(VLOOKUP($A348,Hitters!$A1:$R401,9,FALSE)-AVERAGE(Rankings!R2:R651))/STDEV(Rankings!R2:R651)</f>
        <v>2.6909725122451347E-2</v>
      </c>
      <c r="L348" s="121">
        <f>(VLOOKUP($A348,Hitters!$A1:$R401,10,FALSE)-AVERAGE(Rankings!S2:S651))/STDEV(Rankings!S2:S651)</f>
        <v>-0.29621670644024461</v>
      </c>
      <c r="M348" s="121">
        <f>(VLOOKUP($A348,Hitters!$A1:$R401,11,FALSE)-AVERAGE(Rankings!T2:T651))/STDEV(Rankings!T2:T651)</f>
        <v>-1.6298607986498492</v>
      </c>
      <c r="N348" s="121">
        <f>(VLOOKUP($A348,Hitters!$A1:$R401,12,FALSE)-AVERAGE(Rankings!U2:U651))/STDEV(Rankings!U2:U651)</f>
        <v>-1.5657416043036261</v>
      </c>
      <c r="O348" s="121">
        <f>(VLOOKUP($A348,Hitters!$A1:$R401,13,FALSE)-AVERAGE(Rankings!V2:V651))/STDEV(Rankings!V2:V651)</f>
        <v>-1.254108182259319</v>
      </c>
      <c r="P348" s="121">
        <f>(VLOOKUP($A348,Hitters!$A1:$R401,14,FALSE)-AVERAGE(Rankings!W2:W651))/STDEV(Rankings!W2:W651)</f>
        <v>-1.3711914802939091</v>
      </c>
      <c r="Q348" s="121">
        <f>(VLOOKUP($A348,Hitters!$A1:$R401,15,FALSE)-AVERAGE(Rankings!X2:X651))/STDEV(Rankings!X2:X651)</f>
        <v>-1.729760543157338</v>
      </c>
      <c r="R348" s="121">
        <f>(VLOOKUP($A348,Hitters!$A1:$R401,16,FALSE)-AVERAGE(Rankings!Y2:Y651))/STDEV(Rankings!Y2:Y651)</f>
        <v>-0.77417712341229772</v>
      </c>
      <c r="S348" s="121">
        <f>(VLOOKUP($A348,Hitters!$A1:$R401,17,FALSE)-AVERAGE(Rankings!Z2:Z651))/STDEV(Rankings!Z2:Z651)</f>
        <v>-0.67980221054104706</v>
      </c>
      <c r="T348" s="121">
        <f>IFERROR((VLOOKUP($A348,Hitters!$A1:$R401,18,FALSE)-AVERAGE(Rankings!AA2:AA651))/STDEV(Rankings!AA2:AA651),0)</f>
        <v>0</v>
      </c>
      <c r="U348" s="67"/>
      <c r="V348" s="121"/>
      <c r="W348" s="121"/>
      <c r="X348" s="121"/>
      <c r="Y348" s="121"/>
      <c r="Z348" s="121"/>
      <c r="AA348" s="121"/>
      <c r="AB348" s="121"/>
      <c r="AC348" s="121"/>
      <c r="AD348" s="121"/>
      <c r="AE348" s="121"/>
      <c r="AF348" s="121"/>
      <c r="AG348" s="121"/>
      <c r="AH348" s="121"/>
      <c r="AI348" s="121"/>
      <c r="AJ348" s="121"/>
      <c r="AK348" s="121"/>
    </row>
    <row r="349" spans="1:37" ht="18.600000000000001" customHeight="1">
      <c r="A349" s="25" t="s">
        <v>679</v>
      </c>
      <c r="B349" s="26" t="s">
        <v>72</v>
      </c>
      <c r="C349" s="126" t="s">
        <v>23</v>
      </c>
      <c r="D349" s="67">
        <f>(F349*Settings!$C$2)+(G349*Settings!$C$3)+(H349*Settings!$C$4)+(I349*Settings!$C$5)+(J349*Settings!$C$6)+(M349*Settings!$C$9)+(N349*Settings!$C$10)+(O349*Settings!$C$11)+(P349*Settings!$C$12)+(Q349*Settings!$C$13)+(T349*Settings!$C$16)+(K349*Settings!$C$7)+(L349*Settings!$C$8)+(R349*Settings!$C$14)+(S349*Settings!$C$15)</f>
        <v>-4.7563746646395515</v>
      </c>
      <c r="E349" s="67"/>
      <c r="F349" s="121">
        <f>(VLOOKUP($A349,Hitters!$A1:$R401,4,FALSE)-AVERAGE(Rankings!M2:M651))/STDEV(Rankings!M2:M651)</f>
        <v>-1.7490654318884153</v>
      </c>
      <c r="G349" s="121">
        <f>(VLOOKUP($A349,Hitters!$A1:$R401,5,FALSE)-AVERAGE(Rankings!N2:N651))/STDEV(Rankings!N2:N651)</f>
        <v>-1.4179451701578649</v>
      </c>
      <c r="H349" s="121">
        <f>(VLOOKUP($A349,Hitters!$A1:$R401,6,FALSE)-AVERAGE(Rankings!O2:O651))/STDEV(Rankings!O2:O651)</f>
        <v>-1.3153719712293777</v>
      </c>
      <c r="I349" s="121">
        <f>(VLOOKUP($A349,Hitters!$A1:$R401,7,FALSE)-AVERAGE(Rankings!P2:P651))/STDEV(Rankings!P2:P651)</f>
        <v>-1.54951871007265</v>
      </c>
      <c r="J349" s="121">
        <f>(VLOOKUP($A349,Hitters!$A1:$R401,8,FALSE)-AVERAGE(Rankings!Q2:Q651))/STDEV(Rankings!Q2:Q651)</f>
        <v>0.39307285189690455</v>
      </c>
      <c r="K349" s="121">
        <f>(VLOOKUP($A349,Hitters!$A1:$R401,9,FALSE)-AVERAGE(Rankings!R2:R651))/STDEV(Rankings!R2:R651)</f>
        <v>-0.86661166507656251</v>
      </c>
      <c r="L349" s="121">
        <f>(VLOOKUP($A349,Hitters!$A1:$R401,10,FALSE)-AVERAGE(Rankings!S2:S651))/STDEV(Rankings!S2:S651)</f>
        <v>-0.70786089562003252</v>
      </c>
      <c r="M349" s="121">
        <f>(VLOOKUP($A349,Hitters!$A1:$R401,11,FALSE)-AVERAGE(Rankings!T2:T651))/STDEV(Rankings!T2:T651)</f>
        <v>-1.6335003370112351</v>
      </c>
      <c r="N349" s="121">
        <f>(VLOOKUP($A349,Hitters!$A1:$R401,12,FALSE)-AVERAGE(Rankings!U2:U651))/STDEV(Rankings!U2:U651)</f>
        <v>-1.4254281138514269</v>
      </c>
      <c r="O349" s="121">
        <f>(VLOOKUP($A349,Hitters!$A1:$R401,13,FALSE)-AVERAGE(Rankings!V2:V651))/STDEV(Rankings!V2:V651)</f>
        <v>-0.673352264048656</v>
      </c>
      <c r="P349" s="121">
        <f>(VLOOKUP($A349,Hitters!$A1:$R401,14,FALSE)-AVERAGE(Rankings!W2:W651))/STDEV(Rankings!W2:W651)</f>
        <v>-1.226302152110418</v>
      </c>
      <c r="Q349" s="121">
        <f>(VLOOKUP($A349,Hitters!$A1:$R401,15,FALSE)-AVERAGE(Rankings!X2:X651))/STDEV(Rankings!X2:X651)</f>
        <v>-1.3749769098323046</v>
      </c>
      <c r="R349" s="121">
        <f>(VLOOKUP($A349,Hitters!$A1:$R401,16,FALSE)-AVERAGE(Rankings!Y2:Y651))/STDEV(Rankings!Y2:Y651)</f>
        <v>-1.1799107936550128</v>
      </c>
      <c r="S349" s="121">
        <f>(VLOOKUP($A349,Hitters!$A1:$R401,17,FALSE)-AVERAGE(Rankings!Z2:Z651))/STDEV(Rankings!Z2:Z651)</f>
        <v>-1.1367193038742522</v>
      </c>
      <c r="T349" s="121">
        <f>IFERROR((VLOOKUP($A349,Hitters!$A1:$R401,18,FALSE)-AVERAGE(Rankings!AA2:AA651))/STDEV(Rankings!AA2:AA651),0)</f>
        <v>0</v>
      </c>
      <c r="U349" s="67"/>
      <c r="V349" s="121"/>
      <c r="W349" s="121"/>
      <c r="X349" s="121"/>
      <c r="Y349" s="121"/>
      <c r="Z349" s="121"/>
      <c r="AA349" s="121"/>
      <c r="AB349" s="121"/>
      <c r="AC349" s="121"/>
      <c r="AD349" s="121"/>
      <c r="AE349" s="121"/>
      <c r="AF349" s="121"/>
      <c r="AG349" s="121"/>
      <c r="AH349" s="121"/>
      <c r="AI349" s="121"/>
      <c r="AJ349" s="121"/>
      <c r="AK349" s="121"/>
    </row>
    <row r="350" spans="1:37" ht="18.600000000000001" customHeight="1">
      <c r="A350" s="25" t="s">
        <v>686</v>
      </c>
      <c r="B350" s="26" t="s">
        <v>122</v>
      </c>
      <c r="C350" s="126" t="s">
        <v>23</v>
      </c>
      <c r="D350" s="67">
        <f>(F350*Settings!$C$2)+(G350*Settings!$C$3)+(H350*Settings!$C$4)+(I350*Settings!$C$5)+(J350*Settings!$C$6)+(M350*Settings!$C$9)+(N350*Settings!$C$10)+(O350*Settings!$C$11)+(P350*Settings!$C$12)+(Q350*Settings!$C$13)+(T350*Settings!$C$16)+(K350*Settings!$C$7)+(L350*Settings!$C$8)+(R350*Settings!$C$14)+(S350*Settings!$C$15)</f>
        <v>-5.0108506007984088</v>
      </c>
      <c r="E350" s="67"/>
      <c r="F350" s="121">
        <f>(VLOOKUP($A350,Hitters!$A1:$R401,4,FALSE)-AVERAGE(Rankings!M2:M651))/STDEV(Rankings!M2:M651)</f>
        <v>-1.8378654222633404</v>
      </c>
      <c r="G350" s="121">
        <f>(VLOOKUP($A350,Hitters!$A1:$R401,5,FALSE)-AVERAGE(Rankings!N2:N651))/STDEV(Rankings!N2:N651)</f>
        <v>-1.5682135044844163</v>
      </c>
      <c r="H350" s="121">
        <f>(VLOOKUP($A350,Hitters!$A1:$R401,6,FALSE)-AVERAGE(Rankings!O2:O651))/STDEV(Rankings!O2:O651)</f>
        <v>-1.2151237561869344</v>
      </c>
      <c r="I350" s="121">
        <f>(VLOOKUP($A350,Hitters!$A1:$R401,7,FALSE)-AVERAGE(Rankings!P2:P651))/STDEV(Rankings!P2:P651)</f>
        <v>-1.5233128486655396</v>
      </c>
      <c r="J350" s="121">
        <f>(VLOOKUP($A350,Hitters!$A1:$R401,8,FALSE)-AVERAGE(Rankings!Q2:Q651))/STDEV(Rankings!Q2:Q651)</f>
        <v>-0.83677653227540505</v>
      </c>
      <c r="K350" s="121">
        <f>(VLOOKUP($A350,Hitters!$A1:$R401,9,FALSE)-AVERAGE(Rankings!R2:R651))/STDEV(Rankings!R2:R651)</f>
        <v>0.13257604081388658</v>
      </c>
      <c r="L350" s="121">
        <f>(VLOOKUP($A350,Hitters!$A1:$R401,10,FALSE)-AVERAGE(Rankings!S2:S651))/STDEV(Rankings!S2:S651)</f>
        <v>9.7951561787574276E-2</v>
      </c>
      <c r="M350" s="121">
        <f>(VLOOKUP($A350,Hitters!$A1:$R401,11,FALSE)-AVERAGE(Rankings!T2:T651))/STDEV(Rankings!T2:T651)</f>
        <v>-1.6234916065174241</v>
      </c>
      <c r="N350" s="121">
        <f>(VLOOKUP($A350,Hitters!$A1:$R401,12,FALSE)-AVERAGE(Rankings!U2:U651))/STDEV(Rankings!U2:U651)</f>
        <v>-1.5784973761629169</v>
      </c>
      <c r="O350" s="121">
        <f>(VLOOKUP($A350,Hitters!$A1:$R401,13,FALSE)-AVERAGE(Rankings!V2:V651))/STDEV(Rankings!V2:V651)</f>
        <v>-0.72866235149728997</v>
      </c>
      <c r="P350" s="121">
        <f>(VLOOKUP($A350,Hitters!$A1:$R401,14,FALSE)-AVERAGE(Rankings!W2:W651))/STDEV(Rankings!W2:W651)</f>
        <v>-1.2764561503277803</v>
      </c>
      <c r="Q350" s="121">
        <f>(VLOOKUP($A350,Hitters!$A1:$R401,15,FALSE)-AVERAGE(Rankings!X2:X651))/STDEV(Rankings!X2:X651)</f>
        <v>-1.7395073462706621</v>
      </c>
      <c r="R350" s="121">
        <f>(VLOOKUP($A350,Hitters!$A1:$R401,16,FALSE)-AVERAGE(Rankings!Y2:Y651))/STDEV(Rankings!Y2:Y651)</f>
        <v>-0.32175088369538712</v>
      </c>
      <c r="S350" s="121">
        <f>(VLOOKUP($A350,Hitters!$A1:$R401,17,FALSE)-AVERAGE(Rankings!Z2:Z651))/STDEV(Rankings!Z2:Z651)</f>
        <v>-0.1957569097345091</v>
      </c>
      <c r="T350" s="121">
        <f>IFERROR((VLOOKUP($A350,Hitters!$A1:$R401,18,FALSE)-AVERAGE(Rankings!AA2:AA651))/STDEV(Rankings!AA2:AA651),0)</f>
        <v>0</v>
      </c>
      <c r="U350" s="67"/>
      <c r="V350" s="121"/>
      <c r="W350" s="121"/>
      <c r="X350" s="121"/>
      <c r="Y350" s="121"/>
      <c r="Z350" s="121"/>
      <c r="AA350" s="121"/>
      <c r="AB350" s="121"/>
      <c r="AC350" s="121"/>
      <c r="AD350" s="121"/>
      <c r="AE350" s="121"/>
      <c r="AF350" s="121"/>
      <c r="AG350" s="121"/>
      <c r="AH350" s="121"/>
      <c r="AI350" s="121"/>
      <c r="AJ350" s="121"/>
      <c r="AK350" s="121"/>
    </row>
    <row r="351" spans="1:37" ht="18.600000000000001" customHeight="1">
      <c r="A351" s="25" t="s">
        <v>693</v>
      </c>
      <c r="B351" s="26" t="s">
        <v>158</v>
      </c>
      <c r="C351" s="126" t="s">
        <v>23</v>
      </c>
      <c r="D351" s="67">
        <f>(F351*Settings!$C$2)+(G351*Settings!$C$3)+(H351*Settings!$C$4)+(I351*Settings!$C$5)+(J351*Settings!$C$6)+(M351*Settings!$C$9)+(N351*Settings!$C$10)+(O351*Settings!$C$11)+(P351*Settings!$C$12)+(Q351*Settings!$C$13)+(T351*Settings!$C$16)+(K351*Settings!$C$7)+(L351*Settings!$C$8)+(R351*Settings!$C$14)+(S351*Settings!$C$15)</f>
        <v>-5.2259398463765159</v>
      </c>
      <c r="E351" s="67"/>
      <c r="F351" s="121">
        <f>(VLOOKUP($A351,Hitters!$A1:$R401,4,FALSE)-AVERAGE(Rankings!M2:M651))/STDEV(Rankings!M2:M651)</f>
        <v>-1.3834184126975744</v>
      </c>
      <c r="G351" s="121">
        <f>(VLOOKUP($A351,Hitters!$A1:$R401,5,FALSE)-AVERAGE(Rankings!N2:N651))/STDEV(Rankings!N2:N651)</f>
        <v>-1.2707125597571041</v>
      </c>
      <c r="H351" s="121">
        <f>(VLOOKUP($A351,Hitters!$A1:$R401,6,FALSE)-AVERAGE(Rankings!O2:O651))/STDEV(Rankings!O2:O651)</f>
        <v>-0.98121125442123325</v>
      </c>
      <c r="I351" s="121">
        <f>(VLOOKUP($A351,Hitters!$A1:$R401,7,FALSE)-AVERAGE(Rankings!P2:P651))/STDEV(Rankings!P2:P651)</f>
        <v>-1.2412144582243132</v>
      </c>
      <c r="J351" s="121">
        <f>(VLOOKUP($A351,Hitters!$A1:$R401,8,FALSE)-AVERAGE(Rankings!Q2:Q651))/STDEV(Rankings!Q2:Q651)</f>
        <v>-0.83677653227540505</v>
      </c>
      <c r="K351" s="121">
        <f>(VLOOKUP($A351,Hitters!$A1:$R401,9,FALSE)-AVERAGE(Rankings!R2:R651))/STDEV(Rankings!R2:R651)</f>
        <v>-0.8960250416984592</v>
      </c>
      <c r="L351" s="121">
        <f>(VLOOKUP($A351,Hitters!$A1:$R401,10,FALSE)-AVERAGE(Rankings!S2:S651))/STDEV(Rankings!S2:S651)</f>
        <v>-0.26200394091863677</v>
      </c>
      <c r="M351" s="121">
        <f>(VLOOKUP($A351,Hitters!$A1:$R401,11,FALSE)-AVERAGE(Rankings!T2:T651))/STDEV(Rankings!T2:T651)</f>
        <v>-1.3414273835099726</v>
      </c>
      <c r="N351" s="121">
        <f>(VLOOKUP($A351,Hitters!$A1:$R401,12,FALSE)-AVERAGE(Rankings!U2:U651))/STDEV(Rankings!U2:U651)</f>
        <v>-1.0980299694629663</v>
      </c>
      <c r="O351" s="121">
        <f>(VLOOKUP($A351,Hitters!$A1:$R401,13,FALSE)-AVERAGE(Rankings!V2:V651))/STDEV(Rankings!V2:V651)</f>
        <v>-1.3094182697079535</v>
      </c>
      <c r="P351" s="121">
        <f>(VLOOKUP($A351,Hitters!$A1:$R401,14,FALSE)-AVERAGE(Rankings!W2:W651))/STDEV(Rankings!W2:W651)</f>
        <v>-0.78234639011228901</v>
      </c>
      <c r="Q351" s="121">
        <f>(VLOOKUP($A351,Hitters!$A1:$R401,15,FALSE)-AVERAGE(Rankings!X2:X651))/STDEV(Rankings!X2:X651)</f>
        <v>-0.53967588302034131</v>
      </c>
      <c r="R351" s="121">
        <f>(VLOOKUP($A351,Hitters!$A1:$R401,16,FALSE)-AVERAGE(Rankings!Y2:Y651))/STDEV(Rankings!Y2:Y651)</f>
        <v>-0.87290987126970565</v>
      </c>
      <c r="S351" s="121">
        <f>(VLOOKUP($A351,Hitters!$A1:$R401,17,FALSE)-AVERAGE(Rankings!Z2:Z651))/STDEV(Rankings!Z2:Z651)</f>
        <v>-0.73824130066658811</v>
      </c>
      <c r="T351" s="121">
        <f>IFERROR((VLOOKUP($A351,Hitters!$A1:$R401,18,FALSE)-AVERAGE(Rankings!AA2:AA651))/STDEV(Rankings!AA2:AA651),0)</f>
        <v>0</v>
      </c>
      <c r="U351" s="67"/>
      <c r="V351" s="121"/>
      <c r="W351" s="121"/>
      <c r="X351" s="121"/>
      <c r="Y351" s="121"/>
      <c r="Z351" s="121"/>
      <c r="AA351" s="121"/>
      <c r="AB351" s="121"/>
      <c r="AC351" s="121"/>
      <c r="AD351" s="121"/>
      <c r="AE351" s="121"/>
      <c r="AF351" s="121"/>
      <c r="AG351" s="121"/>
      <c r="AH351" s="121"/>
      <c r="AI351" s="121"/>
      <c r="AJ351" s="121"/>
      <c r="AK351" s="121"/>
    </row>
    <row r="352" spans="1:37" ht="18.600000000000001" customHeight="1">
      <c r="A352" s="25" t="s">
        <v>694</v>
      </c>
      <c r="B352" s="26" t="s">
        <v>105</v>
      </c>
      <c r="C352" s="126" t="s">
        <v>23</v>
      </c>
      <c r="D352" s="67">
        <f>(F352*Settings!$C$2)+(G352*Settings!$C$3)+(H352*Settings!$C$4)+(I352*Settings!$C$5)+(J352*Settings!$C$6)+(M352*Settings!$C$9)+(N352*Settings!$C$10)+(O352*Settings!$C$11)+(P352*Settings!$C$12)+(Q352*Settings!$C$13)+(T352*Settings!$C$16)+(K352*Settings!$C$7)+(L352*Settings!$C$8)+(R352*Settings!$C$14)+(S352*Settings!$C$15)</f>
        <v>-5.2436505333808139</v>
      </c>
      <c r="E352" s="67"/>
      <c r="F352" s="121">
        <f>(VLOOKUP($A352,Hitters!$A1:$R401,4,FALSE)-AVERAGE(Rankings!M2:M651))/STDEV(Rankings!M2:M651)</f>
        <v>-1.7203360232377112</v>
      </c>
      <c r="G352" s="121">
        <f>(VLOOKUP($A352,Hitters!$A1:$R401,5,FALSE)-AVERAGE(Rankings!N2:N651))/STDEV(Rankings!N2:N651)</f>
        <v>-1.4042844124918148</v>
      </c>
      <c r="H352" s="121">
        <f>(VLOOKUP($A352,Hitters!$A1:$R401,6,FALSE)-AVERAGE(Rankings!O2:O651))/STDEV(Rankings!O2:O651)</f>
        <v>-1.327902998109683</v>
      </c>
      <c r="I352" s="121">
        <f>(VLOOKUP($A352,Hitters!$A1:$R401,7,FALSE)-AVERAGE(Rankings!P2:P651))/STDEV(Rankings!P2:P651)</f>
        <v>-1.5865152202944501</v>
      </c>
      <c r="J352" s="121">
        <f>(VLOOKUP($A352,Hitters!$A1:$R401,8,FALSE)-AVERAGE(Rankings!Q2:Q651))/STDEV(Rankings!Q2:Q651)</f>
        <v>-0.16412421603422325</v>
      </c>
      <c r="K352" s="121">
        <f>(VLOOKUP($A352,Hitters!$A1:$R401,9,FALSE)-AVERAGE(Rankings!R2:R651))/STDEV(Rankings!R2:R651)</f>
        <v>-0.76082368645064191</v>
      </c>
      <c r="L352" s="121">
        <f>(VLOOKUP($A352,Hitters!$A1:$R401,10,FALSE)-AVERAGE(Rankings!S2:S651))/STDEV(Rankings!S2:S651)</f>
        <v>-1.3515891548997572</v>
      </c>
      <c r="M352" s="121">
        <f>(VLOOKUP($A352,Hitters!$A1:$R401,11,FALSE)-AVERAGE(Rankings!T2:T651))/STDEV(Rankings!T2:T651)</f>
        <v>-1.600744491758757</v>
      </c>
      <c r="N352" s="121">
        <f>(VLOOKUP($A352,Hitters!$A1:$R401,12,FALSE)-AVERAGE(Rankings!U2:U651))/STDEV(Rankings!U2:U651)</f>
        <v>-1.4509396575700084</v>
      </c>
      <c r="O352" s="121">
        <f>(VLOOKUP($A352,Hitters!$A1:$R401,13,FALSE)-AVERAGE(Rankings!V2:V651))/STDEV(Rankings!V2:V651)</f>
        <v>0.51581461609699075</v>
      </c>
      <c r="P352" s="121">
        <f>(VLOOKUP($A352,Hitters!$A1:$R401,14,FALSE)-AVERAGE(Rankings!W2:W651))/STDEV(Rankings!W2:W651)</f>
        <v>-1.4454936998751904</v>
      </c>
      <c r="Q352" s="121">
        <f>(VLOOKUP($A352,Hitters!$A1:$R401,15,FALSE)-AVERAGE(Rankings!X2:X651))/STDEV(Rankings!X2:X651)</f>
        <v>-1.2638633543403983</v>
      </c>
      <c r="R352" s="121">
        <f>(VLOOKUP($A352,Hitters!$A1:$R401,16,FALSE)-AVERAGE(Rankings!Y2:Y651))/STDEV(Rankings!Y2:Y651)</f>
        <v>-0.86670448368567898</v>
      </c>
      <c r="S352" s="121">
        <f>(VLOOKUP($A352,Hitters!$A1:$R401,17,FALSE)-AVERAGE(Rankings!Z2:Z651))/STDEV(Rankings!Z2:Z651)</f>
        <v>-1.1614123362772713</v>
      </c>
      <c r="T352" s="121">
        <f>IFERROR((VLOOKUP($A352,Hitters!$A1:$R401,18,FALSE)-AVERAGE(Rankings!AA2:AA651))/STDEV(Rankings!AA2:AA651),0)</f>
        <v>0</v>
      </c>
      <c r="U352" s="67"/>
      <c r="V352" s="121"/>
      <c r="W352" s="121"/>
      <c r="X352" s="121"/>
      <c r="Y352" s="121"/>
      <c r="Z352" s="121"/>
      <c r="AA352" s="121"/>
      <c r="AB352" s="121"/>
      <c r="AC352" s="121"/>
      <c r="AD352" s="121"/>
      <c r="AE352" s="121"/>
      <c r="AF352" s="121"/>
      <c r="AG352" s="121"/>
      <c r="AH352" s="121"/>
      <c r="AI352" s="121"/>
      <c r="AJ352" s="121"/>
      <c r="AK352" s="121"/>
    </row>
    <row r="353" spans="1:37" ht="18.600000000000001" customHeight="1">
      <c r="A353" s="25" t="s">
        <v>703</v>
      </c>
      <c r="B353" s="26" t="s">
        <v>178</v>
      </c>
      <c r="C353" s="126" t="s">
        <v>23</v>
      </c>
      <c r="D353" s="67">
        <f>(F353*Settings!$C$2)+(G353*Settings!$C$3)+(H353*Settings!$C$4)+(I353*Settings!$C$5)+(J353*Settings!$C$6)+(M353*Settings!$C$9)+(N353*Settings!$C$10)+(O353*Settings!$C$11)+(P353*Settings!$C$12)+(Q353*Settings!$C$13)+(T353*Settings!$C$16)+(K353*Settings!$C$7)+(L353*Settings!$C$8)+(R353*Settings!$C$14)+(S353*Settings!$C$15)</f>
        <v>-5.4569648161629702</v>
      </c>
      <c r="E353" s="67"/>
      <c r="F353" s="121">
        <f>(VLOOKUP($A353,Hitters!$A1:$R401,4,FALSE)-AVERAGE(Rankings!M2:M651))/STDEV(Rankings!M2:M651)</f>
        <v>-1.9005477684103425</v>
      </c>
      <c r="G353" s="121">
        <f>(VLOOKUP($A353,Hitters!$A1:$R401,5,FALSE)-AVERAGE(Rankings!N2:N651))/STDEV(Rankings!N2:N651)</f>
        <v>-1.5773206762617833</v>
      </c>
      <c r="H353" s="121">
        <f>(VLOOKUP($A353,Hitters!$A1:$R401,6,FALSE)-AVERAGE(Rankings!O2:O651))/STDEV(Rankings!O2:O651)</f>
        <v>-1.1065215232242871</v>
      </c>
      <c r="I353" s="121">
        <f>(VLOOKUP($A353,Hitters!$A1:$R401,7,FALSE)-AVERAGE(Rankings!P2:P651))/STDEV(Rankings!P2:P651)</f>
        <v>-1.4431537431849741</v>
      </c>
      <c r="J353" s="121">
        <f>(VLOOKUP($A353,Hitters!$A1:$R401,8,FALSE)-AVERAGE(Rankings!Q2:Q651))/STDEV(Rankings!Q2:Q651)</f>
        <v>-0.68116293672707262</v>
      </c>
      <c r="K353" s="121">
        <f>(VLOOKUP($A353,Hitters!$A1:$R401,9,FALSE)-AVERAGE(Rankings!R2:R651))/STDEV(Rankings!R2:R651)</f>
        <v>-0.64880593676485354</v>
      </c>
      <c r="L353" s="121">
        <f>(VLOOKUP($A353,Hitters!$A1:$R401,10,FALSE)-AVERAGE(Rankings!S2:S651))/STDEV(Rankings!S2:S651)</f>
        <v>-0.480777212385057</v>
      </c>
      <c r="M353" s="121">
        <f>(VLOOKUP($A353,Hitters!$A1:$R401,11,FALSE)-AVERAGE(Rankings!T2:T651))/STDEV(Rankings!T2:T651)</f>
        <v>-1.7390469494914427</v>
      </c>
      <c r="N353" s="121">
        <f>(VLOOKUP($A353,Hitters!$A1:$R401,12,FALSE)-AVERAGE(Rankings!U2:U651))/STDEV(Rankings!U2:U651)</f>
        <v>-1.5529858324443353</v>
      </c>
      <c r="O353" s="121">
        <f>(VLOOKUP($A353,Hitters!$A1:$R401,13,FALSE)-AVERAGE(Rankings!V2:V651))/STDEV(Rankings!V2:V651)</f>
        <v>-0.61804217660002114</v>
      </c>
      <c r="P353" s="121">
        <f>(VLOOKUP($A353,Hitters!$A1:$R401,14,FALSE)-AVERAGE(Rankings!W2:W651))/STDEV(Rankings!W2:W651)</f>
        <v>-1.3098921491393554</v>
      </c>
      <c r="Q353" s="121">
        <f>(VLOOKUP($A353,Hitters!$A1:$R401,15,FALSE)-AVERAGE(Rankings!X2:X651))/STDEV(Rankings!X2:X651)</f>
        <v>-1.4120147616629382</v>
      </c>
      <c r="R353" s="121">
        <f>(VLOOKUP($A353,Hitters!$A1:$R401,16,FALSE)-AVERAGE(Rankings!Y2:Y651))/STDEV(Rankings!Y2:Y651)</f>
        <v>1.249123682365773E-2</v>
      </c>
      <c r="S353" s="121">
        <f>(VLOOKUP($A353,Hitters!$A1:$R401,17,FALSE)-AVERAGE(Rankings!Z2:Z651))/STDEV(Rankings!Z2:Z651)</f>
        <v>-0.17962395931937619</v>
      </c>
      <c r="T353" s="121">
        <f>IFERROR((VLOOKUP($A353,Hitters!$A1:$R401,18,FALSE)-AVERAGE(Rankings!AA2:AA651))/STDEV(Rankings!AA2:AA651),0)</f>
        <v>0</v>
      </c>
      <c r="U353" s="67"/>
      <c r="V353" s="121"/>
      <c r="W353" s="121"/>
      <c r="X353" s="121"/>
      <c r="Y353" s="121"/>
      <c r="Z353" s="121"/>
      <c r="AA353" s="121"/>
      <c r="AB353" s="121"/>
      <c r="AC353" s="121"/>
      <c r="AD353" s="121"/>
      <c r="AE353" s="121"/>
      <c r="AF353" s="121"/>
      <c r="AG353" s="121"/>
      <c r="AH353" s="121"/>
      <c r="AI353" s="121"/>
      <c r="AJ353" s="121"/>
      <c r="AK353" s="121"/>
    </row>
    <row r="354" spans="1:37" ht="18.600000000000001" customHeight="1">
      <c r="A354" s="25" t="s">
        <v>710</v>
      </c>
      <c r="B354" s="26" t="s">
        <v>74</v>
      </c>
      <c r="C354" s="126" t="s">
        <v>23</v>
      </c>
      <c r="D354" s="67">
        <f>(F354*Settings!$C$2)+(G354*Settings!$C$3)+(H354*Settings!$C$4)+(I354*Settings!$C$5)+(J354*Settings!$C$6)+(M354*Settings!$C$9)+(N354*Settings!$C$10)+(O354*Settings!$C$11)+(P354*Settings!$C$12)+(Q354*Settings!$C$13)+(T354*Settings!$C$16)+(K354*Settings!$C$7)+(L354*Settings!$C$8)+(R354*Settings!$C$14)+(S354*Settings!$C$15)</f>
        <v>-5.7940175276223513</v>
      </c>
      <c r="E354" s="67"/>
      <c r="F354" s="121">
        <f>(VLOOKUP($A354,Hitters!$A1:$R401,4,FALSE)-AVERAGE(Rankings!M2:M651))/STDEV(Rankings!M2:M651)</f>
        <v>-1.6393713261311615</v>
      </c>
      <c r="G354" s="121">
        <f>(VLOOKUP($A354,Hitters!$A1:$R401,5,FALSE)-AVERAGE(Rankings!N2:N651))/STDEV(Rankings!N2:N651)</f>
        <v>-1.3177662806068307</v>
      </c>
      <c r="H354" s="121">
        <f>(VLOOKUP($A354,Hitters!$A1:$R401,6,FALSE)-AVERAGE(Rankings!O2:O651))/STDEV(Rankings!O2:O651)</f>
        <v>-0.67628960033380214</v>
      </c>
      <c r="I354" s="121">
        <f>(VLOOKUP($A354,Hitters!$A1:$R401,7,FALSE)-AVERAGE(Rankings!P2:P651))/STDEV(Rankings!P2:P651)</f>
        <v>-1.2134670755579633</v>
      </c>
      <c r="J354" s="121">
        <f>(VLOOKUP($A354,Hitters!$A1:$R401,8,FALSE)-AVERAGE(Rankings!Q2:Q651))/STDEV(Rankings!Q2:Q651)</f>
        <v>-0.54060872139309335</v>
      </c>
      <c r="K354" s="121">
        <f>(VLOOKUP($A354,Hitters!$A1:$R401,9,FALSE)-AVERAGE(Rankings!R2:R651))/STDEV(Rankings!R2:R651)</f>
        <v>-2.0458858497306616</v>
      </c>
      <c r="L354" s="121">
        <f>(VLOOKUP($A354,Hitters!$A1:$R401,10,FALSE)-AVERAGE(Rankings!S2:S651))/STDEV(Rankings!S2:S651)</f>
        <v>-0.63949037054289937</v>
      </c>
      <c r="M354" s="121">
        <f>(VLOOKUP($A354,Hitters!$A1:$R401,11,FALSE)-AVERAGE(Rankings!T2:T651))/STDEV(Rankings!T2:T651)</f>
        <v>-1.6580672209505936</v>
      </c>
      <c r="N354" s="121">
        <f>(VLOOKUP($A354,Hitters!$A1:$R401,12,FALSE)-AVERAGE(Rankings!U2:U651))/STDEV(Rankings!U2:U651)</f>
        <v>-1.5317262126788511</v>
      </c>
      <c r="O354" s="121">
        <f>(VLOOKUP($A354,Hitters!$A1:$R401,13,FALSE)-AVERAGE(Rankings!V2:V651))/STDEV(Rankings!V2:V651)</f>
        <v>-1.281763225983636</v>
      </c>
      <c r="P354" s="121">
        <f>(VLOOKUP($A354,Hitters!$A1:$R401,14,FALSE)-AVERAGE(Rankings!W2:W651))/STDEV(Rankings!W2:W651)</f>
        <v>-0.80092194500760661</v>
      </c>
      <c r="Q354" s="121">
        <f>(VLOOKUP($A354,Hitters!$A1:$R401,15,FALSE)-AVERAGE(Rankings!X2:X651))/STDEV(Rankings!X2:X651)</f>
        <v>-1.2385216662457519</v>
      </c>
      <c r="R354" s="121">
        <f>(VLOOKUP($A354,Hitters!$A1:$R401,16,FALSE)-AVERAGE(Rankings!Y2:Y651))/STDEV(Rankings!Y2:Y651)</f>
        <v>-0.25604386863437695</v>
      </c>
      <c r="S354" s="121">
        <f>(VLOOKUP($A354,Hitters!$A1:$R401,17,FALSE)-AVERAGE(Rankings!Z2:Z651))/STDEV(Rankings!Z2:Z651)</f>
        <v>-0.43739162812370735</v>
      </c>
      <c r="T354" s="121">
        <f>IFERROR((VLOOKUP($A354,Hitters!$A1:$R401,18,FALSE)-AVERAGE(Rankings!AA2:AA651))/STDEV(Rankings!AA2:AA651),0)</f>
        <v>0</v>
      </c>
      <c r="U354" s="67"/>
      <c r="V354" s="121"/>
      <c r="W354" s="121"/>
      <c r="X354" s="121"/>
      <c r="Y354" s="121"/>
      <c r="Z354" s="121"/>
      <c r="AA354" s="121"/>
      <c r="AB354" s="121"/>
      <c r="AC354" s="121"/>
      <c r="AD354" s="121"/>
      <c r="AE354" s="121"/>
      <c r="AF354" s="121"/>
      <c r="AG354" s="121"/>
      <c r="AH354" s="121"/>
      <c r="AI354" s="121"/>
      <c r="AJ354" s="121"/>
      <c r="AK354" s="121"/>
    </row>
    <row r="355" spans="1:37" ht="18.600000000000001" customHeight="1">
      <c r="A355" s="25" t="s">
        <v>726</v>
      </c>
      <c r="B355" s="26" t="s">
        <v>142</v>
      </c>
      <c r="C355" s="126" t="s">
        <v>23</v>
      </c>
      <c r="D355" s="67">
        <f>(F355*Settings!$C$2)+(G355*Settings!$C$3)+(H355*Settings!$C$4)+(I355*Settings!$C$5)+(J355*Settings!$C$6)+(M355*Settings!$C$9)+(N355*Settings!$C$10)+(O355*Settings!$C$11)+(P355*Settings!$C$12)+(Q355*Settings!$C$13)+(T355*Settings!$C$16)+(K355*Settings!$C$7)+(L355*Settings!$C$8)+(R355*Settings!$C$14)+(S355*Settings!$C$15)</f>
        <v>-6.6186662689508466</v>
      </c>
      <c r="E355" s="67"/>
      <c r="F355" s="121">
        <f>(VLOOKUP($A355,Hitters!$A1:$R401,4,FALSE)-AVERAGE(Rankings!M2:M651))/STDEV(Rankings!M2:M651)</f>
        <v>-1.344241946355698</v>
      </c>
      <c r="G355" s="121">
        <f>(VLOOKUP($A355,Hitters!$A1:$R401,5,FALSE)-AVERAGE(Rankings!N2:N651))/STDEV(Rankings!N2:N651)</f>
        <v>-1.4513381333415416</v>
      </c>
      <c r="H355" s="121">
        <f>(VLOOKUP($A355,Hitters!$A1:$R401,6,FALSE)-AVERAGE(Rankings!O2:O651))/STDEV(Rankings!O2:O651)</f>
        <v>-1.1900617024263238</v>
      </c>
      <c r="I355" s="121">
        <f>(VLOOKUP($A355,Hitters!$A1:$R401,7,FALSE)-AVERAGE(Rankings!P2:P651))/STDEV(Rankings!P2:P651)</f>
        <v>-1.423113966814834</v>
      </c>
      <c r="J355" s="121">
        <f>(VLOOKUP($A355,Hitters!$A1:$R401,8,FALSE)-AVERAGE(Rankings!Q2:Q651))/STDEV(Rankings!Q2:Q651)</f>
        <v>-0.52554934117873864</v>
      </c>
      <c r="K355" s="121">
        <f>(VLOOKUP($A355,Hitters!$A1:$R401,9,FALSE)-AVERAGE(Rankings!R2:R651))/STDEV(Rankings!R2:R651)</f>
        <v>-2.028603125189409</v>
      </c>
      <c r="L355" s="121">
        <f>(VLOOKUP($A355,Hitters!$A1:$R401,10,FALSE)-AVERAGE(Rankings!S2:S651))/STDEV(Rankings!S2:S651)</f>
        <v>-2.4041424939628477</v>
      </c>
      <c r="M355" s="121">
        <f>(VLOOKUP($A355,Hitters!$A1:$R401,11,FALSE)-AVERAGE(Rankings!T2:T651))/STDEV(Rankings!T2:T651)</f>
        <v>-1.4424245730384464</v>
      </c>
      <c r="N355" s="121">
        <f>(VLOOKUP($A355,Hitters!$A1:$R401,12,FALSE)-AVERAGE(Rankings!U2:U651))/STDEV(Rankings!U2:U651)</f>
        <v>-1.3403896347894886</v>
      </c>
      <c r="O355" s="121">
        <f>(VLOOKUP($A355,Hitters!$A1:$R401,13,FALSE)-AVERAGE(Rankings!V2:V651))/STDEV(Rankings!V2:V651)</f>
        <v>-0.42445687052980291</v>
      </c>
      <c r="P355" s="121">
        <f>(VLOOKUP($A355,Hitters!$A1:$R401,14,FALSE)-AVERAGE(Rankings!W2:W651))/STDEV(Rankings!W2:W651)</f>
        <v>-1.2838863722859117</v>
      </c>
      <c r="Q355" s="121">
        <f>(VLOOKUP($A355,Hitters!$A1:$R401,15,FALSE)-AVERAGE(Rankings!X2:X651))/STDEV(Rankings!X2:X651)</f>
        <v>-0.97048458062931031</v>
      </c>
      <c r="R355" s="121">
        <f>(VLOOKUP($A355,Hitters!$A1:$R401,16,FALSE)-AVERAGE(Rankings!Y2:Y651))/STDEV(Rankings!Y2:Y651)</f>
        <v>-1.9913735655648965</v>
      </c>
      <c r="S355" s="121">
        <f>(VLOOKUP($A355,Hitters!$A1:$R401,17,FALSE)-AVERAGE(Rankings!Z2:Z651))/STDEV(Rankings!Z2:Z651)</f>
        <v>-2.3932206702468535</v>
      </c>
      <c r="T355" s="121">
        <f>IFERROR((VLOOKUP($A355,Hitters!$A1:$R401,18,FALSE)-AVERAGE(Rankings!AA2:AA651))/STDEV(Rankings!AA2:AA651),0)</f>
        <v>0</v>
      </c>
      <c r="U355" s="67"/>
      <c r="V355" s="121"/>
      <c r="W355" s="121"/>
      <c r="X355" s="121"/>
      <c r="Y355" s="121"/>
      <c r="Z355" s="121"/>
      <c r="AA355" s="121"/>
      <c r="AB355" s="121"/>
      <c r="AC355" s="121"/>
      <c r="AD355" s="121"/>
      <c r="AE355" s="121"/>
      <c r="AF355" s="121"/>
      <c r="AG355" s="121"/>
      <c r="AH355" s="121"/>
      <c r="AI355" s="121"/>
      <c r="AJ355" s="121"/>
      <c r="AK355" s="121"/>
    </row>
    <row r="356" spans="1:37" ht="18.600000000000001" customHeight="1">
      <c r="A356" s="25" t="s">
        <v>730</v>
      </c>
      <c r="B356" s="26" t="s">
        <v>139</v>
      </c>
      <c r="C356" s="126" t="s">
        <v>23</v>
      </c>
      <c r="D356" s="67">
        <f>(F356*Settings!$C$2)+(G356*Settings!$C$3)+(H356*Settings!$C$4)+(I356*Settings!$C$5)+(J356*Settings!$C$6)+(M356*Settings!$C$9)+(N356*Settings!$C$10)+(O356*Settings!$C$11)+(P356*Settings!$C$12)+(Q356*Settings!$C$13)+(T356*Settings!$C$16)+(K356*Settings!$C$7)+(L356*Settings!$C$8)+(R356*Settings!$C$14)+(S356*Settings!$C$15)</f>
        <v>-7.0400794127366355</v>
      </c>
      <c r="E356" s="67"/>
      <c r="F356" s="121">
        <f>(VLOOKUP($A356,Hitters!$A1:$R401,4,FALSE)-AVERAGE(Rankings!M2:M651))/STDEV(Rankings!M2:M651)</f>
        <v>-2.0807595135829735</v>
      </c>
      <c r="G356" s="121">
        <f>(VLOOKUP($A356,Hitters!$A1:$R401,5,FALSE)-AVERAGE(Rankings!N2:N651))/STDEV(Rankings!N2:N651)</f>
        <v>-1.7336604584399107</v>
      </c>
      <c r="H356" s="121">
        <f>(VLOOKUP($A356,Hitters!$A1:$R401,6,FALSE)-AVERAGE(Rankings!O2:O651))/STDEV(Rankings!O2:O651)</f>
        <v>-1.5492844729950777</v>
      </c>
      <c r="I356" s="121">
        <f>(VLOOKUP($A356,Hitters!$A1:$R401,7,FALSE)-AVERAGE(Rankings!P2:P651))/STDEV(Rankings!P2:P651)</f>
        <v>-1.8269925367361515</v>
      </c>
      <c r="J356" s="121">
        <f>(VLOOKUP($A356,Hitters!$A1:$R401,8,FALSE)-AVERAGE(Rankings!Q2:Q651))/STDEV(Rankings!Q2:Q651)</f>
        <v>-0.67614314332228664</v>
      </c>
      <c r="K356" s="121">
        <f>(VLOOKUP($A356,Hitters!$A1:$R401,9,FALSE)-AVERAGE(Rankings!R2:R651))/STDEV(Rankings!R2:R651)</f>
        <v>-1.2539988012432091</v>
      </c>
      <c r="L356" s="121">
        <f>(VLOOKUP($A356,Hitters!$A1:$R401,10,FALSE)-AVERAGE(Rankings!S2:S651))/STDEV(Rankings!S2:S651)</f>
        <v>-0.96160703556514882</v>
      </c>
      <c r="M356" s="121">
        <f>(VLOOKUP($A356,Hitters!$A1:$R401,11,FALSE)-AVERAGE(Rankings!T2:T651))/STDEV(Rankings!T2:T651)</f>
        <v>-1.9264831751028457</v>
      </c>
      <c r="N356" s="121">
        <f>(VLOOKUP($A356,Hitters!$A1:$R401,12,FALSE)-AVERAGE(Rankings!U2:U651))/STDEV(Rankings!U2:U651)</f>
        <v>-1.8463685852080245</v>
      </c>
      <c r="O356" s="121">
        <f>(VLOOKUP($A356,Hitters!$A1:$R401,13,FALSE)-AVERAGE(Rankings!V2:V651))/STDEV(Rankings!V2:V651)</f>
        <v>-0.673352264048656</v>
      </c>
      <c r="P356" s="121">
        <f>(VLOOKUP($A356,Hitters!$A1:$R401,14,FALSE)-AVERAGE(Rankings!W2:W651))/STDEV(Rankings!W2:W651)</f>
        <v>-1.4343483669379986</v>
      </c>
      <c r="Q356" s="121">
        <f>(VLOOKUP($A356,Hitters!$A1:$R401,15,FALSE)-AVERAGE(Rankings!X2:X651))/STDEV(Rankings!X2:X651)</f>
        <v>-1.9422408510278264</v>
      </c>
      <c r="R356" s="121">
        <f>(VLOOKUP($A356,Hitters!$A1:$R401,16,FALSE)-AVERAGE(Rankings!Y2:Y651))/STDEV(Rankings!Y2:Y651)</f>
        <v>-2.0130453826410566</v>
      </c>
      <c r="S356" s="121">
        <f>(VLOOKUP($A356,Hitters!$A1:$R401,17,FALSE)-AVERAGE(Rankings!Z2:Z651))/STDEV(Rankings!Z2:Z651)</f>
        <v>-1.8427664544487783</v>
      </c>
      <c r="T356" s="121">
        <f>IFERROR((VLOOKUP($A356,Hitters!$A1:$R401,18,FALSE)-AVERAGE(Rankings!AA2:AA651))/STDEV(Rankings!AA2:AA651),0)</f>
        <v>0</v>
      </c>
      <c r="U356" s="67"/>
      <c r="V356" s="121"/>
      <c r="W356" s="121"/>
      <c r="X356" s="121"/>
      <c r="Y356" s="121"/>
      <c r="Z356" s="121"/>
      <c r="AA356" s="121"/>
      <c r="AB356" s="121"/>
      <c r="AC356" s="121"/>
      <c r="AD356" s="121"/>
      <c r="AE356" s="121"/>
      <c r="AF356" s="121"/>
      <c r="AG356" s="121"/>
      <c r="AH356" s="121"/>
      <c r="AI356" s="121"/>
      <c r="AJ356" s="121"/>
      <c r="AK356" s="121"/>
    </row>
    <row r="357" spans="1:37" ht="18.600000000000001" customHeight="1">
      <c r="A357" s="25" t="s">
        <v>735</v>
      </c>
      <c r="B357" s="26" t="s">
        <v>136</v>
      </c>
      <c r="C357" s="126" t="s">
        <v>23</v>
      </c>
      <c r="D357" s="67">
        <f>(F357*Settings!$C$2)+(G357*Settings!$C$3)+(H357*Settings!$C$4)+(I357*Settings!$C$5)+(J357*Settings!$C$6)+(M357*Settings!$C$9)+(N357*Settings!$C$10)+(O357*Settings!$C$11)+(P357*Settings!$C$12)+(Q357*Settings!$C$13)+(T357*Settings!$C$16)+(K357*Settings!$C$7)+(L357*Settings!$C$8)+(R357*Settings!$C$14)+(S357*Settings!$C$15)</f>
        <v>-7.5563457505067397</v>
      </c>
      <c r="E357" s="67"/>
      <c r="F357" s="121">
        <f>(VLOOKUP($A357,Hitters!$A1:$R401,4,FALSE)-AVERAGE(Rankings!M2:M651))/STDEV(Rankings!M2:M651)</f>
        <v>-1.7360066097744618</v>
      </c>
      <c r="G357" s="121">
        <f>(VLOOKUP($A357,Hitters!$A1:$R401,5,FALSE)-AVERAGE(Rankings!N2:N651))/STDEV(Rankings!N2:N651)</f>
        <v>-1.5226776455975826</v>
      </c>
      <c r="H357" s="121">
        <f>(VLOOKUP($A357,Hitters!$A1:$R401,6,FALSE)-AVERAGE(Rankings!O2:O651))/STDEV(Rankings!O2:O651)</f>
        <v>-1.1106985321843887</v>
      </c>
      <c r="I357" s="121">
        <f>(VLOOKUP($A357,Hitters!$A1:$R401,7,FALSE)-AVERAGE(Rankings!P2:P651))/STDEV(Rankings!P2:P651)</f>
        <v>-1.5356450187394748</v>
      </c>
      <c r="J357" s="121">
        <f>(VLOOKUP($A357,Hitters!$A1:$R401,8,FALSE)-AVERAGE(Rankings!Q2:Q651))/STDEV(Rankings!Q2:Q651)</f>
        <v>-0.6661035565127178</v>
      </c>
      <c r="K357" s="121">
        <f>(VLOOKUP($A357,Hitters!$A1:$R401,9,FALSE)-AVERAGE(Rankings!R2:R651))/STDEV(Rankings!R2:R651)</f>
        <v>-2.7212209974725758</v>
      </c>
      <c r="L357" s="121">
        <f>(VLOOKUP($A357,Hitters!$A1:$R401,10,FALSE)-AVERAGE(Rankings!S2:S651))/STDEV(Rankings!S2:S651)</f>
        <v>-0.95107632844056889</v>
      </c>
      <c r="M357" s="121">
        <f>(VLOOKUP($A357,Hitters!$A1:$R401,11,FALSE)-AVERAGE(Rankings!T2:T651))/STDEV(Rankings!T2:T651)</f>
        <v>-1.7881807173701598</v>
      </c>
      <c r="N357" s="121">
        <f>(VLOOKUP($A357,Hitters!$A1:$R401,12,FALSE)-AVERAGE(Rankings!U2:U651))/STDEV(Rankings!U2:U651)</f>
        <v>-1.6125127677876929</v>
      </c>
      <c r="O357" s="121">
        <f>(VLOOKUP($A357,Hitters!$A1:$R401,13,FALSE)-AVERAGE(Rankings!V2:V651))/STDEV(Rankings!V2:V651)</f>
        <v>-0.56273208915138628</v>
      </c>
      <c r="P357" s="121">
        <f>(VLOOKUP($A357,Hitters!$A1:$R401,14,FALSE)-AVERAGE(Rankings!W2:W651))/STDEV(Rankings!W2:W651)</f>
        <v>-0.82321261088198994</v>
      </c>
      <c r="Q357" s="121">
        <f>(VLOOKUP($A357,Hitters!$A1:$R401,15,FALSE)-AVERAGE(Rankings!X2:X651))/STDEV(Rankings!X2:X651)</f>
        <v>-1.2580152724724032</v>
      </c>
      <c r="R357" s="121">
        <f>(VLOOKUP($A357,Hitters!$A1:$R401,16,FALSE)-AVERAGE(Rankings!Y2:Y651))/STDEV(Rankings!Y2:Y651)</f>
        <v>-1.5450663951274515</v>
      </c>
      <c r="S357" s="121">
        <f>(VLOOKUP($A357,Hitters!$A1:$R401,17,FALSE)-AVERAGE(Rankings!Z2:Z651))/STDEV(Rankings!Z2:Z651)</f>
        <v>-1.4979870002587465</v>
      </c>
      <c r="T357" s="121">
        <f>IFERROR((VLOOKUP($A357,Hitters!$A1:$R401,18,FALSE)-AVERAGE(Rankings!AA2:AA651))/STDEV(Rankings!AA2:AA651),0)</f>
        <v>0</v>
      </c>
      <c r="U357" s="67"/>
      <c r="V357" s="121"/>
      <c r="W357" s="121"/>
      <c r="X357" s="121"/>
      <c r="Y357" s="121"/>
      <c r="Z357" s="121"/>
      <c r="AA357" s="121"/>
      <c r="AB357" s="121"/>
      <c r="AC357" s="121"/>
      <c r="AD357" s="121"/>
      <c r="AE357" s="121"/>
      <c r="AF357" s="121"/>
      <c r="AG357" s="121"/>
      <c r="AH357" s="121"/>
      <c r="AI357" s="121"/>
      <c r="AJ357" s="121"/>
      <c r="AK357" s="121"/>
    </row>
    <row r="358" spans="1:37" ht="18.600000000000001" customHeight="1">
      <c r="A358" s="25" t="s">
        <v>91</v>
      </c>
      <c r="B358" s="26" t="s">
        <v>92</v>
      </c>
      <c r="C358" s="127" t="s">
        <v>27</v>
      </c>
      <c r="D358" s="67">
        <f>(F358*Settings!$C$2)+(G358*Settings!$C$3)+(H358*Settings!$C$4)+(I358*Settings!$C$5)+(J358*Settings!$C$6)+(M358*Settings!$C$9)+(N358*Settings!$C$10)+(O358*Settings!$C$11)+(P358*Settings!$C$12)+(Q358*Settings!$C$13)+(T358*Settings!$C$16)+(K358*Settings!$C$7)+(L358*Settings!$C$8)+(R358*Settings!$C$14)+(S358*Settings!$C$15)</f>
        <v>10.070431365491604</v>
      </c>
      <c r="E358" s="67"/>
      <c r="F358" s="121">
        <f>(VLOOKUP($A358,Hitters!$A1:$R401,4,FALSE)-AVERAGE(Rankings!M2:M651))/STDEV(Rankings!M2:M651)</f>
        <v>1.7715930100348722</v>
      </c>
      <c r="G358" s="121">
        <f>(VLOOKUP($A358,Hitters!$A1:$R401,5,FALSE)-AVERAGE(Rankings!N2:N651))/STDEV(Rankings!N2:N651)</f>
        <v>2.1338518230151666</v>
      </c>
      <c r="H358" s="121">
        <f>(VLOOKUP($A358,Hitters!$A1:$R401,6,FALSE)-AVERAGE(Rankings!O2:O651))/STDEV(Rankings!O2:O651)</f>
        <v>0.96527492098620149</v>
      </c>
      <c r="I358" s="121">
        <f>(VLOOKUP($A358,Hitters!$A1:$R401,7,FALSE)-AVERAGE(Rankings!P2:P651))/STDEV(Rankings!P2:P651)</f>
        <v>1.3778301612272907</v>
      </c>
      <c r="J358" s="121">
        <f>(VLOOKUP($A358,Hitters!$A1:$R401,8,FALSE)-AVERAGE(Rankings!Q2:Q651))/STDEV(Rankings!Q2:Q651)</f>
        <v>3.2091769519812576</v>
      </c>
      <c r="K358" s="121">
        <f>(VLOOKUP($A358,Hitters!$A1:$R401,9,FALSE)-AVERAGE(Rankings!R2:R651))/STDEV(Rankings!R2:R651)</f>
        <v>2.384297508281688</v>
      </c>
      <c r="L358" s="121">
        <f>(VLOOKUP($A358,Hitters!$A1:$R401,10,FALSE)-AVERAGE(Rankings!S2:S651))/STDEV(Rankings!S2:S651)</f>
        <v>1.3446743027746251</v>
      </c>
      <c r="M358" s="121">
        <f>(VLOOKUP($A358,Hitters!$A1:$R401,11,FALSE)-AVERAGE(Rankings!T2:T651))/STDEV(Rankings!T2:T651)</f>
        <v>2.3144889005027127</v>
      </c>
      <c r="N358" s="121">
        <f>(VLOOKUP($A358,Hitters!$A1:$R401,12,FALSE)-AVERAGE(Rankings!U2:U651))/STDEV(Rankings!U2:U651)</f>
        <v>1.959103352813744</v>
      </c>
      <c r="O358" s="121">
        <f>(VLOOKUP($A358,Hitters!$A1:$R401,13,FALSE)-AVERAGE(Rankings!V2:V651))/STDEV(Rankings!V2:V651)</f>
        <v>2.0368420209344382</v>
      </c>
      <c r="P358" s="121">
        <f>(VLOOKUP($A358,Hitters!$A1:$R401,14,FALSE)-AVERAGE(Rankings!W2:W651))/STDEV(Rankings!W2:W651)</f>
        <v>0.45292801042645014</v>
      </c>
      <c r="Q358" s="121">
        <f>(VLOOKUP($A358,Hitters!$A1:$R401,15,FALSE)-AVERAGE(Rankings!X2:X651))/STDEV(Rankings!X2:X651)</f>
        <v>0.67964918645663075</v>
      </c>
      <c r="R358" s="121">
        <f>(VLOOKUP($A358,Hitters!$A1:$R401,16,FALSE)-AVERAGE(Rankings!Y2:Y651))/STDEV(Rankings!Y2:Y651)</f>
        <v>1.3911799018249598</v>
      </c>
      <c r="S358" s="121">
        <f>(VLOOKUP($A358,Hitters!$A1:$R401,17,FALSE)-AVERAGE(Rankings!Z2:Z651))/STDEV(Rankings!Z2:Z651)</f>
        <v>1.5404682299013857</v>
      </c>
      <c r="T358" s="121">
        <f>IFERROR((VLOOKUP($A358,Hitters!$A1:$R401,18,FALSE)-AVERAGE(Rankings!AA2:AA651))/STDEV(Rankings!AA2:AA651),0)</f>
        <v>0</v>
      </c>
      <c r="U358" s="67"/>
      <c r="V358" s="121"/>
      <c r="W358" s="121"/>
      <c r="X358" s="121"/>
      <c r="Y358" s="121"/>
      <c r="Z358" s="121"/>
      <c r="AA358" s="121"/>
      <c r="AB358" s="121"/>
      <c r="AC358" s="121"/>
      <c r="AD358" s="121"/>
      <c r="AE358" s="121"/>
      <c r="AF358" s="121"/>
      <c r="AG358" s="121"/>
      <c r="AH358" s="121"/>
      <c r="AI358" s="121"/>
      <c r="AJ358" s="121"/>
      <c r="AK358" s="121"/>
    </row>
    <row r="359" spans="1:37" ht="18.600000000000001" customHeight="1">
      <c r="A359" s="25" t="s">
        <v>126</v>
      </c>
      <c r="B359" s="26" t="s">
        <v>95</v>
      </c>
      <c r="C359" s="127" t="s">
        <v>27</v>
      </c>
      <c r="D359" s="67">
        <f>(F359*Settings!$C$2)+(G359*Settings!$C$3)+(H359*Settings!$C$4)+(I359*Settings!$C$5)+(J359*Settings!$C$6)+(M359*Settings!$C$9)+(N359*Settings!$C$10)+(O359*Settings!$C$11)+(P359*Settings!$C$12)+(Q359*Settings!$C$13)+(T359*Settings!$C$16)+(K359*Settings!$C$7)+(L359*Settings!$C$8)+(R359*Settings!$C$14)+(S359*Settings!$C$15)</f>
        <v>8.2964863343566382</v>
      </c>
      <c r="E359" s="67"/>
      <c r="F359" s="121">
        <f>(VLOOKUP($A359,Hitters!$A1:$R401,4,FALSE)-AVERAGE(Rankings!M2:M651))/STDEV(Rankings!M2:M651)</f>
        <v>1.672345961968783</v>
      </c>
      <c r="G359" s="121">
        <f>(VLOOKUP($A359,Hitters!$A1:$R401,5,FALSE)-AVERAGE(Rankings!N2:N651))/STDEV(Rankings!N2:N651)</f>
        <v>1.8651902555828477</v>
      </c>
      <c r="H359" s="121">
        <f>(VLOOKUP($A359,Hitters!$A1:$R401,6,FALSE)-AVERAGE(Rankings!O2:O651))/STDEV(Rankings!O2:O651)</f>
        <v>1.2910816198741419</v>
      </c>
      <c r="I359" s="121">
        <f>(VLOOKUP($A359,Hitters!$A1:$R401,7,FALSE)-AVERAGE(Rankings!P2:P651))/STDEV(Rankings!P2:P651)</f>
        <v>1.797123943741028</v>
      </c>
      <c r="J359" s="121">
        <f>(VLOOKUP($A359,Hitters!$A1:$R401,8,FALSE)-AVERAGE(Rankings!Q2:Q651))/STDEV(Rankings!Q2:Q651)</f>
        <v>1.4723284339256602</v>
      </c>
      <c r="K359" s="121">
        <f>(VLOOKUP($A359,Hitters!$A1:$R401,9,FALSE)-AVERAGE(Rankings!R2:R651))/STDEV(Rankings!R2:R651)</f>
        <v>1.8707620812329602</v>
      </c>
      <c r="L359" s="121">
        <f>(VLOOKUP($A359,Hitters!$A1:$R401,10,FALSE)-AVERAGE(Rankings!S2:S651))/STDEV(Rankings!S2:S651)</f>
        <v>0.71905132546269157</v>
      </c>
      <c r="M359" s="121">
        <f>(VLOOKUP($A359,Hitters!$A1:$R401,11,FALSE)-AVERAGE(Rankings!T2:T651))/STDEV(Rankings!T2:T651)</f>
        <v>2.040613638808392</v>
      </c>
      <c r="N359" s="121">
        <f>(VLOOKUP($A359,Hitters!$A1:$R401,12,FALSE)-AVERAGE(Rankings!U2:U651))/STDEV(Rankings!U2:U651)</f>
        <v>2.269493801389816</v>
      </c>
      <c r="O359" s="121">
        <f>(VLOOKUP($A359,Hitters!$A1:$R401,13,FALSE)-AVERAGE(Rankings!V2:V651))/STDEV(Rankings!V2:V651)</f>
        <v>-0.17556147701094724</v>
      </c>
      <c r="P359" s="121">
        <f>(VLOOKUP($A359,Hitters!$A1:$R401,14,FALSE)-AVERAGE(Rankings!W2:W651))/STDEV(Rankings!W2:W651)</f>
        <v>0.12228313328976768</v>
      </c>
      <c r="Q359" s="121">
        <f>(VLOOKUP($A359,Hitters!$A1:$R401,15,FALSE)-AVERAGE(Rankings!X2:X651))/STDEV(Rankings!X2:X651)</f>
        <v>1.1747867846135371</v>
      </c>
      <c r="R359" s="121">
        <f>(VLOOKUP($A359,Hitters!$A1:$R401,16,FALSE)-AVERAGE(Rankings!Y2:Y651))/STDEV(Rankings!Y2:Y651)</f>
        <v>1.4258083331083895</v>
      </c>
      <c r="S359" s="121">
        <f>(VLOOKUP($A359,Hitters!$A1:$R401,17,FALSE)-AVERAGE(Rankings!Z2:Z651))/STDEV(Rankings!Z2:Z651)</f>
        <v>1.320102731851188</v>
      </c>
      <c r="T359" s="121">
        <f>IFERROR((VLOOKUP($A359,Hitters!$A1:$R401,18,FALSE)-AVERAGE(Rankings!AA2:AA651))/STDEV(Rankings!AA2:AA651),0)</f>
        <v>0</v>
      </c>
      <c r="U359" s="67"/>
      <c r="V359" s="121"/>
      <c r="W359" s="121"/>
      <c r="X359" s="121"/>
      <c r="Y359" s="121"/>
      <c r="Z359" s="121"/>
      <c r="AA359" s="121"/>
      <c r="AB359" s="121"/>
      <c r="AC359" s="121"/>
      <c r="AD359" s="121"/>
      <c r="AE359" s="121"/>
      <c r="AF359" s="121"/>
      <c r="AG359" s="121"/>
      <c r="AH359" s="121"/>
      <c r="AI359" s="121"/>
      <c r="AJ359" s="121"/>
      <c r="AK359" s="121"/>
    </row>
    <row r="360" spans="1:37" ht="18.600000000000001" customHeight="1">
      <c r="A360" s="25" t="s">
        <v>118</v>
      </c>
      <c r="B360" s="26" t="s">
        <v>119</v>
      </c>
      <c r="C360" s="127" t="s">
        <v>27</v>
      </c>
      <c r="D360" s="67">
        <f>(F360*Settings!$C$2)+(G360*Settings!$C$3)+(H360*Settings!$C$4)+(I360*Settings!$C$5)+(J360*Settings!$C$6)+(M360*Settings!$C$9)+(N360*Settings!$C$10)+(O360*Settings!$C$11)+(P360*Settings!$C$12)+(Q360*Settings!$C$13)+(T360*Settings!$C$16)+(K360*Settings!$C$7)+(L360*Settings!$C$8)+(R360*Settings!$C$14)+(S360*Settings!$C$15)</f>
        <v>8.6386690454135326</v>
      </c>
      <c r="E360" s="67"/>
      <c r="F360" s="121">
        <f>(VLOOKUP($A360,Hitters!$A1:$R401,4,FALSE)-AVERAGE(Rankings!M2:M651))/STDEV(Rankings!M2:M651)</f>
        <v>1.6044400869762021</v>
      </c>
      <c r="G360" s="121">
        <f>(VLOOKUP($A360,Hitters!$A1:$R401,5,FALSE)-AVERAGE(Rankings!N2:N651))/STDEV(Rankings!N2:N651)</f>
        <v>1.5236713139315947</v>
      </c>
      <c r="H360" s="121">
        <f>(VLOOKUP($A360,Hitters!$A1:$R401,6,FALSE)-AVERAGE(Rankings!O2:O651))/STDEV(Rankings!O2:O651)</f>
        <v>1.2785505929938366</v>
      </c>
      <c r="I360" s="121">
        <f>(VLOOKUP($A360,Hitters!$A1:$R401,7,FALSE)-AVERAGE(Rankings!P2:P651))/STDEV(Rankings!P2:P651)</f>
        <v>1.3593319061163911</v>
      </c>
      <c r="J360" s="121">
        <f>(VLOOKUP($A360,Hitters!$A1:$R401,8,FALSE)-AVERAGE(Rankings!Q2:Q651))/STDEV(Rankings!Q2:Q651)</f>
        <v>3.7764136067219454</v>
      </c>
      <c r="K360" s="121">
        <f>(VLOOKUP($A360,Hitters!$A1:$R401,9,FALSE)-AVERAGE(Rankings!R2:R651))/STDEV(Rankings!R2:R651)</f>
        <v>0.70070162564976501</v>
      </c>
      <c r="L360" s="121">
        <f>(VLOOKUP($A360,Hitters!$A1:$R401,10,FALSE)-AVERAGE(Rankings!S2:S651))/STDEV(Rankings!S2:S651)</f>
        <v>-0.26512238508460878</v>
      </c>
      <c r="M360" s="121">
        <f>(VLOOKUP($A360,Hitters!$A1:$R401,11,FALSE)-AVERAGE(Rankings!T2:T651))/STDEV(Rankings!T2:T651)</f>
        <v>1.5893108819964548</v>
      </c>
      <c r="N360" s="121">
        <f>(VLOOKUP($A360,Hitters!$A1:$R401,12,FALSE)-AVERAGE(Rankings!U2:U651))/STDEV(Rankings!U2:U651)</f>
        <v>1.652964828190763</v>
      </c>
      <c r="O360" s="121">
        <f>(VLOOKUP($A360,Hitters!$A1:$R401,13,FALSE)-AVERAGE(Rankings!V2:V651))/STDEV(Rankings!V2:V651)</f>
        <v>2.9218034201125946</v>
      </c>
      <c r="P360" s="121">
        <f>(VLOOKUP($A360,Hitters!$A1:$R401,14,FALSE)-AVERAGE(Rankings!W2:W651))/STDEV(Rankings!W2:W651)</f>
        <v>3.1262914302698876E-2</v>
      </c>
      <c r="Q360" s="121">
        <f>(VLOOKUP($A360,Hitters!$A1:$R401,15,FALSE)-AVERAGE(Rankings!X2:X651))/STDEV(Rankings!X2:X651)</f>
        <v>1.1611412602549012</v>
      </c>
      <c r="R360" s="121">
        <f>(VLOOKUP($A360,Hitters!$A1:$R401,16,FALSE)-AVERAGE(Rankings!Y2:Y651))/STDEV(Rankings!Y2:Y651)</f>
        <v>1.037616606618033</v>
      </c>
      <c r="S360" s="121">
        <f>(VLOOKUP($A360,Hitters!$A1:$R401,17,FALSE)-AVERAGE(Rankings!Z2:Z651))/STDEV(Rankings!Z2:Z651)</f>
        <v>0.65122317858569445</v>
      </c>
      <c r="T360" s="121">
        <f>IFERROR((VLOOKUP($A360,Hitters!$A1:$R401,18,FALSE)-AVERAGE(Rankings!AA2:AA651))/STDEV(Rankings!AA2:AA651),0)</f>
        <v>0</v>
      </c>
      <c r="U360" s="67"/>
      <c r="V360" s="121"/>
      <c r="W360" s="121"/>
      <c r="X360" s="121"/>
      <c r="Y360" s="121"/>
      <c r="Z360" s="121"/>
      <c r="AA360" s="121"/>
      <c r="AB360" s="121"/>
      <c r="AC360" s="121"/>
      <c r="AD360" s="121"/>
      <c r="AE360" s="121"/>
      <c r="AF360" s="121"/>
      <c r="AG360" s="121"/>
      <c r="AH360" s="121"/>
      <c r="AI360" s="121"/>
      <c r="AJ360" s="121"/>
      <c r="AK360" s="121"/>
    </row>
    <row r="361" spans="1:37" ht="18.600000000000001" customHeight="1">
      <c r="A361" s="25" t="s">
        <v>128</v>
      </c>
      <c r="B361" s="26" t="s">
        <v>64</v>
      </c>
      <c r="C361" s="127" t="s">
        <v>27</v>
      </c>
      <c r="D361" s="67">
        <f>(F361*Settings!$C$2)+(G361*Settings!$C$3)+(H361*Settings!$C$4)+(I361*Settings!$C$5)+(J361*Settings!$C$6)+(M361*Settings!$C$9)+(N361*Settings!$C$10)+(O361*Settings!$C$11)+(P361*Settings!$C$12)+(Q361*Settings!$C$13)+(T361*Settings!$C$16)+(K361*Settings!$C$7)+(L361*Settings!$C$8)+(R361*Settings!$C$14)+(S361*Settings!$C$15)</f>
        <v>8.1545563828716237</v>
      </c>
      <c r="E361" s="67"/>
      <c r="F361" s="121">
        <f>(VLOOKUP($A361,Hitters!$A1:$R401,4,FALSE)-AVERAGE(Rankings!M2:M651))/STDEV(Rankings!M2:M651)</f>
        <v>0.50227550055807768</v>
      </c>
      <c r="G361" s="121">
        <f>(VLOOKUP($A361,Hitters!$A1:$R401,5,FALSE)-AVERAGE(Rankings!N2:N651))/STDEV(Rankings!N2:N651)</f>
        <v>1.3658136697905692</v>
      </c>
      <c r="H361" s="121">
        <f>(VLOOKUP($A361,Hitters!$A1:$R401,6,FALSE)-AVERAGE(Rankings!O2:O651))/STDEV(Rankings!O2:O651)</f>
        <v>2.1223064029344081</v>
      </c>
      <c r="I361" s="121">
        <f>(VLOOKUP($A361,Hitters!$A1:$R401,7,FALSE)-AVERAGE(Rankings!P2:P651))/STDEV(Rankings!P2:P651)</f>
        <v>1.4502816604116513</v>
      </c>
      <c r="J361" s="121">
        <f>(VLOOKUP($A361,Hitters!$A1:$R401,8,FALSE)-AVERAGE(Rankings!Q2:Q651))/STDEV(Rankings!Q2:Q651)</f>
        <v>1.9040306667371696</v>
      </c>
      <c r="K361" s="121">
        <f>(VLOOKUP($A361,Hitters!$A1:$R401,9,FALSE)-AVERAGE(Rankings!R2:R651))/STDEV(Rankings!R2:R651)</f>
        <v>1.3121239829978253</v>
      </c>
      <c r="L361" s="121">
        <f>(VLOOKUP($A361,Hitters!$A1:$R401,10,FALSE)-AVERAGE(Rankings!S2:S651))/STDEV(Rankings!S2:S651)</f>
        <v>1.6676845597680934</v>
      </c>
      <c r="M361" s="121">
        <f>(VLOOKUP($A361,Hitters!$A1:$R401,11,FALSE)-AVERAGE(Rankings!T2:T651))/STDEV(Rankings!T2:T651)</f>
        <v>0.72765017493823125</v>
      </c>
      <c r="N361" s="121">
        <f>(VLOOKUP($A361,Hitters!$A1:$R401,12,FALSE)-AVERAGE(Rankings!U2:U651))/STDEV(Rankings!U2:U651)</f>
        <v>0.7940761896651839</v>
      </c>
      <c r="O361" s="121">
        <f>(VLOOKUP($A361,Hitters!$A1:$R401,13,FALSE)-AVERAGE(Rankings!V2:V651))/STDEV(Rankings!V2:V651)</f>
        <v>0.1562990476808602</v>
      </c>
      <c r="P361" s="121">
        <f>(VLOOKUP($A361,Hitters!$A1:$R401,14,FALSE)-AVERAGE(Rankings!W2:W651))/STDEV(Rankings!W2:W651)</f>
        <v>0.94518021515241135</v>
      </c>
      <c r="Q361" s="121">
        <f>(VLOOKUP($A361,Hitters!$A1:$R401,15,FALSE)-AVERAGE(Rankings!X2:X651))/STDEV(Rankings!X2:X651)</f>
        <v>0.78101593883522202</v>
      </c>
      <c r="R361" s="121">
        <f>(VLOOKUP($A361,Hitters!$A1:$R401,16,FALSE)-AVERAGE(Rankings!Y2:Y651))/STDEV(Rankings!Y2:Y651)</f>
        <v>3.0781261696676556</v>
      </c>
      <c r="S361" s="121">
        <f>(VLOOKUP($A361,Hitters!$A1:$R401,17,FALSE)-AVERAGE(Rankings!Z2:Z651))/STDEV(Rankings!Z2:Z651)</f>
        <v>2.8952000001550524</v>
      </c>
      <c r="T361" s="121">
        <f>IFERROR((VLOOKUP($A361,Hitters!$A1:$R401,18,FALSE)-AVERAGE(Rankings!AA2:AA651))/STDEV(Rankings!AA2:AA651),0)</f>
        <v>0</v>
      </c>
      <c r="U361" s="67"/>
      <c r="V361" s="121"/>
      <c r="W361" s="121"/>
      <c r="X361" s="121"/>
      <c r="Y361" s="121"/>
      <c r="Z361" s="121"/>
      <c r="AA361" s="121"/>
      <c r="AB361" s="121"/>
      <c r="AC361" s="121"/>
      <c r="AD361" s="121"/>
      <c r="AE361" s="121"/>
      <c r="AF361" s="121"/>
      <c r="AG361" s="121"/>
      <c r="AH361" s="121"/>
      <c r="AI361" s="121"/>
      <c r="AJ361" s="121"/>
      <c r="AK361" s="121"/>
    </row>
    <row r="362" spans="1:37" ht="18.600000000000001" customHeight="1">
      <c r="A362" s="25" t="s">
        <v>185</v>
      </c>
      <c r="B362" s="26" t="s">
        <v>116</v>
      </c>
      <c r="C362" s="127" t="s">
        <v>27</v>
      </c>
      <c r="D362" s="67">
        <f>(F362*Settings!$C$2)+(G362*Settings!$C$3)+(H362*Settings!$C$4)+(I362*Settings!$C$5)+(J362*Settings!$C$6)+(M362*Settings!$C$9)+(N362*Settings!$C$10)+(O362*Settings!$C$11)+(P362*Settings!$C$12)+(Q362*Settings!$C$13)+(T362*Settings!$C$16)+(K362*Settings!$C$7)+(L362*Settings!$C$8)+(R362*Settings!$C$14)+(S362*Settings!$C$15)</f>
        <v>6.2668906445336834</v>
      </c>
      <c r="E362" s="67"/>
      <c r="F362" s="121">
        <f>(VLOOKUP($A362,Hitters!$A1:$R401,4,FALSE)-AVERAGE(Rankings!M2:M651))/STDEV(Rankings!M2:M651)</f>
        <v>1.3928871687300697</v>
      </c>
      <c r="G362" s="121">
        <f>(VLOOKUP($A362,Hitters!$A1:$R401,5,FALSE)-AVERAGE(Rankings!N2:N651))/STDEV(Rankings!N2:N651)</f>
        <v>1.6466181329260452</v>
      </c>
      <c r="H362" s="121">
        <f>(VLOOKUP($A362,Hitters!$A1:$R401,6,FALSE)-AVERAGE(Rankings!O2:O651))/STDEV(Rankings!O2:O651)</f>
        <v>0.21759031712798749</v>
      </c>
      <c r="I362" s="121">
        <f>(VLOOKUP($A362,Hitters!$A1:$R401,7,FALSE)-AVERAGE(Rankings!P2:P651))/STDEV(Rankings!P2:P651)</f>
        <v>0.31880505612826038</v>
      </c>
      <c r="J362" s="121">
        <f>(VLOOKUP($A362,Hitters!$A1:$R401,8,FALSE)-AVERAGE(Rankings!Q2:Q651))/STDEV(Rankings!Q2:Q651)</f>
        <v>1.7233181041649119</v>
      </c>
      <c r="K362" s="121">
        <f>(VLOOKUP($A362,Hitters!$A1:$R401,9,FALSE)-AVERAGE(Rankings!R2:R651))/STDEV(Rankings!R2:R651)</f>
        <v>2.3605590341864779</v>
      </c>
      <c r="L362" s="121">
        <f>(VLOOKUP($A362,Hitters!$A1:$R401,10,FALSE)-AVERAGE(Rankings!S2:S651))/STDEV(Rankings!S2:S651)</f>
        <v>0.57162687271388291</v>
      </c>
      <c r="M362" s="121">
        <f>(VLOOKUP($A362,Hitters!$A1:$R401,11,FALSE)-AVERAGE(Rankings!T2:T651))/STDEV(Rankings!T2:T651)</f>
        <v>1.9132297961598574</v>
      </c>
      <c r="N362" s="121">
        <f>(VLOOKUP($A362,Hitters!$A1:$R401,12,FALSE)-AVERAGE(Rankings!U2:U651))/STDEV(Rankings!U2:U651)</f>
        <v>1.3128109119430034</v>
      </c>
      <c r="O362" s="121">
        <f>(VLOOKUP($A362,Hitters!$A1:$R401,13,FALSE)-AVERAGE(Rankings!V2:V651))/STDEV(Rankings!V2:V651)</f>
        <v>-0.45211191425411734</v>
      </c>
      <c r="P362" s="121">
        <f>(VLOOKUP($A362,Hitters!$A1:$R401,14,FALSE)-AVERAGE(Rankings!W2:W651))/STDEV(Rankings!W2:W651)</f>
        <v>-0.64488728388692385</v>
      </c>
      <c r="Q362" s="121">
        <f>(VLOOKUP($A362,Hitters!$A1:$R401,15,FALSE)-AVERAGE(Rankings!X2:X651))/STDEV(Rankings!X2:X651)</f>
        <v>0.55781414754005709</v>
      </c>
      <c r="R362" s="121">
        <f>(VLOOKUP($A362,Hitters!$A1:$R401,16,FALSE)-AVERAGE(Rankings!Y2:Y651))/STDEV(Rankings!Y2:Y651)</f>
        <v>0.55690661232643079</v>
      </c>
      <c r="S362" s="121">
        <f>(VLOOKUP($A362,Hitters!$A1:$R401,17,FALSE)-AVERAGE(Rankings!Z2:Z651))/STDEV(Rankings!Z2:Z651)</f>
        <v>0.62975415970788495</v>
      </c>
      <c r="T362" s="121">
        <f>IFERROR((VLOOKUP($A362,Hitters!$A1:$R401,18,FALSE)-AVERAGE(Rankings!AA2:AA651))/STDEV(Rankings!AA2:AA651),0)</f>
        <v>0</v>
      </c>
      <c r="U362" s="67"/>
      <c r="V362" s="121"/>
      <c r="W362" s="121"/>
      <c r="X362" s="121"/>
      <c r="Y362" s="121"/>
      <c r="Z362" s="121"/>
      <c r="AA362" s="121"/>
      <c r="AB362" s="121"/>
      <c r="AC362" s="121"/>
      <c r="AD362" s="121"/>
      <c r="AE362" s="121"/>
      <c r="AF362" s="121"/>
      <c r="AG362" s="121"/>
      <c r="AH362" s="121"/>
      <c r="AI362" s="121"/>
      <c r="AJ362" s="121"/>
      <c r="AK362" s="121"/>
    </row>
    <row r="363" spans="1:37" ht="18.600000000000001" customHeight="1">
      <c r="A363" s="25" t="s">
        <v>204</v>
      </c>
      <c r="B363" s="26" t="s">
        <v>97</v>
      </c>
      <c r="C363" s="127" t="s">
        <v>27</v>
      </c>
      <c r="D363" s="67">
        <f>(F363*Settings!$C$2)+(G363*Settings!$C$3)+(H363*Settings!$C$4)+(I363*Settings!$C$5)+(J363*Settings!$C$6)+(M363*Settings!$C$9)+(N363*Settings!$C$10)+(O363*Settings!$C$11)+(P363*Settings!$C$12)+(Q363*Settings!$C$13)+(T363*Settings!$C$16)+(K363*Settings!$C$7)+(L363*Settings!$C$8)+(R363*Settings!$C$14)+(S363*Settings!$C$15)</f>
        <v>5.5711969568855411</v>
      </c>
      <c r="E363" s="67"/>
      <c r="F363" s="121">
        <f>(VLOOKUP($A363,Hitters!$A1:$R401,4,FALSE)-AVERAGE(Rankings!M2:M651))/STDEV(Rankings!M2:M651)</f>
        <v>1.5078048033329023</v>
      </c>
      <c r="G363" s="121">
        <f>(VLOOKUP($A363,Hitters!$A1:$R401,5,FALSE)-AVERAGE(Rankings!N2:N651))/STDEV(Rankings!N2:N651)</f>
        <v>1.4432246298981866</v>
      </c>
      <c r="H363" s="121">
        <f>(VLOOKUP($A363,Hitters!$A1:$R401,6,FALSE)-AVERAGE(Rankings!O2:O651))/STDEV(Rankings!O2:O651)</f>
        <v>1.1240012614700743</v>
      </c>
      <c r="I363" s="121">
        <f>(VLOOKUP($A363,Hitters!$A1:$R401,7,FALSE)-AVERAGE(Rankings!P2:P651))/STDEV(Rankings!P2:P651)</f>
        <v>1.5936431375211266</v>
      </c>
      <c r="J363" s="121">
        <f>(VLOOKUP($A363,Hitters!$A1:$R401,8,FALSE)-AVERAGE(Rankings!Q2:Q651))/STDEV(Rankings!Q2:Q651)</f>
        <v>1.0908241351620098</v>
      </c>
      <c r="K363" s="121">
        <f>(VLOOKUP($A363,Hitters!$A1:$R401,9,FALSE)-AVERAGE(Rankings!R2:R651))/STDEV(Rankings!R2:R651)</f>
        <v>0.31950379283414454</v>
      </c>
      <c r="L363" s="121">
        <f>(VLOOKUP($A363,Hitters!$A1:$R401,10,FALSE)-AVERAGE(Rankings!S2:S651))/STDEV(Rankings!S2:S651)</f>
        <v>0.38277341253055569</v>
      </c>
      <c r="M363" s="121">
        <f>(VLOOKUP($A363,Hitters!$A1:$R401,11,FALSE)-AVERAGE(Rankings!T2:T651))/STDEV(Rankings!T2:T651)</f>
        <v>1.3782176570360498</v>
      </c>
      <c r="N363" s="121">
        <f>(VLOOKUP($A363,Hitters!$A1:$R401,12,FALSE)-AVERAGE(Rankings!U2:U651))/STDEV(Rankings!U2:U651)</f>
        <v>0.72179348246253172</v>
      </c>
      <c r="O363" s="121">
        <f>(VLOOKUP($A363,Hitters!$A1:$R401,13,FALSE)-AVERAGE(Rankings!V2:V651))/STDEV(Rankings!V2:V651)</f>
        <v>1.3178108841021865</v>
      </c>
      <c r="P363" s="121">
        <f>(VLOOKUP($A363,Hitters!$A1:$R401,14,FALSE)-AVERAGE(Rankings!W2:W651))/STDEV(Rankings!W2:W651)</f>
        <v>1.1346508750846691</v>
      </c>
      <c r="Q363" s="121">
        <f>(VLOOKUP($A363,Hitters!$A1:$R401,15,FALSE)-AVERAGE(Rankings!X2:X651))/STDEV(Rankings!X2:X651)</f>
        <v>0.73813000513658145</v>
      </c>
      <c r="R363" s="121">
        <f>(VLOOKUP($A363,Hitters!$A1:$R401,16,FALSE)-AVERAGE(Rankings!Y2:Y651))/STDEV(Rankings!Y2:Y651)</f>
        <v>0.37057998508629175</v>
      </c>
      <c r="S363" s="121">
        <f>(VLOOKUP($A363,Hitters!$A1:$R401,17,FALSE)-AVERAGE(Rankings!Z2:Z651))/STDEV(Rankings!Z2:Z651)</f>
        <v>0.41999596234267661</v>
      </c>
      <c r="T363" s="121">
        <f>IFERROR((VLOOKUP($A363,Hitters!$A1:$R401,18,FALSE)-AVERAGE(Rankings!AA2:AA651))/STDEV(Rankings!AA2:AA651),0)</f>
        <v>0</v>
      </c>
      <c r="U363" s="67"/>
      <c r="V363" s="121"/>
      <c r="W363" s="121"/>
      <c r="X363" s="121"/>
      <c r="Y363" s="121"/>
      <c r="Z363" s="121"/>
      <c r="AA363" s="121"/>
      <c r="AB363" s="121"/>
      <c r="AC363" s="121"/>
      <c r="AD363" s="121"/>
      <c r="AE363" s="121"/>
      <c r="AF363" s="121"/>
      <c r="AG363" s="121"/>
      <c r="AH363" s="121"/>
      <c r="AI363" s="121"/>
      <c r="AJ363" s="121"/>
      <c r="AK363" s="121"/>
    </row>
    <row r="364" spans="1:37" ht="18.600000000000001" customHeight="1">
      <c r="A364" s="25" t="s">
        <v>213</v>
      </c>
      <c r="B364" s="26" t="s">
        <v>87</v>
      </c>
      <c r="C364" s="127" t="s">
        <v>27</v>
      </c>
      <c r="D364" s="67">
        <f>(F364*Settings!$C$2)+(G364*Settings!$C$3)+(H364*Settings!$C$4)+(I364*Settings!$C$5)+(J364*Settings!$C$6)+(M364*Settings!$C$9)+(N364*Settings!$C$10)+(O364*Settings!$C$11)+(P364*Settings!$C$12)+(Q364*Settings!$C$13)+(T364*Settings!$C$16)+(K364*Settings!$C$7)+(L364*Settings!$C$8)+(R364*Settings!$C$14)+(S364*Settings!$C$15)</f>
        <v>5.2733566645353402</v>
      </c>
      <c r="E364" s="67"/>
      <c r="F364" s="121">
        <f>(VLOOKUP($A364,Hitters!$A1:$R401,4,FALSE)-AVERAGE(Rankings!M2:M651))/STDEV(Rankings!M2:M651)</f>
        <v>1.2622989475904793</v>
      </c>
      <c r="G364" s="121">
        <f>(VLOOKUP($A364,Hitters!$A1:$R401,5,FALSE)-AVERAGE(Rankings!N2:N651))/STDEV(Rankings!N2:N651)</f>
        <v>1.5373320715976446</v>
      </c>
      <c r="H364" s="121">
        <f>(VLOOKUP($A364,Hitters!$A1:$R401,6,FALSE)-AVERAGE(Rankings!O2:O651))/STDEV(Rankings!O2:O651)</f>
        <v>1.6962514890040248</v>
      </c>
      <c r="I364" s="121">
        <f>(VLOOKUP($A364,Hitters!$A1:$R401,7,FALSE)-AVERAGE(Rankings!P2:P651))/STDEV(Rankings!P2:P651)</f>
        <v>1.4256173202637812</v>
      </c>
      <c r="J364" s="121">
        <f>(VLOOKUP($A364,Hitters!$A1:$R401,8,FALSE)-AVERAGE(Rankings!Q2:Q651))/STDEV(Rankings!Q2:Q651)</f>
        <v>-0.51550975436916968</v>
      </c>
      <c r="K364" s="121">
        <f>(VLOOKUP($A364,Hitters!$A1:$R401,9,FALSE)-AVERAGE(Rankings!R2:R651))/STDEV(Rankings!R2:R651)</f>
        <v>1.1296655380390601</v>
      </c>
      <c r="L364" s="121">
        <f>(VLOOKUP($A364,Hitters!$A1:$R401,10,FALSE)-AVERAGE(Rankings!S2:S651))/STDEV(Rankings!S2:S651)</f>
        <v>1.1416407945143117</v>
      </c>
      <c r="M364" s="121">
        <f>(VLOOKUP($A364,Hitters!$A1:$R401,11,FALSE)-AVERAGE(Rankings!T2:T651))/STDEV(Rankings!T2:T651)</f>
        <v>1.4046043101561101</v>
      </c>
      <c r="N364" s="121">
        <f>(VLOOKUP($A364,Hitters!$A1:$R401,12,FALSE)-AVERAGE(Rankings!U2:U651))/STDEV(Rankings!U2:U651)</f>
        <v>1.3340705317084924</v>
      </c>
      <c r="O364" s="121">
        <f>(VLOOKUP($A364,Hitters!$A1:$R401,13,FALSE)-AVERAGE(Rankings!V2:V651))/STDEV(Rankings!V2:V651)</f>
        <v>0.29457426630244948</v>
      </c>
      <c r="P364" s="121">
        <f>(VLOOKUP($A364,Hitters!$A1:$R401,14,FALSE)-AVERAGE(Rankings!W2:W651))/STDEV(Rankings!W2:W651)</f>
        <v>1.1197904311684173</v>
      </c>
      <c r="Q364" s="121">
        <f>(VLOOKUP($A364,Hitters!$A1:$R401,15,FALSE)-AVERAGE(Rankings!X2:X651))/STDEV(Rankings!X2:X651)</f>
        <v>9.58156799684554E-2</v>
      </c>
      <c r="R364" s="121">
        <f>(VLOOKUP($A364,Hitters!$A1:$R401,16,FALSE)-AVERAGE(Rankings!Y2:Y651))/STDEV(Rankings!Y2:Y651)</f>
        <v>1.6448246982053476</v>
      </c>
      <c r="S364" s="121">
        <f>(VLOOKUP($A364,Hitters!$A1:$R401,17,FALSE)-AVERAGE(Rankings!Z2:Z651))/STDEV(Rankings!Z2:Z651)</f>
        <v>1.6454029853417138</v>
      </c>
      <c r="T364" s="121">
        <f>IFERROR((VLOOKUP($A364,Hitters!$A1:$R401,18,FALSE)-AVERAGE(Rankings!AA2:AA651))/STDEV(Rankings!AA2:AA651),0)</f>
        <v>0</v>
      </c>
      <c r="U364" s="67"/>
      <c r="V364" s="121"/>
      <c r="W364" s="121"/>
      <c r="X364" s="121"/>
      <c r="Y364" s="121"/>
      <c r="Z364" s="121"/>
      <c r="AA364" s="121"/>
      <c r="AB364" s="121"/>
      <c r="AC364" s="121"/>
      <c r="AD364" s="121"/>
      <c r="AE364" s="121"/>
      <c r="AF364" s="121"/>
      <c r="AG364" s="121"/>
      <c r="AH364" s="121"/>
      <c r="AI364" s="121"/>
      <c r="AJ364" s="121"/>
      <c r="AK364" s="121"/>
    </row>
    <row r="365" spans="1:37" ht="18.600000000000001" customHeight="1">
      <c r="A365" s="25" t="s">
        <v>211</v>
      </c>
      <c r="B365" s="26" t="s">
        <v>160</v>
      </c>
      <c r="C365" s="127" t="s">
        <v>27</v>
      </c>
      <c r="D365" s="67">
        <f>(F365*Settings!$C$2)+(G365*Settings!$C$3)+(H365*Settings!$C$4)+(I365*Settings!$C$5)+(J365*Settings!$C$6)+(M365*Settings!$C$9)+(N365*Settings!$C$10)+(O365*Settings!$C$11)+(P365*Settings!$C$12)+(Q365*Settings!$C$13)+(T365*Settings!$C$16)+(K365*Settings!$C$7)+(L365*Settings!$C$8)+(R365*Settings!$C$14)+(S365*Settings!$C$15)</f>
        <v>5.2990923311266398</v>
      </c>
      <c r="E365" s="67"/>
      <c r="F365" s="121">
        <f>(VLOOKUP($A365,Hitters!$A1:$R401,4,FALSE)-AVERAGE(Rankings!M2:M651))/STDEV(Rankings!M2:M651)</f>
        <v>1.591381264862241</v>
      </c>
      <c r="G365" s="121">
        <f>(VLOOKUP($A365,Hitters!$A1:$R401,5,FALSE)-AVERAGE(Rankings!N2:N651))/STDEV(Rankings!N2:N651)</f>
        <v>1.506974832339754</v>
      </c>
      <c r="H365" s="121">
        <f>(VLOOKUP($A365,Hitters!$A1:$R401,6,FALSE)-AVERAGE(Rankings!O2:O651))/STDEV(Rankings!O2:O651)</f>
        <v>1.0655231360286448</v>
      </c>
      <c r="I365" s="121">
        <f>(VLOOKUP($A365,Hitters!$A1:$R401,7,FALSE)-AVERAGE(Rankings!P2:P651))/STDEV(Rankings!P2:P651)</f>
        <v>1.2360102053770554</v>
      </c>
      <c r="J365" s="121">
        <f>(VLOOKUP($A365,Hitters!$A1:$R401,8,FALSE)-AVERAGE(Rankings!Q2:Q651))/STDEV(Rankings!Q2:Q651)</f>
        <v>1.0707449615428752</v>
      </c>
      <c r="K365" s="121">
        <f>(VLOOKUP($A365,Hitters!$A1:$R401,9,FALSE)-AVERAGE(Rankings!R2:R651))/STDEV(Rankings!R2:R651)</f>
        <v>0.41983919583831053</v>
      </c>
      <c r="L365" s="121">
        <f>(VLOOKUP($A365,Hitters!$A1:$R401,10,FALSE)-AVERAGE(Rankings!S2:S651))/STDEV(Rankings!S2:S651)</f>
        <v>5.7416560714335534E-2</v>
      </c>
      <c r="M365" s="121">
        <f>(VLOOKUP($A365,Hitters!$A1:$R401,11,FALSE)-AVERAGE(Rankings!T2:T651))/STDEV(Rankings!T2:T651)</f>
        <v>1.4855840386969408</v>
      </c>
      <c r="N365" s="121">
        <f>(VLOOKUP($A365,Hitters!$A1:$R401,12,FALSE)-AVERAGE(Rankings!U2:U651))/STDEV(Rankings!U2:U651)</f>
        <v>1.3043070640368177</v>
      </c>
      <c r="O365" s="121">
        <f>(VLOOKUP($A365,Hitters!$A1:$R401,13,FALSE)-AVERAGE(Rankings!V2:V651))/STDEV(Rankings!V2:V651)</f>
        <v>-0.12025138956230989</v>
      </c>
      <c r="P365" s="121">
        <f>(VLOOKUP($A365,Hitters!$A1:$R401,14,FALSE)-AVERAGE(Rankings!W2:W651))/STDEV(Rankings!W2:W651)</f>
        <v>0.68883755759700449</v>
      </c>
      <c r="Q365" s="121">
        <f>(VLOOKUP($A365,Hitters!$A1:$R401,15,FALSE)-AVERAGE(Rankings!X2:X651))/STDEV(Rankings!X2:X651)</f>
        <v>2.0617458679261422</v>
      </c>
      <c r="R365" s="121">
        <f>(VLOOKUP($A365,Hitters!$A1:$R401,16,FALSE)-AVERAGE(Rankings!Y2:Y651))/STDEV(Rankings!Y2:Y651)</f>
        <v>0.33284162153279478</v>
      </c>
      <c r="S365" s="121">
        <f>(VLOOKUP($A365,Hitters!$A1:$R401,17,FALSE)-AVERAGE(Rankings!Z2:Z651))/STDEV(Rankings!Z2:Z651)</f>
        <v>0.2648156186516511</v>
      </c>
      <c r="T365" s="121">
        <f>IFERROR((VLOOKUP($A365,Hitters!$A1:$R401,18,FALSE)-AVERAGE(Rankings!AA2:AA651))/STDEV(Rankings!AA2:AA651),0)</f>
        <v>0</v>
      </c>
      <c r="U365" s="67"/>
      <c r="V365" s="121"/>
      <c r="W365" s="121"/>
      <c r="X365" s="121"/>
      <c r="Y365" s="121"/>
      <c r="Z365" s="121"/>
      <c r="AA365" s="121"/>
      <c r="AB365" s="121"/>
      <c r="AC365" s="121"/>
      <c r="AD365" s="121"/>
      <c r="AE365" s="121"/>
      <c r="AF365" s="121"/>
      <c r="AG365" s="121"/>
      <c r="AH365" s="121"/>
      <c r="AI365" s="121"/>
      <c r="AJ365" s="121"/>
      <c r="AK365" s="121"/>
    </row>
    <row r="366" spans="1:37" ht="18.600000000000001" customHeight="1">
      <c r="A366" s="25" t="s">
        <v>228</v>
      </c>
      <c r="B366" s="26" t="s">
        <v>64</v>
      </c>
      <c r="C366" s="127" t="s">
        <v>27</v>
      </c>
      <c r="D366" s="67">
        <f>(F366*Settings!$C$2)+(G366*Settings!$C$3)+(H366*Settings!$C$4)+(I366*Settings!$C$5)+(J366*Settings!$C$6)+(M366*Settings!$C$9)+(N366*Settings!$C$10)+(O366*Settings!$C$11)+(P366*Settings!$C$12)+(Q366*Settings!$C$13)+(T366*Settings!$C$16)+(K366*Settings!$C$7)+(L366*Settings!$C$8)+(R366*Settings!$C$14)+(S366*Settings!$C$15)</f>
        <v>4.9944502452483261</v>
      </c>
      <c r="E366" s="67"/>
      <c r="F366" s="121">
        <f>(VLOOKUP($A366,Hitters!$A1:$R401,4,FALSE)-AVERAGE(Rankings!M2:M651))/STDEV(Rankings!M2:M651)</f>
        <v>1.2805812985500193</v>
      </c>
      <c r="G366" s="121">
        <f>(VLOOKUP($A366,Hitters!$A1:$R401,5,FALSE)-AVERAGE(Rankings!N2:N651))/STDEV(Rankings!N2:N651)</f>
        <v>1.299027743423216</v>
      </c>
      <c r="H366" s="121">
        <f>(VLOOKUP($A366,Hitters!$A1:$R401,6,FALSE)-AVERAGE(Rankings!O2:O651))/STDEV(Rankings!O2:O651)</f>
        <v>0.57263607873663636</v>
      </c>
      <c r="I366" s="121">
        <f>(VLOOKUP($A366,Hitters!$A1:$R401,7,FALSE)-AVERAGE(Rankings!P2:P651))/STDEV(Rankings!P2:P651)</f>
        <v>1.353165821079426</v>
      </c>
      <c r="J366" s="121">
        <f>(VLOOKUP($A366,Hitters!$A1:$R401,8,FALSE)-AVERAGE(Rankings!Q2:Q651))/STDEV(Rankings!Q2:Q651)</f>
        <v>0.13204359484808684</v>
      </c>
      <c r="K366" s="121">
        <f>(VLOOKUP($A366,Hitters!$A1:$R401,9,FALSE)-AVERAGE(Rankings!R2:R651))/STDEV(Rankings!R2:R651)</f>
        <v>1.6375770071609612</v>
      </c>
      <c r="L366" s="121">
        <f>(VLOOKUP($A366,Hitters!$A1:$R401,10,FALSE)-AVERAGE(Rankings!S2:S651))/STDEV(Rankings!S2:S651)</f>
        <v>1.6463159153619173</v>
      </c>
      <c r="M366" s="121">
        <f>(VLOOKUP($A366,Hitters!$A1:$R401,11,FALSE)-AVERAGE(Rankings!T2:T651))/STDEV(Rankings!T2:T651)</f>
        <v>1.57657249773162</v>
      </c>
      <c r="N366" s="121">
        <f>(VLOOKUP($A366,Hitters!$A1:$R401,12,FALSE)-AVERAGE(Rankings!U2:U651))/STDEV(Rankings!U2:U651)</f>
        <v>1.7209956114403102</v>
      </c>
      <c r="O366" s="121">
        <f>(VLOOKUP($A366,Hitters!$A1:$R401,13,FALSE)-AVERAGE(Rankings!V2:V651))/STDEV(Rankings!V2:V651)</f>
        <v>-0.9222476575675117</v>
      </c>
      <c r="P366" s="121">
        <f>(VLOOKUP($A366,Hitters!$A1:$R401,14,FALSE)-AVERAGE(Rankings!W2:W651))/STDEV(Rankings!W2:W651)</f>
        <v>1.2739675367995644</v>
      </c>
      <c r="Q366" s="121">
        <f>(VLOOKUP($A366,Hitters!$A1:$R401,15,FALSE)-AVERAGE(Rankings!X2:X651))/STDEV(Rankings!X2:X651)</f>
        <v>0.65040877711665535</v>
      </c>
      <c r="R366" s="121">
        <f>(VLOOKUP($A366,Hitters!$A1:$R401,16,FALSE)-AVERAGE(Rankings!Y2:Y651))/STDEV(Rankings!Y2:Y651)</f>
        <v>0.74567778750000024</v>
      </c>
      <c r="S366" s="121">
        <f>(VLOOKUP($A366,Hitters!$A1:$R401,17,FALSE)-AVERAGE(Rankings!Z2:Z651))/STDEV(Rankings!Z2:Z651)</f>
        <v>1.1890032008970495</v>
      </c>
      <c r="T366" s="121">
        <f>IFERROR((VLOOKUP($A366,Hitters!$A1:$R401,18,FALSE)-AVERAGE(Rankings!AA2:AA651))/STDEV(Rankings!AA2:AA651),0)</f>
        <v>0</v>
      </c>
      <c r="U366" s="67"/>
      <c r="V366" s="121"/>
      <c r="W366" s="121"/>
      <c r="X366" s="121"/>
      <c r="Y366" s="121"/>
      <c r="Z366" s="121"/>
      <c r="AA366" s="121"/>
      <c r="AB366" s="121"/>
      <c r="AC366" s="121"/>
      <c r="AD366" s="121"/>
      <c r="AE366" s="121"/>
      <c r="AF366" s="121"/>
      <c r="AG366" s="121"/>
      <c r="AH366" s="121"/>
      <c r="AI366" s="121"/>
      <c r="AJ366" s="121"/>
      <c r="AK366" s="121"/>
    </row>
    <row r="367" spans="1:37" ht="18.600000000000001" customHeight="1">
      <c r="A367" s="25" t="s">
        <v>208</v>
      </c>
      <c r="B367" s="26" t="s">
        <v>139</v>
      </c>
      <c r="C367" s="127" t="s">
        <v>27</v>
      </c>
      <c r="D367" s="67">
        <f>(F367*Settings!$C$2)+(G367*Settings!$C$3)+(H367*Settings!$C$4)+(I367*Settings!$C$5)+(J367*Settings!$C$6)+(M367*Settings!$C$9)+(N367*Settings!$C$10)+(O367*Settings!$C$11)+(P367*Settings!$C$12)+(Q367*Settings!$C$13)+(T367*Settings!$C$16)+(K367*Settings!$C$7)+(L367*Settings!$C$8)+(R367*Settings!$C$14)+(S367*Settings!$C$15)</f>
        <v>5.404386859994271</v>
      </c>
      <c r="E367" s="67"/>
      <c r="F367" s="121">
        <f>(VLOOKUP($A367,Hitters!$A1:$R401,4,FALSE)-AVERAGE(Rankings!M2:M651))/STDEV(Rankings!M2:M651)</f>
        <v>1.0585813226127223</v>
      </c>
      <c r="G367" s="121">
        <f>(VLOOKUP($A367,Hitters!$A1:$R401,5,FALSE)-AVERAGE(Rankings!N2:N651))/STDEV(Rankings!N2:N651)</f>
        <v>1.3096527771634761</v>
      </c>
      <c r="H367" s="121">
        <f>(VLOOKUP($A367,Hitters!$A1:$R401,6,FALSE)-AVERAGE(Rankings!O2:O651))/STDEV(Rankings!O2:O651)</f>
        <v>1.3934183393966402</v>
      </c>
      <c r="I367" s="121">
        <f>(VLOOKUP($A367,Hitters!$A1:$R401,7,FALSE)-AVERAGE(Rankings!P2:P651))/STDEV(Rankings!P2:P651)</f>
        <v>0.91999834723251361</v>
      </c>
      <c r="J367" s="121">
        <f>(VLOOKUP($A367,Hitters!$A1:$R401,8,FALSE)-AVERAGE(Rankings!Q2:Q651))/STDEV(Rankings!Q2:Q651)</f>
        <v>1.798615005236686</v>
      </c>
      <c r="K367" s="121">
        <f>(VLOOKUP($A367,Hitters!$A1:$R401,9,FALSE)-AVERAGE(Rankings!R2:R651))/STDEV(Rankings!R2:R651)</f>
        <v>-1.7297609035044324E-2</v>
      </c>
      <c r="L367" s="121">
        <f>(VLOOKUP($A367,Hitters!$A1:$R401,10,FALSE)-AVERAGE(Rankings!S2:S651))/STDEV(Rankings!S2:S651)</f>
        <v>-2.3446286325532424E-2</v>
      </c>
      <c r="M367" s="121">
        <f>(VLOOKUP($A367,Hitters!$A1:$R401,11,FALSE)-AVERAGE(Rankings!T2:T651))/STDEV(Rankings!T2:T651)</f>
        <v>0.88005584382127966</v>
      </c>
      <c r="N367" s="121">
        <f>(VLOOKUP($A367,Hitters!$A1:$R401,12,FALSE)-AVERAGE(Rankings!U2:U651))/STDEV(Rankings!U2:U651)</f>
        <v>0.62612519351785034</v>
      </c>
      <c r="O367" s="121">
        <f>(VLOOKUP($A367,Hitters!$A1:$R401,13,FALSE)-AVERAGE(Rankings!V2:V651))/STDEV(Rankings!V2:V651)</f>
        <v>2.9909410294233854</v>
      </c>
      <c r="P367" s="121">
        <f>(VLOOKUP($A367,Hitters!$A1:$R401,14,FALSE)-AVERAGE(Rankings!W2:W651))/STDEV(Rankings!W2:W651)</f>
        <v>0.65633033653019746</v>
      </c>
      <c r="Q367" s="121">
        <f>(VLOOKUP($A367,Hitters!$A1:$R401,15,FALSE)-AVERAGE(Rankings!X2:X651))/STDEV(Rankings!X2:X651)</f>
        <v>1.8843540512636152</v>
      </c>
      <c r="R367" s="121">
        <f>(VLOOKUP($A367,Hitters!$A1:$R401,16,FALSE)-AVERAGE(Rankings!Y2:Y651))/STDEV(Rankings!Y2:Y651)</f>
        <v>1.0828653274147757</v>
      </c>
      <c r="S367" s="121">
        <f>(VLOOKUP($A367,Hitters!$A1:$R401,17,FALSE)-AVERAGE(Rankings!Z2:Z651))/STDEV(Rankings!Z2:Z651)</f>
        <v>0.77902369891601519</v>
      </c>
      <c r="T367" s="121">
        <f>IFERROR((VLOOKUP($A367,Hitters!$A1:$R401,18,FALSE)-AVERAGE(Rankings!AA2:AA651))/STDEV(Rankings!AA2:AA651),0)</f>
        <v>0</v>
      </c>
      <c r="U367" s="67"/>
      <c r="V367" s="121"/>
      <c r="W367" s="121"/>
      <c r="X367" s="121"/>
      <c r="Y367" s="121"/>
      <c r="Z367" s="121"/>
      <c r="AA367" s="121"/>
      <c r="AB367" s="121"/>
      <c r="AC367" s="121"/>
      <c r="AD367" s="121"/>
      <c r="AE367" s="121"/>
      <c r="AF367" s="121"/>
      <c r="AG367" s="121"/>
      <c r="AH367" s="121"/>
      <c r="AI367" s="121"/>
      <c r="AJ367" s="121"/>
      <c r="AK367" s="121"/>
    </row>
    <row r="368" spans="1:37" ht="18.600000000000001" customHeight="1">
      <c r="A368" s="25" t="s">
        <v>245</v>
      </c>
      <c r="B368" s="26" t="s">
        <v>99</v>
      </c>
      <c r="C368" s="127" t="s">
        <v>27</v>
      </c>
      <c r="D368" s="67">
        <f>(F368*Settings!$C$2)+(G368*Settings!$C$3)+(H368*Settings!$C$4)+(I368*Settings!$C$5)+(J368*Settings!$C$6)+(M368*Settings!$C$9)+(N368*Settings!$C$10)+(O368*Settings!$C$11)+(P368*Settings!$C$12)+(Q368*Settings!$C$13)+(T368*Settings!$C$16)+(K368*Settings!$C$7)+(L368*Settings!$C$8)+(R368*Settings!$C$14)+(S368*Settings!$C$15)</f>
        <v>4.5941942859978013</v>
      </c>
      <c r="E368" s="67"/>
      <c r="F368" s="121">
        <f>(VLOOKUP($A368,Hitters!$A1:$R401,4,FALSE)-AVERAGE(Rankings!M2:M651))/STDEV(Rankings!M2:M651)</f>
        <v>1.314534236046317</v>
      </c>
      <c r="G368" s="121">
        <f>(VLOOKUP($A368,Hitters!$A1:$R401,5,FALSE)-AVERAGE(Rankings!N2:N651))/STDEV(Rankings!N2:N651)</f>
        <v>1.3961709090484598</v>
      </c>
      <c r="H368" s="121">
        <f>(VLOOKUP($A368,Hitters!$A1:$R401,6,FALSE)-AVERAGE(Rankings!O2:O651))/STDEV(Rankings!O2:O651)</f>
        <v>1.6335963546024979</v>
      </c>
      <c r="I368" s="121">
        <f>(VLOOKUP($A368,Hitters!$A1:$R401,7,FALSE)-AVERAGE(Rankings!P2:P651))/STDEV(Rankings!P2:P651)</f>
        <v>1.4364079690784763</v>
      </c>
      <c r="J368" s="121">
        <f>(VLOOKUP($A368,Hitters!$A1:$R401,8,FALSE)-AVERAGE(Rankings!Q2:Q651))/STDEV(Rankings!Q2:Q651)</f>
        <v>0.19228111570550613</v>
      </c>
      <c r="K368" s="121">
        <f>(VLOOKUP($A368,Hitters!$A1:$R401,9,FALSE)-AVERAGE(Rankings!R2:R651))/STDEV(Rankings!R2:R651)</f>
        <v>-6.426206243713796E-2</v>
      </c>
      <c r="L368" s="121">
        <f>(VLOOKUP($A368,Hitters!$A1:$R401,10,FALSE)-AVERAGE(Rankings!S2:S651))/STDEV(Rankings!S2:S651)</f>
        <v>9.7580258434386072E-2</v>
      </c>
      <c r="M368" s="121">
        <f>(VLOOKUP($A368,Hitters!$A1:$R401,11,FALSE)-AVERAGE(Rankings!T2:T651))/STDEV(Rankings!T2:T651)</f>
        <v>1.0879644727154894</v>
      </c>
      <c r="N368" s="121">
        <f>(VLOOKUP($A368,Hitters!$A1:$R401,12,FALSE)-AVERAGE(Rankings!U2:U651))/STDEV(Rankings!U2:U651)</f>
        <v>1.3765897712394577</v>
      </c>
      <c r="O368" s="121">
        <f>(VLOOKUP($A368,Hitters!$A1:$R401,13,FALSE)-AVERAGE(Rankings!V2:V651))/STDEV(Rankings!V2:V651)</f>
        <v>-0.5903871328757041</v>
      </c>
      <c r="P368" s="121">
        <f>(VLOOKUP($A368,Hitters!$A1:$R401,14,FALSE)-AVERAGE(Rankings!W2:W651))/STDEV(Rankings!W2:W651)</f>
        <v>1.0120522127755613</v>
      </c>
      <c r="Q368" s="121">
        <f>(VLOOKUP($A368,Hitters!$A1:$R401,15,FALSE)-AVERAGE(Rankings!X2:X651))/STDEV(Rankings!X2:X651)</f>
        <v>2.118277325983418</v>
      </c>
      <c r="R368" s="121">
        <f>(VLOOKUP($A368,Hitters!$A1:$R401,16,FALSE)-AVERAGE(Rankings!Y2:Y651))/STDEV(Rankings!Y2:Y651)</f>
        <v>0.89639955694956741</v>
      </c>
      <c r="S368" s="121">
        <f>(VLOOKUP($A368,Hitters!$A1:$R401,17,FALSE)-AVERAGE(Rankings!Z2:Z651))/STDEV(Rankings!Z2:Z651)</f>
        <v>0.69079945573814916</v>
      </c>
      <c r="T368" s="121">
        <f>IFERROR((VLOOKUP($A368,Hitters!$A1:$R401,18,FALSE)-AVERAGE(Rankings!AA2:AA651))/STDEV(Rankings!AA2:AA651),0)</f>
        <v>0</v>
      </c>
      <c r="U368" s="67"/>
      <c r="V368" s="121"/>
      <c r="W368" s="121"/>
      <c r="X368" s="121"/>
      <c r="Y368" s="121"/>
      <c r="Z368" s="121"/>
      <c r="AA368" s="121"/>
      <c r="AB368" s="121"/>
      <c r="AC368" s="121"/>
      <c r="AD368" s="121"/>
      <c r="AE368" s="121"/>
      <c r="AF368" s="121"/>
      <c r="AG368" s="121"/>
      <c r="AH368" s="121"/>
      <c r="AI368" s="121"/>
      <c r="AJ368" s="121"/>
      <c r="AK368" s="121"/>
    </row>
    <row r="369" spans="1:37" ht="18.600000000000001" customHeight="1">
      <c r="A369" s="25" t="s">
        <v>248</v>
      </c>
      <c r="B369" s="26" t="s">
        <v>77</v>
      </c>
      <c r="C369" s="127" t="s">
        <v>27</v>
      </c>
      <c r="D369" s="67">
        <f>(F369*Settings!$C$2)+(G369*Settings!$C$3)+(H369*Settings!$C$4)+(I369*Settings!$C$5)+(J369*Settings!$C$6)+(M369*Settings!$C$9)+(N369*Settings!$C$10)+(O369*Settings!$C$11)+(P369*Settings!$C$12)+(Q369*Settings!$C$13)+(T369*Settings!$C$16)+(K369*Settings!$C$7)+(L369*Settings!$C$8)+(R369*Settings!$C$14)+(S369*Settings!$C$15)</f>
        <v>4.4713149284207452</v>
      </c>
      <c r="E369" s="67"/>
      <c r="F369" s="121">
        <f>(VLOOKUP($A369,Hitters!$A1:$R401,4,FALSE)-AVERAGE(Rankings!M2:M651))/STDEV(Rankings!M2:M651)</f>
        <v>1.5495930340975752</v>
      </c>
      <c r="G369" s="121">
        <f>(VLOOKUP($A369,Hitters!$A1:$R401,5,FALSE)-AVERAGE(Rankings!N2:N651))/STDEV(Rankings!N2:N651)</f>
        <v>1.2155453354640178</v>
      </c>
      <c r="H369" s="121">
        <f>(VLOOKUP($A369,Hitters!$A1:$R401,6,FALSE)-AVERAGE(Rankings!O2:O651))/STDEV(Rankings!O2:O651)</f>
        <v>-0.27111973120392296</v>
      </c>
      <c r="I369" s="121">
        <f>(VLOOKUP($A369,Hitters!$A1:$R401,7,FALSE)-AVERAGE(Rankings!P2:P651))/STDEV(Rankings!P2:P651)</f>
        <v>0.6471490843467369</v>
      </c>
      <c r="J369" s="121">
        <f>(VLOOKUP($A369,Hitters!$A1:$R401,8,FALSE)-AVERAGE(Rankings!Q2:Q651))/STDEV(Rankings!Q2:Q651)</f>
        <v>1.3819721526395312</v>
      </c>
      <c r="K369" s="121">
        <f>(VLOOKUP($A369,Hitters!$A1:$R401,9,FALSE)-AVERAGE(Rankings!R2:R651))/STDEV(Rankings!R2:R651)</f>
        <v>1.4977680871743821</v>
      </c>
      <c r="L369" s="121">
        <f>(VLOOKUP($A369,Hitters!$A1:$R401,10,FALSE)-AVERAGE(Rankings!S2:S651))/STDEV(Rankings!S2:S651)</f>
        <v>-4.414275780857152E-2</v>
      </c>
      <c r="M369" s="121">
        <f>(VLOOKUP($A369,Hitters!$A1:$R401,11,FALSE)-AVERAGE(Rankings!T2:T651))/STDEV(Rankings!T2:T651)</f>
        <v>1.7967645685954821</v>
      </c>
      <c r="N369" s="121">
        <f>(VLOOKUP($A369,Hitters!$A1:$R401,12,FALSE)-AVERAGE(Rankings!U2:U651))/STDEV(Rankings!U2:U651)</f>
        <v>0.85785504896163811</v>
      </c>
      <c r="O369" s="121">
        <f>(VLOOKUP($A369,Hitters!$A1:$R401,13,FALSE)-AVERAGE(Rankings!V2:V651))/STDEV(Rankings!V2:V651)</f>
        <v>4.055660212809598</v>
      </c>
      <c r="P369" s="121">
        <f>(VLOOKUP($A369,Hitters!$A1:$R401,14,FALSE)-AVERAGE(Rankings!W2:W651))/STDEV(Rankings!W2:W651)</f>
        <v>-0.49256773374530705</v>
      </c>
      <c r="Q369" s="121">
        <f>(VLOOKUP($A369,Hitters!$A1:$R401,15,FALSE)-AVERAGE(Rankings!X2:X651))/STDEV(Rankings!X2:X651)</f>
        <v>0.50810545166209897</v>
      </c>
      <c r="R369" s="121">
        <f>(VLOOKUP($A369,Hitters!$A1:$R401,16,FALSE)-AVERAGE(Rankings!Y2:Y651))/STDEV(Rankings!Y2:Y651)</f>
        <v>-0.12596445405212384</v>
      </c>
      <c r="S369" s="121">
        <f>(VLOOKUP($A369,Hitters!$A1:$R401,17,FALSE)-AVERAGE(Rankings!Z2:Z651))/STDEV(Rankings!Z2:Z651)</f>
        <v>-0.10901767948722897</v>
      </c>
      <c r="T369" s="121">
        <f>IFERROR((VLOOKUP($A369,Hitters!$A1:$R401,18,FALSE)-AVERAGE(Rankings!AA2:AA651))/STDEV(Rankings!AA2:AA651),0)</f>
        <v>0</v>
      </c>
      <c r="U369" s="67"/>
      <c r="V369" s="121"/>
      <c r="W369" s="121"/>
      <c r="X369" s="121"/>
      <c r="Y369" s="121"/>
      <c r="Z369" s="121"/>
      <c r="AA369" s="121"/>
      <c r="AB369" s="121"/>
      <c r="AC369" s="121"/>
      <c r="AD369" s="121"/>
      <c r="AE369" s="121"/>
      <c r="AF369" s="121"/>
      <c r="AG369" s="121"/>
      <c r="AH369" s="121"/>
      <c r="AI369" s="121"/>
      <c r="AJ369" s="121"/>
      <c r="AK369" s="121"/>
    </row>
    <row r="370" spans="1:37" ht="18.600000000000001" customHeight="1">
      <c r="A370" s="25" t="s">
        <v>275</v>
      </c>
      <c r="B370" s="26" t="s">
        <v>103</v>
      </c>
      <c r="C370" s="127" t="s">
        <v>27</v>
      </c>
      <c r="D370" s="67">
        <f>(F370*Settings!$C$2)+(G370*Settings!$C$3)+(H370*Settings!$C$4)+(I370*Settings!$C$5)+(J370*Settings!$C$6)+(M370*Settings!$C$9)+(N370*Settings!$C$10)+(O370*Settings!$C$11)+(P370*Settings!$C$12)+(Q370*Settings!$C$13)+(T370*Settings!$C$16)+(K370*Settings!$C$7)+(L370*Settings!$C$8)+(R370*Settings!$C$14)+(S370*Settings!$C$15)</f>
        <v>3.9415618341639949</v>
      </c>
      <c r="E370" s="67"/>
      <c r="F370" s="121">
        <f>(VLOOKUP($A370,Hitters!$A1:$R401,4,FALSE)-AVERAGE(Rankings!M2:M651))/STDEV(Rankings!M2:M651)</f>
        <v>1.0220166206936347</v>
      </c>
      <c r="G370" s="121">
        <f>(VLOOKUP($A370,Hitters!$A1:$R401,5,FALSE)-AVERAGE(Rankings!N2:N651))/STDEV(Rankings!N2:N651)</f>
        <v>1.2489382986476991</v>
      </c>
      <c r="H370" s="121">
        <f>(VLOOKUP($A370,Hitters!$A1:$R401,6,FALSE)-AVERAGE(Rankings!O2:O651))/STDEV(Rankings!O2:O651)</f>
        <v>-0.14163245344077138</v>
      </c>
      <c r="I370" s="121">
        <f>(VLOOKUP($A370,Hitters!$A1:$R401,7,FALSE)-AVERAGE(Rankings!P2:P651))/STDEV(Rankings!P2:P651)</f>
        <v>0.63173387175432172</v>
      </c>
      <c r="J370" s="121">
        <f>(VLOOKUP($A370,Hitters!$A1:$R401,8,FALSE)-AVERAGE(Rankings!Q2:Q651))/STDEV(Rankings!Q2:Q651)</f>
        <v>0.43323119913518304</v>
      </c>
      <c r="K370" s="121">
        <f>(VLOOKUP($A370,Hitters!$A1:$R401,9,FALSE)-AVERAGE(Rankings!R2:R651))/STDEV(Rankings!R2:R651)</f>
        <v>1.7692909180675624</v>
      </c>
      <c r="L370" s="121">
        <f>(VLOOKUP($A370,Hitters!$A1:$R401,10,FALSE)-AVERAGE(Rankings!S2:S651))/STDEV(Rankings!S2:S651)</f>
        <v>1.194857535447762</v>
      </c>
      <c r="M370" s="121">
        <f>(VLOOKUP($A370,Hitters!$A1:$R401,11,FALSE)-AVERAGE(Rankings!T2:T651))/STDEV(Rankings!T2:T651)</f>
        <v>1.3591100806387704</v>
      </c>
      <c r="N370" s="121">
        <f>(VLOOKUP($A370,Hitters!$A1:$R401,12,FALSE)-AVERAGE(Rankings!U2:U651))/STDEV(Rankings!U2:U651)</f>
        <v>1.6274532844721818</v>
      </c>
      <c r="O370" s="121">
        <f>(VLOOKUP($A370,Hitters!$A1:$R401,13,FALSE)-AVERAGE(Rankings!V2:V651))/STDEV(Rankings!V2:V651)</f>
        <v>3.336629075977354</v>
      </c>
      <c r="P370" s="121">
        <f>(VLOOKUP($A370,Hitters!$A1:$R401,14,FALSE)-AVERAGE(Rankings!W2:W651))/STDEV(Rankings!W2:W651)</f>
        <v>0.43621001102066287</v>
      </c>
      <c r="Q370" s="121">
        <f>(VLOOKUP($A370,Hitters!$A1:$R401,15,FALSE)-AVERAGE(Rankings!X2:X651))/STDEV(Rankings!X2:X651)</f>
        <v>-0.92369992568534987</v>
      </c>
      <c r="R370" s="121">
        <f>(VLOOKUP($A370,Hitters!$A1:$R401,16,FALSE)-AVERAGE(Rankings!Y2:Y651))/STDEV(Rankings!Y2:Y651)</f>
        <v>0.7133513223445177</v>
      </c>
      <c r="S370" s="121">
        <f>(VLOOKUP($A370,Hitters!$A1:$R401,17,FALSE)-AVERAGE(Rankings!Z2:Z651))/STDEV(Rankings!Z2:Z651)</f>
        <v>0.98826438929694849</v>
      </c>
      <c r="T370" s="121">
        <f>IFERROR((VLOOKUP($A370,Hitters!$A1:$R401,18,FALSE)-AVERAGE(Rankings!AA2:AA651))/STDEV(Rankings!AA2:AA651),0)</f>
        <v>0</v>
      </c>
      <c r="U370" s="67"/>
      <c r="V370" s="121"/>
      <c r="W370" s="121"/>
      <c r="X370" s="121"/>
      <c r="Y370" s="121"/>
      <c r="Z370" s="121"/>
      <c r="AA370" s="121"/>
      <c r="AB370" s="121"/>
      <c r="AC370" s="121"/>
      <c r="AD370" s="121"/>
      <c r="AE370" s="121"/>
      <c r="AF370" s="121"/>
      <c r="AG370" s="121"/>
      <c r="AH370" s="121"/>
      <c r="AI370" s="121"/>
      <c r="AJ370" s="121"/>
      <c r="AK370" s="121"/>
    </row>
    <row r="371" spans="1:37" ht="18.600000000000001" customHeight="1">
      <c r="A371" s="25" t="s">
        <v>293</v>
      </c>
      <c r="B371" s="26" t="s">
        <v>158</v>
      </c>
      <c r="C371" s="127" t="s">
        <v>27</v>
      </c>
      <c r="D371" s="67">
        <f>(F371*Settings!$C$2)+(G371*Settings!$C$3)+(H371*Settings!$C$4)+(I371*Settings!$C$5)+(J371*Settings!$C$6)+(M371*Settings!$C$9)+(N371*Settings!$C$10)+(O371*Settings!$C$11)+(P371*Settings!$C$12)+(Q371*Settings!$C$13)+(T371*Settings!$C$16)+(K371*Settings!$C$7)+(L371*Settings!$C$8)+(R371*Settings!$C$14)+(S371*Settings!$C$15)</f>
        <v>3.5457448392246587</v>
      </c>
      <c r="E371" s="67"/>
      <c r="F371" s="121">
        <f>(VLOOKUP($A371,Hitters!$A1:$R401,4,FALSE)-AVERAGE(Rankings!M2:M651))/STDEV(Rankings!M2:M651)</f>
        <v>1.087310731263434</v>
      </c>
      <c r="G371" s="121">
        <f>(VLOOKUP($A371,Hitters!$A1:$R401,5,FALSE)-AVERAGE(Rankings!N2:N651))/STDEV(Rankings!N2:N651)</f>
        <v>1.1700094765771842</v>
      </c>
      <c r="H371" s="121">
        <f>(VLOOKUP($A371,Hitters!$A1:$R401,6,FALSE)-AVERAGE(Rankings!O2:O651))/STDEV(Rankings!O2:O651)</f>
        <v>0.96109791202610395</v>
      </c>
      <c r="I371" s="121">
        <f>(VLOOKUP($A371,Hitters!$A1:$R401,7,FALSE)-AVERAGE(Rankings!P2:P651))/STDEV(Rankings!P2:P651)</f>
        <v>0.97086854878748863</v>
      </c>
      <c r="J371" s="121">
        <f>(VLOOKUP($A371,Hitters!$A1:$R401,8,FALSE)-AVERAGE(Rankings!Q2:Q651))/STDEV(Rankings!Q2:Q651)</f>
        <v>-0.84179632568019003</v>
      </c>
      <c r="K371" s="121">
        <f>(VLOOKUP($A371,Hitters!$A1:$R401,9,FALSE)-AVERAGE(Rankings!R2:R651))/STDEV(Rankings!R2:R651)</f>
        <v>1.2855652275140714</v>
      </c>
      <c r="L371" s="121">
        <f>(VLOOKUP($A371,Hitters!$A1:$R401,10,FALSE)-AVERAGE(Rankings!S2:S651))/STDEV(Rankings!S2:S651)</f>
        <v>1.5467391692453822</v>
      </c>
      <c r="M371" s="121">
        <f>(VLOOKUP($A371,Hitters!$A1:$R401,11,FALSE)-AVERAGE(Rankings!T2:T651))/STDEV(Rankings!T2:T651)</f>
        <v>1.2835896596399927</v>
      </c>
      <c r="N371" s="121">
        <f>(VLOOKUP($A371,Hitters!$A1:$R401,12,FALSE)-AVERAGE(Rankings!U2:U651))/STDEV(Rankings!U2:U651)</f>
        <v>1.1044666382412571</v>
      </c>
      <c r="O371" s="121">
        <f>(VLOOKUP($A371,Hitters!$A1:$R401,13,FALSE)-AVERAGE(Rankings!V2:V651))/STDEV(Rankings!V2:V651)</f>
        <v>-0.45211191425411734</v>
      </c>
      <c r="P371" s="121">
        <f>(VLOOKUP($A371,Hitters!$A1:$R401,14,FALSE)-AVERAGE(Rankings!W2:W651))/STDEV(Rankings!W2:W651)</f>
        <v>1.3259790905064619</v>
      </c>
      <c r="Q371" s="121">
        <f>(VLOOKUP($A371,Hitters!$A1:$R401,15,FALSE)-AVERAGE(Rankings!X2:X651))/STDEV(Rankings!X2:X651)</f>
        <v>0.67477578489995849</v>
      </c>
      <c r="R371" s="121">
        <f>(VLOOKUP($A371,Hitters!$A1:$R401,16,FALSE)-AVERAGE(Rankings!Y2:Y651))/STDEV(Rankings!Y2:Y651)</f>
        <v>1.003824041832462</v>
      </c>
      <c r="S371" s="121">
        <f>(VLOOKUP($A371,Hitters!$A1:$R401,17,FALSE)-AVERAGE(Rankings!Z2:Z651))/STDEV(Rankings!Z2:Z651)</f>
        <v>1.3378238343041244</v>
      </c>
      <c r="T371" s="121">
        <f>IFERROR((VLOOKUP($A371,Hitters!$A1:$R401,18,FALSE)-AVERAGE(Rankings!AA2:AA651))/STDEV(Rankings!AA2:AA651),0)</f>
        <v>0</v>
      </c>
      <c r="U371" s="67"/>
      <c r="V371" s="121"/>
      <c r="W371" s="121"/>
      <c r="X371" s="121"/>
      <c r="Y371" s="121"/>
      <c r="Z371" s="121"/>
      <c r="AA371" s="121"/>
      <c r="AB371" s="121"/>
      <c r="AC371" s="121"/>
      <c r="AD371" s="121"/>
      <c r="AE371" s="121"/>
      <c r="AF371" s="121"/>
      <c r="AG371" s="121"/>
      <c r="AH371" s="121"/>
      <c r="AI371" s="121"/>
      <c r="AJ371" s="121"/>
      <c r="AK371" s="121"/>
    </row>
    <row r="372" spans="1:37" ht="18.600000000000001" customHeight="1">
      <c r="A372" s="25" t="s">
        <v>303</v>
      </c>
      <c r="B372" s="26" t="s">
        <v>79</v>
      </c>
      <c r="C372" s="127" t="s">
        <v>27</v>
      </c>
      <c r="D372" s="67">
        <f>(F372*Settings!$C$2)+(G372*Settings!$C$3)+(H372*Settings!$C$4)+(I372*Settings!$C$5)+(J372*Settings!$C$6)+(M372*Settings!$C$9)+(N372*Settings!$C$10)+(O372*Settings!$C$11)+(P372*Settings!$C$12)+(Q372*Settings!$C$13)+(T372*Settings!$C$16)+(K372*Settings!$C$7)+(L372*Settings!$C$8)+(R372*Settings!$C$14)+(S372*Settings!$C$15)</f>
        <v>3.4037210517427736</v>
      </c>
      <c r="E372" s="67"/>
      <c r="F372" s="121">
        <f>(VLOOKUP($A372,Hitters!$A1:$R401,4,FALSE)-AVERAGE(Rankings!M2:M651))/STDEV(Rankings!M2:M651)</f>
        <v>1.1891695437523124</v>
      </c>
      <c r="G372" s="121">
        <f>(VLOOKUP($A372,Hitters!$A1:$R401,5,FALSE)-AVERAGE(Rankings!N2:N651))/STDEV(Rankings!N2:N651)</f>
        <v>0.83304412081461487</v>
      </c>
      <c r="H372" s="121">
        <f>(VLOOKUP($A372,Hitters!$A1:$R401,6,FALSE)-AVERAGE(Rankings!O2:O651))/STDEV(Rankings!O2:O651)</f>
        <v>0.94438987618570081</v>
      </c>
      <c r="I372" s="121">
        <f>(VLOOKUP($A372,Hitters!$A1:$R401,7,FALSE)-AVERAGE(Rankings!P2:P651))/STDEV(Rankings!P2:P651)</f>
        <v>0.8398392417519478</v>
      </c>
      <c r="J372" s="121">
        <f>(VLOOKUP($A372,Hitters!$A1:$R401,8,FALSE)-AVERAGE(Rankings!Q2:Q651))/STDEV(Rankings!Q2:Q651)</f>
        <v>0.69426045618400511</v>
      </c>
      <c r="K372" s="121">
        <f>(VLOOKUP($A372,Hitters!$A1:$R401,9,FALSE)-AVERAGE(Rankings!R2:R651))/STDEV(Rankings!R2:R651)</f>
        <v>9.2187356806505028E-2</v>
      </c>
      <c r="L372" s="121">
        <f>(VLOOKUP($A372,Hitters!$A1:$R401,10,FALSE)-AVERAGE(Rankings!S2:S651))/STDEV(Rankings!S2:S651)</f>
        <v>-1.1457534023050662</v>
      </c>
      <c r="M372" s="121">
        <f>(VLOOKUP($A372,Hitters!$A1:$R401,11,FALSE)-AVERAGE(Rankings!T2:T651))/STDEV(Rankings!T2:T651)</f>
        <v>1.0260923205719108</v>
      </c>
      <c r="N372" s="121">
        <f>(VLOOKUP($A372,Hitters!$A1:$R401,12,FALSE)-AVERAGE(Rankings!U2:U651))/STDEV(Rankings!U2:U651)</f>
        <v>0.41140303388645855</v>
      </c>
      <c r="O372" s="121">
        <f>(VLOOKUP($A372,Hitters!$A1:$R401,13,FALSE)-AVERAGE(Rankings!V2:V651))/STDEV(Rankings!V2:V651)</f>
        <v>0.68174487844289422</v>
      </c>
      <c r="P372" s="121">
        <f>(VLOOKUP($A372,Hitters!$A1:$R401,14,FALSE)-AVERAGE(Rankings!W2:W651))/STDEV(Rankings!W2:W651)</f>
        <v>-0.57430017528470856</v>
      </c>
      <c r="Q372" s="121">
        <f>(VLOOKUP($A372,Hitters!$A1:$R401,15,FALSE)-AVERAGE(Rankings!X2:X651))/STDEV(Rankings!X2:X651)</f>
        <v>1.2205967592461751</v>
      </c>
      <c r="R372" s="121">
        <f>(VLOOKUP($A372,Hitters!$A1:$R401,16,FALSE)-AVERAGE(Rankings!Y2:Y651))/STDEV(Rankings!Y2:Y651)</f>
        <v>0.21773522203547005</v>
      </c>
      <c r="S372" s="121">
        <f>(VLOOKUP($A372,Hitters!$A1:$R401,17,FALSE)-AVERAGE(Rankings!Z2:Z651))/STDEV(Rankings!Z2:Z651)</f>
        <v>-0.29124400587443139</v>
      </c>
      <c r="T372" s="121">
        <f>IFERROR((VLOOKUP($A372,Hitters!$A1:$R401,18,FALSE)-AVERAGE(Rankings!AA2:AA651))/STDEV(Rankings!AA2:AA651),0)</f>
        <v>0</v>
      </c>
      <c r="U372" s="67"/>
      <c r="V372" s="121"/>
      <c r="W372" s="121"/>
      <c r="X372" s="121"/>
      <c r="Y372" s="121"/>
      <c r="Z372" s="121"/>
      <c r="AA372" s="121"/>
      <c r="AB372" s="121"/>
      <c r="AC372" s="121"/>
      <c r="AD372" s="121"/>
      <c r="AE372" s="121"/>
      <c r="AF372" s="121"/>
      <c r="AG372" s="121"/>
      <c r="AH372" s="121"/>
      <c r="AI372" s="121"/>
      <c r="AJ372" s="121"/>
      <c r="AK372" s="121"/>
    </row>
    <row r="373" spans="1:37" ht="18.600000000000001" customHeight="1">
      <c r="A373" s="25" t="s">
        <v>335</v>
      </c>
      <c r="B373" s="26" t="s">
        <v>260</v>
      </c>
      <c r="C373" s="127" t="s">
        <v>27</v>
      </c>
      <c r="D373" s="67">
        <f>(F373*Settings!$C$2)+(G373*Settings!$C$3)+(H373*Settings!$C$4)+(I373*Settings!$C$5)+(J373*Settings!$C$6)+(M373*Settings!$C$9)+(N373*Settings!$C$10)+(O373*Settings!$C$11)+(P373*Settings!$C$12)+(Q373*Settings!$C$13)+(T373*Settings!$C$16)+(K373*Settings!$C$7)+(L373*Settings!$C$8)+(R373*Settings!$C$14)+(S373*Settings!$C$15)</f>
        <v>3.0044199496547868</v>
      </c>
      <c r="E373" s="67"/>
      <c r="F373" s="121">
        <f>(VLOOKUP($A373,Hitters!$A1:$R401,4,FALSE)-AVERAGE(Rankings!M2:M651))/STDEV(Rankings!M2:M651)</f>
        <v>1.3406518802742322</v>
      </c>
      <c r="G373" s="121">
        <f>(VLOOKUP($A373,Hitters!$A1:$R401,5,FALSE)-AVERAGE(Rankings!N2:N651))/STDEV(Rankings!N2:N651)</f>
        <v>0.80268688155672874</v>
      </c>
      <c r="H373" s="121">
        <f>(VLOOKUP($A373,Hitters!$A1:$R401,6,FALSE)-AVERAGE(Rankings!O2:O651))/STDEV(Rankings!O2:O651)</f>
        <v>0.68541532065938515</v>
      </c>
      <c r="I373" s="121">
        <f>(VLOOKUP($A373,Hitters!$A1:$R401,7,FALSE)-AVERAGE(Rankings!P2:P651))/STDEV(Rankings!P2:P651)</f>
        <v>0.92924747478796377</v>
      </c>
      <c r="J373" s="121">
        <f>(VLOOKUP($A373,Hitters!$A1:$R401,8,FALSE)-AVERAGE(Rankings!Q2:Q651))/STDEV(Rankings!Q2:Q651)</f>
        <v>0.82477508470840333</v>
      </c>
      <c r="K373" s="121">
        <f>(VLOOKUP($A373,Hitters!$A1:$R401,9,FALSE)-AVERAGE(Rankings!R2:R651))/STDEV(Rankings!R2:R651)</f>
        <v>-0.237704812057694</v>
      </c>
      <c r="L373" s="121">
        <f>(VLOOKUP($A373,Hitters!$A1:$R401,10,FALSE)-AVERAGE(Rankings!S2:S651))/STDEV(Rankings!S2:S651)</f>
        <v>-1.3886226348483404</v>
      </c>
      <c r="M373" s="121">
        <f>(VLOOKUP($A373,Hitters!$A1:$R401,11,FALSE)-AVERAGE(Rankings!T2:T651))/STDEV(Rankings!T2:T651)</f>
        <v>1.0570283966436869</v>
      </c>
      <c r="N373" s="121">
        <f>(VLOOKUP($A373,Hitters!$A1:$R401,12,FALSE)-AVERAGE(Rankings!U2:U651))/STDEV(Rankings!U2:U651)</f>
        <v>0.70053386269704276</v>
      </c>
      <c r="O373" s="121">
        <f>(VLOOKUP($A373,Hitters!$A1:$R401,13,FALSE)-AVERAGE(Rankings!V2:V651))/STDEV(Rankings!V2:V651)</f>
        <v>1.2071907092049201</v>
      </c>
      <c r="P373" s="121">
        <f>(VLOOKUP($A373,Hitters!$A1:$R401,14,FALSE)-AVERAGE(Rankings!W2:W651))/STDEV(Rankings!W2:W651)</f>
        <v>-0.49442528923483708</v>
      </c>
      <c r="Q373" s="121">
        <f>(VLOOKUP($A373,Hitters!$A1:$R401,15,FALSE)-AVERAGE(Rankings!X2:X651))/STDEV(Rankings!X2:X651)</f>
        <v>2.0558977860581464</v>
      </c>
      <c r="R373" s="121">
        <f>(VLOOKUP($A373,Hitters!$A1:$R401,16,FALSE)-AVERAGE(Rankings!Y2:Y651))/STDEV(Rankings!Y2:Y651)</f>
        <v>-0.18193745214017351</v>
      </c>
      <c r="S373" s="121">
        <f>(VLOOKUP($A373,Hitters!$A1:$R401,17,FALSE)-AVERAGE(Rankings!Z2:Z651))/STDEV(Rankings!Z2:Z651)</f>
        <v>-0.67750108250985852</v>
      </c>
      <c r="T373" s="121">
        <f>IFERROR((VLOOKUP($A373,Hitters!$A1:$R401,18,FALSE)-AVERAGE(Rankings!AA2:AA651))/STDEV(Rankings!AA2:AA651),0)</f>
        <v>0</v>
      </c>
      <c r="U373" s="67"/>
      <c r="V373" s="121"/>
      <c r="W373" s="121"/>
      <c r="X373" s="121"/>
      <c r="Y373" s="121"/>
      <c r="Z373" s="121"/>
      <c r="AA373" s="121"/>
      <c r="AB373" s="121"/>
      <c r="AC373" s="121"/>
      <c r="AD373" s="121"/>
      <c r="AE373" s="121"/>
      <c r="AF373" s="121"/>
      <c r="AG373" s="121"/>
      <c r="AH373" s="121"/>
      <c r="AI373" s="121"/>
      <c r="AJ373" s="121"/>
      <c r="AK373" s="121"/>
    </row>
    <row r="374" spans="1:37" ht="18.600000000000001" customHeight="1">
      <c r="A374" s="25" t="s">
        <v>323</v>
      </c>
      <c r="B374" s="26" t="s">
        <v>160</v>
      </c>
      <c r="C374" s="127" t="s">
        <v>27</v>
      </c>
      <c r="D374" s="67">
        <f>(F374*Settings!$C$2)+(G374*Settings!$C$3)+(H374*Settings!$C$4)+(I374*Settings!$C$5)+(J374*Settings!$C$6)+(M374*Settings!$C$9)+(N374*Settings!$C$10)+(O374*Settings!$C$11)+(P374*Settings!$C$12)+(Q374*Settings!$C$13)+(T374*Settings!$C$16)+(K374*Settings!$C$7)+(L374*Settings!$C$8)+(R374*Settings!$C$14)+(S374*Settings!$C$15)</f>
        <v>3.1598362457023708</v>
      </c>
      <c r="E374" s="67"/>
      <c r="F374" s="121">
        <f>(VLOOKUP($A374,Hitters!$A1:$R401,4,FALSE)-AVERAGE(Rankings!M2:M651))/STDEV(Rankings!M2:M651)</f>
        <v>0.78695782264237657</v>
      </c>
      <c r="G374" s="121">
        <f>(VLOOKUP($A374,Hitters!$A1:$R401,5,FALSE)-AVERAGE(Rankings!N2:N651))/STDEV(Rankings!N2:N651)</f>
        <v>0.54009676197598555</v>
      </c>
      <c r="H374" s="121">
        <f>(VLOOKUP($A374,Hitters!$A1:$R401,6,FALSE)-AVERAGE(Rankings!O2:O651))/STDEV(Rankings!O2:O651)</f>
        <v>-0.66375857345349676</v>
      </c>
      <c r="I374" s="121">
        <f>(VLOOKUP($A374,Hitters!$A1:$R401,7,FALSE)-AVERAGE(Rankings!P2:P651))/STDEV(Rankings!P2:P651)</f>
        <v>9.2201431019733895E-2</v>
      </c>
      <c r="J374" s="121">
        <f>(VLOOKUP($A374,Hitters!$A1:$R401,8,FALSE)-AVERAGE(Rankings!Q2:Q651))/STDEV(Rankings!Q2:Q651)</f>
        <v>1.7082587239505569</v>
      </c>
      <c r="K374" s="121">
        <f>(VLOOKUP($A374,Hitters!$A1:$R401,9,FALSE)-AVERAGE(Rankings!R2:R651))/STDEV(Rankings!R2:R651)</f>
        <v>1.4830379022095914</v>
      </c>
      <c r="L374" s="121">
        <f>(VLOOKUP($A374,Hitters!$A1:$R401,10,FALSE)-AVERAGE(Rankings!S2:S651))/STDEV(Rankings!S2:S651)</f>
        <v>0.57639389155385023</v>
      </c>
      <c r="M374" s="121">
        <f>(VLOOKUP($A374,Hitters!$A1:$R401,11,FALSE)-AVERAGE(Rankings!T2:T651))/STDEV(Rankings!T2:T651)</f>
        <v>1.0479295507402298</v>
      </c>
      <c r="N374" s="121">
        <f>(VLOOKUP($A374,Hitters!$A1:$R401,12,FALSE)-AVERAGE(Rankings!U2:U651))/STDEV(Rankings!U2:U651)</f>
        <v>0.54321267643246007</v>
      </c>
      <c r="O374" s="121">
        <f>(VLOOKUP($A374,Hitters!$A1:$R401,13,FALSE)-AVERAGE(Rankings!V2:V651))/STDEV(Rankings!V2:V651)</f>
        <v>1.7049814962426313</v>
      </c>
      <c r="P374" s="121">
        <f>(VLOOKUP($A374,Hitters!$A1:$R401,14,FALSE)-AVERAGE(Rankings!W2:W651))/STDEV(Rankings!W2:W651)</f>
        <v>-0.11919908034938771</v>
      </c>
      <c r="Q374" s="121">
        <f>(VLOOKUP($A374,Hitters!$A1:$R401,15,FALSE)-AVERAGE(Rankings!X2:X651))/STDEV(Rankings!X2:X651)</f>
        <v>-0.76775107587214897</v>
      </c>
      <c r="R374" s="121">
        <f>(VLOOKUP($A374,Hitters!$A1:$R401,16,FALSE)-AVERAGE(Rankings!Y2:Y651))/STDEV(Rankings!Y2:Y651)</f>
        <v>-0.36362790035870235</v>
      </c>
      <c r="S374" s="121">
        <f>(VLOOKUP($A374,Hitters!$A1:$R401,17,FALSE)-AVERAGE(Rankings!Z2:Z651))/STDEV(Rankings!Z2:Z651)</f>
        <v>-3.843960726668335E-2</v>
      </c>
      <c r="T374" s="121">
        <f>IFERROR((VLOOKUP($A374,Hitters!$A1:$R401,18,FALSE)-AVERAGE(Rankings!AA2:AA651))/STDEV(Rankings!AA2:AA651),0)</f>
        <v>0</v>
      </c>
      <c r="U374" s="67"/>
      <c r="V374" s="121"/>
      <c r="W374" s="121"/>
      <c r="X374" s="121"/>
      <c r="Y374" s="121"/>
      <c r="Z374" s="121"/>
      <c r="AA374" s="121"/>
      <c r="AB374" s="121"/>
      <c r="AC374" s="121"/>
      <c r="AD374" s="121"/>
      <c r="AE374" s="121"/>
      <c r="AF374" s="121"/>
      <c r="AG374" s="121"/>
      <c r="AH374" s="121"/>
      <c r="AI374" s="121"/>
      <c r="AJ374" s="121"/>
      <c r="AK374" s="121"/>
    </row>
    <row r="375" spans="1:37" ht="18.600000000000001" customHeight="1">
      <c r="A375" s="25" t="s">
        <v>357</v>
      </c>
      <c r="B375" s="26" t="s">
        <v>178</v>
      </c>
      <c r="C375" s="128" t="s">
        <v>27</v>
      </c>
      <c r="D375" s="67">
        <f>(F375*Settings!$C$2)+(G375*Settings!$C$3)+(H375*Settings!$C$4)+(I375*Settings!$C$5)+(J375*Settings!$C$6)+(M375*Settings!$C$9)+(N375*Settings!$C$10)+(O375*Settings!$C$11)+(P375*Settings!$C$12)+(Q375*Settings!$C$13)+(T375*Settings!$C$16)+(K375*Settings!$C$7)+(L375*Settings!$C$8)+(R375*Settings!$C$14)+(S375*Settings!$C$15)</f>
        <v>2.7637246279237559</v>
      </c>
      <c r="E375" s="67"/>
      <c r="F375" s="121">
        <f>(VLOOKUP($A375,Hitters!$A1:$R401,4,FALSE)-AVERAGE(Rankings!M2:M651))/STDEV(Rankings!M2:M651)</f>
        <v>0.55973431785949357</v>
      </c>
      <c r="G375" s="121">
        <f>(VLOOKUP($A375,Hitters!$A1:$R401,5,FALSE)-AVERAGE(Rankings!N2:N651))/STDEV(Rankings!N2:N651)</f>
        <v>0.37009622213180787</v>
      </c>
      <c r="H375" s="121">
        <f>(VLOOKUP($A375,Hitters!$A1:$R401,6,FALSE)-AVERAGE(Rankings!O2:O651))/STDEV(Rankings!O2:O651)</f>
        <v>3.3801922883504254E-2</v>
      </c>
      <c r="I375" s="121">
        <f>(VLOOKUP($A375,Hitters!$A1:$R401,7,FALSE)-AVERAGE(Rankings!P2:P651))/STDEV(Rankings!P2:P651)</f>
        <v>0.22168921679603479</v>
      </c>
      <c r="J375" s="121">
        <f>(VLOOKUP($A375,Hitters!$A1:$R401,8,FALSE)-AVERAGE(Rankings!Q2:Q651))/STDEV(Rankings!Q2:Q651)</f>
        <v>0.83983446492275815</v>
      </c>
      <c r="K375" s="121">
        <f>(VLOOKUP($A375,Hitters!$A1:$R401,9,FALSE)-AVERAGE(Rankings!R2:R651))/STDEV(Rankings!R2:R651)</f>
        <v>1.2983028011896509</v>
      </c>
      <c r="L375" s="121">
        <f>(VLOOKUP($A375,Hitters!$A1:$R401,10,FALSE)-AVERAGE(Rankings!S2:S651))/STDEV(Rankings!S2:S651)</f>
        <v>0.11104419307698032</v>
      </c>
      <c r="M375" s="121">
        <f>(VLOOKUP($A375,Hitters!$A1:$R401,11,FALSE)-AVERAGE(Rankings!T2:T651))/STDEV(Rankings!T2:T651)</f>
        <v>0.77951359658798791</v>
      </c>
      <c r="N375" s="121">
        <f>(VLOOKUP($A375,Hitters!$A1:$R401,12,FALSE)-AVERAGE(Rankings!U2:U651))/STDEV(Rankings!U2:U651)</f>
        <v>0.2625856955280611</v>
      </c>
      <c r="O375" s="121">
        <f>(VLOOKUP($A375,Hitters!$A1:$R401,13,FALSE)-AVERAGE(Rankings!V2:V651))/STDEV(Rankings!V2:V651)</f>
        <v>0.76471000961584623</v>
      </c>
      <c r="P375" s="121">
        <f>(VLOOKUP($A375,Hitters!$A1:$R401,14,FALSE)-AVERAGE(Rankings!W2:W651))/STDEV(Rankings!W2:W651)</f>
        <v>-0.5371490654940736</v>
      </c>
      <c r="Q375" s="121">
        <f>(VLOOKUP($A375,Hitters!$A1:$R401,15,FALSE)-AVERAGE(Rankings!X2:X651))/STDEV(Rankings!X2:X651)</f>
        <v>-0.12836079163802033</v>
      </c>
      <c r="R375" s="121">
        <f>(VLOOKUP($A375,Hitters!$A1:$R401,16,FALSE)-AVERAGE(Rankings!Y2:Y651))/STDEV(Rankings!Y2:Y651)</f>
        <v>0.3357042077896934</v>
      </c>
      <c r="S375" s="121">
        <f>(VLOOKUP($A375,Hitters!$A1:$R401,17,FALSE)-AVERAGE(Rankings!Z2:Z651))/STDEV(Rankings!Z2:Z651)</f>
        <v>0.2879494348686637</v>
      </c>
      <c r="T375" s="121">
        <f>IFERROR((VLOOKUP($A375,Hitters!$A1:$R401,18,FALSE)-AVERAGE(Rankings!AA2:AA651))/STDEV(Rankings!AA2:AA651),0)</f>
        <v>0</v>
      </c>
      <c r="U375" s="67"/>
      <c r="V375" s="121"/>
      <c r="W375" s="121"/>
      <c r="X375" s="121"/>
      <c r="Y375" s="121"/>
      <c r="Z375" s="121"/>
      <c r="AA375" s="121"/>
      <c r="AB375" s="121"/>
      <c r="AC375" s="121"/>
      <c r="AD375" s="121"/>
      <c r="AE375" s="121"/>
      <c r="AF375" s="121"/>
      <c r="AG375" s="121"/>
      <c r="AH375" s="121"/>
      <c r="AI375" s="121"/>
      <c r="AJ375" s="121"/>
      <c r="AK375" s="121"/>
    </row>
    <row r="376" spans="1:37" ht="18.600000000000001" customHeight="1">
      <c r="A376" s="25" t="s">
        <v>329</v>
      </c>
      <c r="B376" s="26" t="s">
        <v>105</v>
      </c>
      <c r="C376" s="129" t="s">
        <v>27</v>
      </c>
      <c r="D376" s="67">
        <f>(F376*Settings!$C$2)+(G376*Settings!$C$3)+(H376*Settings!$C$4)+(I376*Settings!$C$5)+(J376*Settings!$C$6)+(M376*Settings!$C$9)+(N376*Settings!$C$10)+(O376*Settings!$C$11)+(P376*Settings!$C$12)+(Q376*Settings!$C$13)+(T376*Settings!$C$16)+(K376*Settings!$C$7)+(L376*Settings!$C$8)+(R376*Settings!$C$14)+(S376*Settings!$C$15)</f>
        <v>3.0448461478320659</v>
      </c>
      <c r="E376" s="67"/>
      <c r="F376" s="121">
        <f>(VLOOKUP($A376,Hitters!$A1:$R401,4,FALSE)-AVERAGE(Rankings!M2:M651))/STDEV(Rankings!M2:M651)</f>
        <v>0.25742258592135037</v>
      </c>
      <c r="G376" s="121">
        <f>(VLOOKUP($A376,Hitters!$A1:$R401,5,FALSE)-AVERAGE(Rankings!N2:N651))/STDEV(Rankings!N2:N651)</f>
        <v>1.7193315758846424E-2</v>
      </c>
      <c r="H376" s="121">
        <f>(VLOOKUP($A376,Hitters!$A1:$R401,6,FALSE)-AVERAGE(Rankings!O2:O651))/STDEV(Rankings!O2:O651)</f>
        <v>-0.2439691729632697</v>
      </c>
      <c r="I376" s="121">
        <f>(VLOOKUP($A376,Hitters!$A1:$R401,7,FALSE)-AVERAGE(Rankings!P2:P651))/STDEV(Rankings!P2:P651)</f>
        <v>-0.25541161293926506</v>
      </c>
      <c r="J376" s="121">
        <f>(VLOOKUP($A376,Hitters!$A1:$R401,8,FALSE)-AVERAGE(Rankings!Q2:Q651))/STDEV(Rankings!Q2:Q651)</f>
        <v>4.3612195383793999</v>
      </c>
      <c r="K376" s="121">
        <f>(VLOOKUP($A376,Hitters!$A1:$R401,9,FALSE)-AVERAGE(Rankings!R2:R651))/STDEV(Rankings!R2:R651)</f>
        <v>-0.83418592040364592</v>
      </c>
      <c r="L376" s="121">
        <f>(VLOOKUP($A376,Hitters!$A1:$R401,10,FALSE)-AVERAGE(Rankings!S2:S651))/STDEV(Rankings!S2:S651)</f>
        <v>-1.6829760086898153</v>
      </c>
      <c r="M376" s="121">
        <f>(VLOOKUP($A376,Hitters!$A1:$R401,11,FALSE)-AVERAGE(Rankings!T2:T651))/STDEV(Rankings!T2:T651)</f>
        <v>-4.8069202908012938E-3</v>
      </c>
      <c r="N376" s="121">
        <f>(VLOOKUP($A376,Hitters!$A1:$R401,12,FALSE)-AVERAGE(Rankings!U2:U651))/STDEV(Rankings!U2:U651)</f>
        <v>9.6760661357280509E-2</v>
      </c>
      <c r="O376" s="121">
        <f>(VLOOKUP($A376,Hitters!$A1:$R401,13,FALSE)-AVERAGE(Rankings!V2:V651))/STDEV(Rankings!V2:V651)</f>
        <v>1.5390512338967277</v>
      </c>
      <c r="P376" s="121">
        <f>(VLOOKUP($A376,Hitters!$A1:$R401,14,FALSE)-AVERAGE(Rankings!W2:W651))/STDEV(Rankings!W2:W651)</f>
        <v>-0.73126361415015895</v>
      </c>
      <c r="Q376" s="121">
        <f>(VLOOKUP($A376,Hitters!$A1:$R401,15,FALSE)-AVERAGE(Rankings!X2:X651))/STDEV(Rankings!X2:X651)</f>
        <v>1.1231287281129336</v>
      </c>
      <c r="R376" s="121">
        <f>(VLOOKUP($A376,Hitters!$A1:$R401,16,FALSE)-AVERAGE(Rankings!Y2:Y651))/STDEV(Rankings!Y2:Y651)</f>
        <v>-0.65970078654950448</v>
      </c>
      <c r="S376" s="121">
        <f>(VLOOKUP($A376,Hitters!$A1:$R401,17,FALSE)-AVERAGE(Rankings!Z2:Z651))/STDEV(Rankings!Z2:Z651)</f>
        <v>-1.14080976200047</v>
      </c>
      <c r="T376" s="121">
        <f>IFERROR((VLOOKUP($A376,Hitters!$A1:$R401,18,FALSE)-AVERAGE(Rankings!AA2:AA651))/STDEV(Rankings!AA2:AA651),0)</f>
        <v>0</v>
      </c>
      <c r="U376" s="67"/>
      <c r="V376" s="121"/>
      <c r="W376" s="121"/>
      <c r="X376" s="121"/>
      <c r="Y376" s="121"/>
      <c r="Z376" s="121"/>
      <c r="AA376" s="121"/>
      <c r="AB376" s="121"/>
      <c r="AC376" s="121"/>
      <c r="AD376" s="121"/>
      <c r="AE376" s="121"/>
      <c r="AF376" s="121"/>
      <c r="AG376" s="121"/>
      <c r="AH376" s="121"/>
      <c r="AI376" s="121"/>
      <c r="AJ376" s="121"/>
      <c r="AK376" s="121"/>
    </row>
    <row r="377" spans="1:37" ht="18.600000000000001" customHeight="1">
      <c r="A377" s="25" t="s">
        <v>429</v>
      </c>
      <c r="B377" s="26" t="s">
        <v>225</v>
      </c>
      <c r="C377" s="127" t="s">
        <v>27</v>
      </c>
      <c r="D377" s="67">
        <f>(F377*Settings!$C$2)+(G377*Settings!$C$3)+(H377*Settings!$C$4)+(I377*Settings!$C$5)+(J377*Settings!$C$6)+(M377*Settings!$C$9)+(N377*Settings!$C$10)+(O377*Settings!$C$11)+(P377*Settings!$C$12)+(Q377*Settings!$C$13)+(T377*Settings!$C$16)+(K377*Settings!$C$7)+(L377*Settings!$C$8)+(R377*Settings!$C$14)+(S377*Settings!$C$15)</f>
        <v>1.4214531370639212</v>
      </c>
      <c r="E377" s="67"/>
      <c r="F377" s="121">
        <f>(VLOOKUP($A377,Hitters!$A1:$R401,4,FALSE)-AVERAGE(Rankings!M2:M651))/STDEV(Rankings!M2:M651)</f>
        <v>-0.17939501379057121</v>
      </c>
      <c r="G377" s="121">
        <f>(VLOOKUP($A377,Hitters!$A1:$R401,5,FALSE)-AVERAGE(Rankings!N2:N651))/STDEV(Rankings!N2:N651)</f>
        <v>-0.22945925321150451</v>
      </c>
      <c r="H377" s="121">
        <f>(VLOOKUP($A377,Hitters!$A1:$R401,6,FALSE)-AVERAGE(Rankings!O2:O651))/STDEV(Rankings!O2:O651)</f>
        <v>0.1716432185668636</v>
      </c>
      <c r="I377" s="121">
        <f>(VLOOKUP($A377,Hitters!$A1:$R401,7,FALSE)-AVERAGE(Rankings!P2:P651))/STDEV(Rankings!P2:P651)</f>
        <v>2.7457538131583605E-2</v>
      </c>
      <c r="J377" s="121">
        <f>(VLOOKUP($A377,Hitters!$A1:$R401,8,FALSE)-AVERAGE(Rankings!Q2:Q651))/STDEV(Rankings!Q2:Q651)</f>
        <v>1.1360022758050743</v>
      </c>
      <c r="K377" s="121">
        <f>(VLOOKUP($A377,Hitters!$A1:$R401,9,FALSE)-AVERAGE(Rankings!R2:R651))/STDEV(Rankings!R2:R651)</f>
        <v>0.31580935777190405</v>
      </c>
      <c r="L377" s="121">
        <f>(VLOOKUP($A377,Hitters!$A1:$R401,10,FALSE)-AVERAGE(Rankings!S2:S651))/STDEV(Rankings!S2:S651)</f>
        <v>-0.67770961751126613</v>
      </c>
      <c r="M377" s="121">
        <f>(VLOOKUP($A377,Hitters!$A1:$R401,11,FALSE)-AVERAGE(Rankings!T2:T651))/STDEV(Rankings!T2:T651)</f>
        <v>-0.12855122457793969</v>
      </c>
      <c r="N377" s="121">
        <f>(VLOOKUP($A377,Hitters!$A1:$R401,12,FALSE)-AVERAGE(Rankings!U2:U651))/STDEV(Rankings!U2:U651)</f>
        <v>3.2981802060826279E-2</v>
      </c>
      <c r="O377" s="121">
        <f>(VLOOKUP($A377,Hitters!$A1:$R401,13,FALSE)-AVERAGE(Rankings!V2:V651))/STDEV(Rankings!V2:V651)</f>
        <v>1.6220163650696795</v>
      </c>
      <c r="P377" s="121">
        <f>(VLOOKUP($A377,Hitters!$A1:$R401,14,FALSE)-AVERAGE(Rankings!W2:W651))/STDEV(Rankings!W2:W651)</f>
        <v>-0.85107594322496893</v>
      </c>
      <c r="Q377" s="121">
        <f>(VLOOKUP($A377,Hitters!$A1:$R401,15,FALSE)-AVERAGE(Rankings!X2:X651))/STDEV(Rankings!X2:X651)</f>
        <v>0.57730775376671706</v>
      </c>
      <c r="R377" s="121">
        <f>(VLOOKUP($A377,Hitters!$A1:$R401,16,FALSE)-AVERAGE(Rankings!Y2:Y651))/STDEV(Rankings!Y2:Y651)</f>
        <v>1.0246213845964351</v>
      </c>
      <c r="S377" s="121">
        <f>(VLOOKUP($A377,Hitters!$A1:$R401,17,FALSE)-AVERAGE(Rankings!Z2:Z651))/STDEV(Rankings!Z2:Z651)</f>
        <v>0.47981358957005693</v>
      </c>
      <c r="T377" s="121">
        <f>IFERROR((VLOOKUP($A377,Hitters!$A1:$R401,18,FALSE)-AVERAGE(Rankings!AA2:AA651))/STDEV(Rankings!AA2:AA651),0)</f>
        <v>0</v>
      </c>
      <c r="U377" s="67"/>
      <c r="V377" s="121"/>
      <c r="W377" s="121"/>
      <c r="X377" s="121"/>
      <c r="Y377" s="121"/>
      <c r="Z377" s="121"/>
      <c r="AA377" s="121"/>
      <c r="AB377" s="121"/>
      <c r="AC377" s="121"/>
      <c r="AD377" s="121"/>
      <c r="AE377" s="121"/>
      <c r="AF377" s="121"/>
      <c r="AG377" s="121"/>
      <c r="AH377" s="121"/>
      <c r="AI377" s="121"/>
      <c r="AJ377" s="121"/>
      <c r="AK377" s="121"/>
    </row>
    <row r="378" spans="1:37" ht="18.600000000000001" customHeight="1">
      <c r="A378" s="25" t="s">
        <v>477</v>
      </c>
      <c r="B378" s="26" t="s">
        <v>309</v>
      </c>
      <c r="C378" s="127" t="s">
        <v>27</v>
      </c>
      <c r="D378" s="67">
        <f>(F378*Settings!$C$2)+(G378*Settings!$C$3)+(H378*Settings!$C$4)+(I378*Settings!$C$5)+(J378*Settings!$C$6)+(M378*Settings!$C$9)+(N378*Settings!$C$10)+(O378*Settings!$C$11)+(P378*Settings!$C$12)+(Q378*Settings!$C$13)+(T378*Settings!$C$16)+(K378*Settings!$C$7)+(L378*Settings!$C$8)+(R378*Settings!$C$14)+(S378*Settings!$C$15)</f>
        <v>0.82918347275651272</v>
      </c>
      <c r="E378" s="67"/>
      <c r="F378" s="121">
        <f>(VLOOKUP($A378,Hitters!$A1:$R401,4,FALSE)-AVERAGE(Rankings!M2:M651))/STDEV(Rankings!M2:M651)</f>
        <v>0.71121665438142123</v>
      </c>
      <c r="G378" s="121">
        <f>(VLOOKUP($A378,Hitters!$A1:$R401,5,FALSE)-AVERAGE(Rankings!N2:N651))/STDEV(Rankings!N2:N651)</f>
        <v>0.23348864547130668</v>
      </c>
      <c r="H378" s="121">
        <f>(VLOOKUP($A378,Hitters!$A1:$R401,6,FALSE)-AVERAGE(Rankings!O2:O651))/STDEV(Rankings!O2:O651)</f>
        <v>-0.82666192289746709</v>
      </c>
      <c r="I378" s="121">
        <f>(VLOOKUP($A378,Hitters!$A1:$R401,7,FALSE)-AVERAGE(Rankings!P2:P651))/STDEV(Rankings!P2:P651)</f>
        <v>-0.23614259719874262</v>
      </c>
      <c r="J378" s="121">
        <f>(VLOOKUP($A378,Hitters!$A1:$R401,8,FALSE)-AVERAGE(Rankings!Q2:Q651))/STDEV(Rankings!Q2:Q651)</f>
        <v>1.1510616560194291</v>
      </c>
      <c r="K378" s="121">
        <f>(VLOOKUP($A378,Hitters!$A1:$R401,9,FALSE)-AVERAGE(Rankings!R2:R651))/STDEV(Rankings!R2:R651)</f>
        <v>0.50743769136198669</v>
      </c>
      <c r="L378" s="121">
        <f>(VLOOKUP($A378,Hitters!$A1:$R401,10,FALSE)-AVERAGE(Rankings!S2:S651))/STDEV(Rankings!S2:S651)</f>
        <v>-1.2071985662111484</v>
      </c>
      <c r="M378" s="121">
        <f>(VLOOKUP($A378,Hitters!$A1:$R401,11,FALSE)-AVERAGE(Rankings!T2:T651))/STDEV(Rankings!T2:T651)</f>
        <v>0.71673155985407178</v>
      </c>
      <c r="N378" s="121">
        <f>(VLOOKUP($A378,Hitters!$A1:$R401,12,FALSE)-AVERAGE(Rankings!U2:U651))/STDEV(Rankings!U2:U651)</f>
        <v>0.73880117827491532</v>
      </c>
      <c r="O378" s="121">
        <f>(VLOOKUP($A378,Hitters!$A1:$R401,13,FALSE)-AVERAGE(Rankings!V2:V651))/STDEV(Rankings!V2:V651)</f>
        <v>1.0965705343076537</v>
      </c>
      <c r="P378" s="121">
        <f>(VLOOKUP($A378,Hitters!$A1:$R401,14,FALSE)-AVERAGE(Rankings!W2:W651))/STDEV(Rankings!W2:W651)</f>
        <v>-1.1111337117594418</v>
      </c>
      <c r="Q378" s="121">
        <f>(VLOOKUP($A378,Hitters!$A1:$R401,15,FALSE)-AVERAGE(Rankings!X2:X651))/STDEV(Rankings!X2:X651)</f>
        <v>-0.1897656512519684</v>
      </c>
      <c r="R378" s="121">
        <f>(VLOOKUP($A378,Hitters!$A1:$R401,16,FALSE)-AVERAGE(Rankings!Y2:Y651))/STDEV(Rankings!Y2:Y651)</f>
        <v>-0.94408307708273143</v>
      </c>
      <c r="S378" s="121">
        <f>(VLOOKUP($A378,Hitters!$A1:$R401,17,FALSE)-AVERAGE(Rankings!Z2:Z651))/STDEV(Rankings!Z2:Z651)</f>
        <v>-1.1610601511376017</v>
      </c>
      <c r="T378" s="121">
        <f>IFERROR((VLOOKUP($A378,Hitters!$A1:$R401,18,FALSE)-AVERAGE(Rankings!AA2:AA651))/STDEV(Rankings!AA2:AA651),0)</f>
        <v>0</v>
      </c>
      <c r="U378" s="67"/>
      <c r="V378" s="121"/>
      <c r="W378" s="121"/>
      <c r="X378" s="121"/>
      <c r="Y378" s="121"/>
      <c r="Z378" s="121"/>
      <c r="AA378" s="121"/>
      <c r="AB378" s="121"/>
      <c r="AC378" s="121"/>
      <c r="AD378" s="121"/>
      <c r="AE378" s="121"/>
      <c r="AF378" s="121"/>
      <c r="AG378" s="121"/>
      <c r="AH378" s="121"/>
      <c r="AI378" s="121"/>
      <c r="AJ378" s="121"/>
      <c r="AK378" s="121"/>
    </row>
    <row r="379" spans="1:37" ht="18.600000000000001" customHeight="1">
      <c r="A379" s="25" t="s">
        <v>512</v>
      </c>
      <c r="B379" s="26" t="s">
        <v>219</v>
      </c>
      <c r="C379" s="127" t="s">
        <v>27</v>
      </c>
      <c r="D379" s="67">
        <f>(F379*Settings!$C$2)+(G379*Settings!$C$3)+(H379*Settings!$C$4)+(I379*Settings!$C$5)+(J379*Settings!$C$6)+(M379*Settings!$C$9)+(N379*Settings!$C$10)+(O379*Settings!$C$11)+(P379*Settings!$C$12)+(Q379*Settings!$C$13)+(T379*Settings!$C$16)+(K379*Settings!$C$7)+(L379*Settings!$C$8)+(R379*Settings!$C$14)+(S379*Settings!$C$15)</f>
        <v>0.33939970477234038</v>
      </c>
      <c r="E379" s="67"/>
      <c r="F379" s="121">
        <f>(VLOOKUP($A379,Hitters!$A1:$R401,4,FALSE)-AVERAGE(Rankings!M2:M651))/STDEV(Rankings!M2:M651)</f>
        <v>0.41608727460594969</v>
      </c>
      <c r="G379" s="121">
        <f>(VLOOKUP($A379,Hitters!$A1:$R401,5,FALSE)-AVERAGE(Rankings!N2:N651))/STDEV(Rankings!N2:N651)</f>
        <v>0.17429202891842294</v>
      </c>
      <c r="H379" s="121">
        <f>(VLOOKUP($A379,Hitters!$A1:$R401,6,FALSE)-AVERAGE(Rankings!O2:O651))/STDEV(Rankings!O2:O651)</f>
        <v>-2.885321151802275E-2</v>
      </c>
      <c r="I379" s="121">
        <f>(VLOOKUP($A379,Hitters!$A1:$R401,7,FALSE)-AVERAGE(Rankings!P2:P651))/STDEV(Rankings!P2:P651)</f>
        <v>0.36042613012778552</v>
      </c>
      <c r="J379" s="121">
        <f>(VLOOKUP($A379,Hitters!$A1:$R401,8,FALSE)-AVERAGE(Rankings!Q2:Q651))/STDEV(Rankings!Q2:Q651)</f>
        <v>-0.32475760498734169</v>
      </c>
      <c r="K379" s="121">
        <f>(VLOOKUP($A379,Hitters!$A1:$R401,9,FALSE)-AVERAGE(Rankings!R2:R651))/STDEV(Rankings!R2:R651)</f>
        <v>0.15829236223149643</v>
      </c>
      <c r="L379" s="121">
        <f>(VLOOKUP($A379,Hitters!$A1:$R401,10,FALSE)-AVERAGE(Rankings!S2:S651))/STDEV(Rankings!S2:S651)</f>
        <v>0.22383600995173078</v>
      </c>
      <c r="M379" s="121">
        <f>(VLOOKUP($A379,Hitters!$A1:$R401,11,FALSE)-AVERAGE(Rankings!T2:T651))/STDEV(Rankings!T2:T651)</f>
        <v>0.36460622338993315</v>
      </c>
      <c r="N379" s="121">
        <f>(VLOOKUP($A379,Hitters!$A1:$R401,12,FALSE)-AVERAGE(Rankings!U2:U651))/STDEV(Rankings!U2:U651)</f>
        <v>0.19455491227851426</v>
      </c>
      <c r="O379" s="121">
        <f>(VLOOKUP($A379,Hitters!$A1:$R401,13,FALSE)-AVERAGE(Rankings!V2:V651))/STDEV(Rankings!V2:V651)</f>
        <v>0.29457426630244948</v>
      </c>
      <c r="P379" s="121">
        <f>(VLOOKUP($A379,Hitters!$A1:$R401,14,FALSE)-AVERAGE(Rankings!W2:W651))/STDEV(Rankings!W2:W651)</f>
        <v>0.3303293481173426</v>
      </c>
      <c r="Q379" s="121">
        <f>(VLOOKUP($A379,Hitters!$A1:$R401,15,FALSE)-AVERAGE(Rankings!X2:X651))/STDEV(Rankings!X2:X651)</f>
        <v>0.25176452978166791</v>
      </c>
      <c r="R379" s="121">
        <f>(VLOOKUP($A379,Hitters!$A1:$R401,16,FALSE)-AVERAGE(Rankings!Y2:Y651))/STDEV(Rankings!Y2:Y651)</f>
        <v>-0.2102166245690037</v>
      </c>
      <c r="S379" s="121">
        <f>(VLOOKUP($A379,Hitters!$A1:$R401,17,FALSE)-AVERAGE(Rankings!Z2:Z651))/STDEV(Rankings!Z2:Z651)</f>
        <v>-6.5157543856661962E-2</v>
      </c>
      <c r="T379" s="121">
        <f>IFERROR((VLOOKUP($A379,Hitters!$A1:$R401,18,FALSE)-AVERAGE(Rankings!AA2:AA651))/STDEV(Rankings!AA2:AA651),0)</f>
        <v>0</v>
      </c>
      <c r="U379" s="67"/>
      <c r="V379" s="121"/>
      <c r="W379" s="121"/>
      <c r="X379" s="121"/>
      <c r="Y379" s="121"/>
      <c r="Z379" s="121"/>
      <c r="AA379" s="121"/>
      <c r="AB379" s="121"/>
      <c r="AC379" s="121"/>
      <c r="AD379" s="121"/>
      <c r="AE379" s="121"/>
      <c r="AF379" s="121"/>
      <c r="AG379" s="121"/>
      <c r="AH379" s="121"/>
      <c r="AI379" s="121"/>
      <c r="AJ379" s="121"/>
      <c r="AK379" s="121"/>
    </row>
    <row r="380" spans="1:37" ht="18.600000000000001" customHeight="1">
      <c r="A380" s="25" t="s">
        <v>532</v>
      </c>
      <c r="B380" s="26" t="s">
        <v>85</v>
      </c>
      <c r="C380" s="127" t="s">
        <v>27</v>
      </c>
      <c r="D380" s="67">
        <f>(F380*Settings!$C$2)+(G380*Settings!$C$3)+(H380*Settings!$C$4)+(I380*Settings!$C$5)+(J380*Settings!$C$6)+(M380*Settings!$C$9)+(N380*Settings!$C$10)+(O380*Settings!$C$11)+(P380*Settings!$C$12)+(Q380*Settings!$C$13)+(T380*Settings!$C$16)+(K380*Settings!$C$7)+(L380*Settings!$C$8)+(R380*Settings!$C$14)+(S380*Settings!$C$15)</f>
        <v>0.15436071670689072</v>
      </c>
      <c r="E380" s="67"/>
      <c r="F380" s="121">
        <f>(VLOOKUP($A380,Hitters!$A1:$R401,4,FALSE)-AVERAGE(Rankings!M2:M651))/STDEV(Rankings!M2:M651)</f>
        <v>0.38996963037803495</v>
      </c>
      <c r="G380" s="121">
        <f>(VLOOKUP($A380,Hitters!$A1:$R401,5,FALSE)-AVERAGE(Rankings!N2:N651))/STDEV(Rankings!N2:N651)</f>
        <v>-8.6780228699426767E-2</v>
      </c>
      <c r="H380" s="121">
        <f>(VLOOKUP($A380,Hitters!$A1:$R401,6,FALSE)-AVERAGE(Rankings!O2:O651))/STDEV(Rankings!O2:O651)</f>
        <v>-3.720722943823055E-2</v>
      </c>
      <c r="I380" s="121">
        <f>(VLOOKUP($A380,Hitters!$A1:$R401,7,FALSE)-AVERAGE(Rankings!P2:P651))/STDEV(Rankings!P2:P651)</f>
        <v>-6.9658301200641981E-2</v>
      </c>
      <c r="J380" s="121">
        <f>(VLOOKUP($A380,Hitters!$A1:$R401,8,FALSE)-AVERAGE(Rankings!Q2:Q651))/STDEV(Rankings!Q2:Q651)</f>
        <v>0.16216235527679648</v>
      </c>
      <c r="K380" s="121">
        <f>(VLOOKUP($A380,Hitters!$A1:$R401,9,FALSE)-AVERAGE(Rankings!R2:R651))/STDEV(Rankings!R2:R651)</f>
        <v>0.18584412076839354</v>
      </c>
      <c r="L380" s="121">
        <f>(VLOOKUP($A380,Hitters!$A1:$R401,10,FALSE)-AVERAGE(Rankings!S2:S651))/STDEV(Rankings!S2:S651)</f>
        <v>-0.84944092375544145</v>
      </c>
      <c r="M380" s="121">
        <f>(VLOOKUP($A380,Hitters!$A1:$R401,11,FALSE)-AVERAGE(Rankings!T2:T651))/STDEV(Rankings!T2:T651)</f>
        <v>0.34822830076369393</v>
      </c>
      <c r="N380" s="121">
        <f>(VLOOKUP($A380,Hitters!$A1:$R401,12,FALSE)-AVERAGE(Rankings!U2:U651))/STDEV(Rankings!U2:U651)</f>
        <v>-5.6308600954209996E-2</v>
      </c>
      <c r="O380" s="121">
        <f>(VLOOKUP($A380,Hitters!$A1:$R401,13,FALSE)-AVERAGE(Rankings!V2:V651))/STDEV(Rankings!V2:V651)</f>
        <v>1.0136054031347017</v>
      </c>
      <c r="P380" s="121">
        <f>(VLOOKUP($A380,Hitters!$A1:$R401,14,FALSE)-AVERAGE(Rankings!W2:W651))/STDEV(Rankings!W2:W651)</f>
        <v>-0.66717794976130729</v>
      </c>
      <c r="Q380" s="121">
        <f>(VLOOKUP($A380,Hitters!$A1:$R401,15,FALSE)-AVERAGE(Rankings!X2:X651))/STDEV(Rankings!X2:X651)</f>
        <v>-0.39152447569779847</v>
      </c>
      <c r="R380" s="121">
        <f>(VLOOKUP($A380,Hitters!$A1:$R401,16,FALSE)-AVERAGE(Rankings!Y2:Y651))/STDEV(Rankings!Y2:Y651)</f>
        <v>-0.19335866098755625</v>
      </c>
      <c r="S380" s="121">
        <f>(VLOOKUP($A380,Hitters!$A1:$R401,17,FALSE)-AVERAGE(Rankings!Z2:Z651))/STDEV(Rankings!Z2:Z651)</f>
        <v>-0.47417309233421434</v>
      </c>
      <c r="T380" s="121">
        <f>IFERROR((VLOOKUP($A380,Hitters!$A1:$R401,18,FALSE)-AVERAGE(Rankings!AA2:AA651))/STDEV(Rankings!AA2:AA651),0)</f>
        <v>0</v>
      </c>
      <c r="U380" s="67"/>
      <c r="V380" s="121"/>
      <c r="W380" s="121"/>
      <c r="X380" s="121"/>
      <c r="Y380" s="121"/>
      <c r="Z380" s="121"/>
      <c r="AA380" s="121"/>
      <c r="AB380" s="121"/>
      <c r="AC380" s="121"/>
      <c r="AD380" s="121"/>
      <c r="AE380" s="121"/>
      <c r="AF380" s="121"/>
      <c r="AG380" s="121"/>
      <c r="AH380" s="121"/>
      <c r="AI380" s="121"/>
      <c r="AJ380" s="121"/>
      <c r="AK380" s="121"/>
    </row>
    <row r="381" spans="1:37" ht="18.600000000000001" customHeight="1">
      <c r="A381" s="25" t="s">
        <v>556</v>
      </c>
      <c r="B381" s="26"/>
      <c r="C381" s="127" t="s">
        <v>27</v>
      </c>
      <c r="D381" s="67">
        <f>(F381*Settings!$C$2)+(G381*Settings!$C$3)+(H381*Settings!$C$4)+(I381*Settings!$C$5)+(J381*Settings!$C$6)+(M381*Settings!$C$9)+(N381*Settings!$C$10)+(O381*Settings!$C$11)+(P381*Settings!$C$12)+(Q381*Settings!$C$13)+(T381*Settings!$C$16)+(K381*Settings!$C$7)+(L381*Settings!$C$8)+(R381*Settings!$C$14)+(S381*Settings!$C$15)</f>
        <v>-5.0191080011770896E-2</v>
      </c>
      <c r="E381" s="67"/>
      <c r="F381" s="121">
        <f>(VLOOKUP($A381,Hitters!$A1:$R401,4,FALSE)-AVERAGE(Rankings!M2:M651))/STDEV(Rankings!M2:M651)</f>
        <v>0.35862845730453385</v>
      </c>
      <c r="G381" s="121">
        <f>(VLOOKUP($A381,Hitters!$A1:$R401,5,FALSE)-AVERAGE(Rankings!N2:N651))/STDEV(Rankings!N2:N651)</f>
        <v>-1.8476440369176162E-2</v>
      </c>
      <c r="H381" s="121">
        <f>(VLOOKUP($A381,Hitters!$A1:$R401,6,FALSE)-AVERAGE(Rankings!O2:O651))/STDEV(Rankings!O2:O651)</f>
        <v>-0.56768736737115499</v>
      </c>
      <c r="I381" s="121">
        <f>(VLOOKUP($A381,Hitters!$A1:$R401,7,FALSE)-AVERAGE(Rankings!P2:P651))/STDEV(Rankings!P2:P651)</f>
        <v>-0.2978034475684081</v>
      </c>
      <c r="J381" s="121">
        <f>(VLOOKUP($A381,Hitters!$A1:$R401,8,FALSE)-AVERAGE(Rankings!Q2:Q651))/STDEV(Rankings!Q2:Q651)</f>
        <v>0.85991363854190794</v>
      </c>
      <c r="K381" s="121">
        <f>(VLOOKUP($A381,Hitters!$A1:$R401,9,FALSE)-AVERAGE(Rankings!R2:R651))/STDEV(Rankings!R2:R651)</f>
        <v>-2.6137463244939631E-2</v>
      </c>
      <c r="L381" s="121">
        <f>(VLOOKUP($A381,Hitters!$A1:$R401,10,FALSE)-AVERAGE(Rankings!S2:S651))/STDEV(Rankings!S2:S651)</f>
        <v>-0.72992623407747315</v>
      </c>
      <c r="M381" s="121">
        <f>(VLOOKUP($A381,Hitters!$A1:$R401,11,FALSE)-AVERAGE(Rankings!T2:T651))/STDEV(Rankings!T2:T651)</f>
        <v>0.26997822599387616</v>
      </c>
      <c r="N381" s="121">
        <f>(VLOOKUP($A381,Hitters!$A1:$R401,12,FALSE)-AVERAGE(Rankings!U2:U651))/STDEV(Rankings!U2:U651)</f>
        <v>0.4411665015581332</v>
      </c>
      <c r="O381" s="121">
        <f>(VLOOKUP($A381,Hitters!$A1:$R401,13,FALSE)-AVERAGE(Rankings!V2:V651))/STDEV(Rankings!V2:V651)</f>
        <v>-0.64569722032433818</v>
      </c>
      <c r="P381" s="121">
        <f>(VLOOKUP($A381,Hitters!$A1:$R401,14,FALSE)-AVERAGE(Rankings!W2:W651))/STDEV(Rankings!W2:W651)</f>
        <v>-0.43126840259075305</v>
      </c>
      <c r="Q381" s="121">
        <f>(VLOOKUP($A381,Hitters!$A1:$R401,15,FALSE)-AVERAGE(Rankings!X2:X651))/STDEV(Rankings!X2:X651)</f>
        <v>-0.5845111773416356</v>
      </c>
      <c r="R381" s="121">
        <f>(VLOOKUP($A381,Hitters!$A1:$R401,16,FALSE)-AVERAGE(Rankings!Y2:Y651))/STDEV(Rankings!Y2:Y651)</f>
        <v>-0.93754574389498091</v>
      </c>
      <c r="S381" s="121">
        <f>(VLOOKUP($A381,Hitters!$A1:$R401,17,FALSE)-AVERAGE(Rankings!Z2:Z651))/STDEV(Rankings!Z2:Z651)</f>
        <v>-0.96896088164016492</v>
      </c>
      <c r="T381" s="121">
        <f>IFERROR((VLOOKUP($A381,Hitters!$A1:$R401,18,FALSE)-AVERAGE(Rankings!AA2:AA651))/STDEV(Rankings!AA2:AA651),0)</f>
        <v>0</v>
      </c>
      <c r="U381" s="67"/>
      <c r="V381" s="121"/>
      <c r="W381" s="121"/>
      <c r="X381" s="121"/>
      <c r="Y381" s="121"/>
      <c r="Z381" s="121"/>
      <c r="AA381" s="121"/>
      <c r="AB381" s="121"/>
      <c r="AC381" s="121"/>
      <c r="AD381" s="121"/>
      <c r="AE381" s="121"/>
      <c r="AF381" s="121"/>
      <c r="AG381" s="121"/>
      <c r="AH381" s="121"/>
      <c r="AI381" s="121"/>
      <c r="AJ381" s="121"/>
      <c r="AK381" s="121"/>
    </row>
    <row r="382" spans="1:37" ht="18.600000000000001" customHeight="1">
      <c r="A382" s="25" t="s">
        <v>595</v>
      </c>
      <c r="B382" s="26" t="s">
        <v>72</v>
      </c>
      <c r="C382" s="127" t="s">
        <v>27</v>
      </c>
      <c r="D382" s="67">
        <f>(F382*Settings!$C$2)+(G382*Settings!$C$3)+(H382*Settings!$C$4)+(I382*Settings!$C$5)+(J382*Settings!$C$6)+(M382*Settings!$C$9)+(N382*Settings!$C$10)+(O382*Settings!$C$11)+(P382*Settings!$C$12)+(Q382*Settings!$C$13)+(T382*Settings!$C$16)+(K382*Settings!$C$7)+(L382*Settings!$C$8)+(R382*Settings!$C$14)+(S382*Settings!$C$15)</f>
        <v>-0.54668892807615999</v>
      </c>
      <c r="E382" s="67"/>
      <c r="F382" s="121">
        <f>(VLOOKUP($A382,Hitters!$A1:$R401,4,FALSE)-AVERAGE(Rankings!M2:M651))/STDEV(Rankings!M2:M651)</f>
        <v>1.0037342697340954</v>
      </c>
      <c r="G382" s="121">
        <f>(VLOOKUP($A382,Hitters!$A1:$R401,5,FALSE)-AVERAGE(Rankings!N2:N651))/STDEV(Rankings!N2:N651)</f>
        <v>0.43536428653626813</v>
      </c>
      <c r="H382" s="121">
        <f>(VLOOKUP($A382,Hitters!$A1:$R401,6,FALSE)-AVERAGE(Rankings!O2:O651))/STDEV(Rankings!O2:O651)</f>
        <v>-0.87678603041868863</v>
      </c>
      <c r="I382" s="121">
        <f>(VLOOKUP($A382,Hitters!$A1:$R401,7,FALSE)-AVERAGE(Rankings!P2:P651))/STDEV(Rankings!P2:P651)</f>
        <v>-0.10973785394092687</v>
      </c>
      <c r="J382" s="121">
        <f>(VLOOKUP($A382,Hitters!$A1:$R401,8,FALSE)-AVERAGE(Rankings!Q2:Q651))/STDEV(Rankings!Q2:Q651)</f>
        <v>-0.17918359624857813</v>
      </c>
      <c r="K382" s="121">
        <f>(VLOOKUP($A382,Hitters!$A1:$R401,9,FALSE)-AVERAGE(Rankings!R2:R651))/STDEV(Rankings!R2:R651)</f>
        <v>0.18365426599576545</v>
      </c>
      <c r="L382" s="121">
        <f>(VLOOKUP($A382,Hitters!$A1:$R401,10,FALSE)-AVERAGE(Rankings!S2:S651))/STDEV(Rankings!S2:S651)</f>
        <v>0.73113082158877474</v>
      </c>
      <c r="M382" s="121">
        <f>(VLOOKUP($A382,Hitters!$A1:$R401,11,FALSE)-AVERAGE(Rankings!T2:T651))/STDEV(Rankings!T2:T651)</f>
        <v>0.88960963201991894</v>
      </c>
      <c r="N382" s="121">
        <f>(VLOOKUP($A382,Hitters!$A1:$R401,12,FALSE)-AVERAGE(Rankings!U2:U651))/STDEV(Rankings!U2:U651)</f>
        <v>0.98116084360144118</v>
      </c>
      <c r="O382" s="121">
        <f>(VLOOKUP($A382,Hitters!$A1:$R401,13,FALSE)-AVERAGE(Rankings!V2:V651))/STDEV(Rankings!V2:V651)</f>
        <v>0.54346965982130502</v>
      </c>
      <c r="P382" s="121">
        <f>(VLOOKUP($A382,Hitters!$A1:$R401,14,FALSE)-AVERAGE(Rankings!W2:W651))/STDEV(Rankings!W2:W651)</f>
        <v>1.2851128697367558</v>
      </c>
      <c r="Q382" s="121">
        <f>(VLOOKUP($A382,Hitters!$A1:$R401,15,FALSE)-AVERAGE(Rankings!X2:X651))/STDEV(Rankings!X2:X651)</f>
        <v>-0.24922115024325361</v>
      </c>
      <c r="R382" s="121">
        <f>(VLOOKUP($A382,Hitters!$A1:$R401,16,FALSE)-AVERAGE(Rankings!Y2:Y651))/STDEV(Rankings!Y2:Y651)</f>
        <v>-1.3109947044846646</v>
      </c>
      <c r="S382" s="121">
        <f>(VLOOKUP($A382,Hitters!$A1:$R401,17,FALSE)-AVERAGE(Rankings!Z2:Z651))/STDEV(Rankings!Z2:Z651)</f>
        <v>-0.6672980879929119</v>
      </c>
      <c r="T382" s="121">
        <f>IFERROR((VLOOKUP($A382,Hitters!$A1:$R401,18,FALSE)-AVERAGE(Rankings!AA2:AA651))/STDEV(Rankings!AA2:AA651),0)</f>
        <v>0</v>
      </c>
      <c r="U382" s="67"/>
      <c r="V382" s="121"/>
      <c r="W382" s="121"/>
      <c r="X382" s="121"/>
      <c r="Y382" s="121"/>
      <c r="Z382" s="121"/>
      <c r="AA382" s="121"/>
      <c r="AB382" s="121"/>
      <c r="AC382" s="121"/>
      <c r="AD382" s="121"/>
      <c r="AE382" s="121"/>
      <c r="AF382" s="121"/>
      <c r="AG382" s="121"/>
      <c r="AH382" s="121"/>
      <c r="AI382" s="121"/>
      <c r="AJ382" s="121"/>
      <c r="AK382" s="121"/>
    </row>
    <row r="383" spans="1:37" ht="18.600000000000001" customHeight="1">
      <c r="A383" s="25" t="s">
        <v>583</v>
      </c>
      <c r="B383" s="26" t="s">
        <v>69</v>
      </c>
      <c r="C383" s="127" t="s">
        <v>27</v>
      </c>
      <c r="D383" s="67">
        <f>(F383*Settings!$C$2)+(G383*Settings!$C$3)+(H383*Settings!$C$4)+(I383*Settings!$C$5)+(J383*Settings!$C$6)+(M383*Settings!$C$9)+(N383*Settings!$C$10)+(O383*Settings!$C$11)+(P383*Settings!$C$12)+(Q383*Settings!$C$13)+(T383*Settings!$C$16)+(K383*Settings!$C$7)+(L383*Settings!$C$8)+(R383*Settings!$C$14)+(S383*Settings!$C$15)</f>
        <v>-0.48788879037869504</v>
      </c>
      <c r="E383" s="67"/>
      <c r="F383" s="121">
        <f>(VLOOKUP($A383,Hitters!$A1:$R401,4,FALSE)-AVERAGE(Rankings!M2:M651))/STDEV(Rankings!M2:M651)</f>
        <v>-0.2420773599375734</v>
      </c>
      <c r="G383" s="121">
        <f>(VLOOKUP($A383,Hitters!$A1:$R401,5,FALSE)-AVERAGE(Rankings!N2:N651))/STDEV(Rankings!N2:N651)</f>
        <v>-0.39794193109278914</v>
      </c>
      <c r="H383" s="121">
        <f>(VLOOKUP($A383,Hitters!$A1:$R401,6,FALSE)-AVERAGE(Rankings!O2:O651))/STDEV(Rankings!O2:O651)</f>
        <v>-1.2777788905884615</v>
      </c>
      <c r="I383" s="121">
        <f>(VLOOKUP($A383,Hitters!$A1:$R401,7,FALSE)-AVERAGE(Rankings!P2:P651))/STDEV(Rankings!P2:P651)</f>
        <v>-0.87433239852479627</v>
      </c>
      <c r="J383" s="121">
        <f>(VLOOKUP($A383,Hitters!$A1:$R401,8,FALSE)-AVERAGE(Rankings!Q2:Q651))/STDEV(Rankings!Q2:Q651)</f>
        <v>1.0607053747333004</v>
      </c>
      <c r="K383" s="121">
        <f>(VLOOKUP($A383,Hitters!$A1:$R401,9,FALSE)-AVERAGE(Rankings!R2:R651))/STDEV(Rankings!R2:R651)</f>
        <v>1.0014590550940514</v>
      </c>
      <c r="L383" s="121">
        <f>(VLOOKUP($A383,Hitters!$A1:$R401,10,FALSE)-AVERAGE(Rankings!S2:S651))/STDEV(Rankings!S2:S651)</f>
        <v>-9.26092704340922E-2</v>
      </c>
      <c r="M383" s="121">
        <f>(VLOOKUP($A383,Hitters!$A1:$R401,11,FALSE)-AVERAGE(Rankings!T2:T651))/STDEV(Rankings!T2:T651)</f>
        <v>-5.030114980813008E-2</v>
      </c>
      <c r="N383" s="121">
        <f>(VLOOKUP($A383,Hitters!$A1:$R401,12,FALSE)-AVERAGE(Rankings!U2:U651))/STDEV(Rankings!U2:U651)</f>
        <v>-0.68984526996565942</v>
      </c>
      <c r="O383" s="121">
        <f>(VLOOKUP($A383,Hitters!$A1:$R401,13,FALSE)-AVERAGE(Rankings!V2:V651))/STDEV(Rankings!V2:V651)</f>
        <v>-0.36914678308116555</v>
      </c>
      <c r="P383" s="121">
        <f>(VLOOKUP($A383,Hitters!$A1:$R401,14,FALSE)-AVERAGE(Rankings!W2:W651))/STDEV(Rankings!W2:W651)</f>
        <v>-0.85293349871449897</v>
      </c>
      <c r="Q383" s="121">
        <f>(VLOOKUP($A383,Hitters!$A1:$R401,15,FALSE)-AVERAGE(Rankings!X2:X651))/STDEV(Rankings!X2:X651)</f>
        <v>-1.2239014615757642</v>
      </c>
      <c r="R383" s="121">
        <f>(VLOOKUP($A383,Hitters!$A1:$R401,16,FALSE)-AVERAGE(Rankings!Y2:Y651))/STDEV(Rankings!Y2:Y651)</f>
        <v>-1.4706290955017955</v>
      </c>
      <c r="S383" s="121">
        <f>(VLOOKUP($A383,Hitters!$A1:$R401,17,FALSE)-AVERAGE(Rankings!Z2:Z651))/STDEV(Rankings!Z2:Z651)</f>
        <v>-1.106834811282005</v>
      </c>
      <c r="T383" s="121">
        <f>IFERROR((VLOOKUP($A383,Hitters!$A1:$R401,18,FALSE)-AVERAGE(Rankings!AA2:AA651))/STDEV(Rankings!AA2:AA651),0)</f>
        <v>0</v>
      </c>
      <c r="U383" s="67"/>
      <c r="V383" s="121"/>
      <c r="W383" s="121"/>
      <c r="X383" s="121"/>
      <c r="Y383" s="121"/>
      <c r="Z383" s="121"/>
      <c r="AA383" s="121"/>
      <c r="AB383" s="121"/>
      <c r="AC383" s="121"/>
      <c r="AD383" s="121"/>
      <c r="AE383" s="121"/>
      <c r="AF383" s="121"/>
      <c r="AG383" s="121"/>
      <c r="AH383" s="121"/>
      <c r="AI383" s="121"/>
      <c r="AJ383" s="121"/>
      <c r="AK383" s="121"/>
    </row>
    <row r="384" spans="1:37" ht="18.600000000000001" customHeight="1">
      <c r="A384" s="25" t="s">
        <v>645</v>
      </c>
      <c r="B384" s="26"/>
      <c r="C384" s="127" t="s">
        <v>27</v>
      </c>
      <c r="D384" s="67">
        <f>(F384*Settings!$C$2)+(G384*Settings!$C$3)+(H384*Settings!$C$4)+(I384*Settings!$C$5)+(J384*Settings!$C$6)+(M384*Settings!$C$9)+(N384*Settings!$C$10)+(O384*Settings!$C$11)+(P384*Settings!$C$12)+(Q384*Settings!$C$13)+(T384*Settings!$C$16)+(K384*Settings!$C$7)+(L384*Settings!$C$8)+(R384*Settings!$C$14)+(S384*Settings!$C$15)</f>
        <v>-1.2786473099384008</v>
      </c>
      <c r="E384" s="67"/>
      <c r="F384" s="121">
        <f>(VLOOKUP($A384,Hitters!$A1:$R401,4,FALSE)-AVERAGE(Rankings!M2:M651))/STDEV(Rankings!M2:M651)</f>
        <v>-0.25252441762873762</v>
      </c>
      <c r="G384" s="121">
        <f>(VLOOKUP($A384,Hitters!$A1:$R401,5,FALSE)-AVERAGE(Rankings!N2:N651))/STDEV(Rankings!N2:N651)</f>
        <v>-0.57553178075144096</v>
      </c>
      <c r="H384" s="121">
        <f>(VLOOKUP($A384,Hitters!$A1:$R401,6,FALSE)-AVERAGE(Rankings!O2:O651))/STDEV(Rankings!O2:O651)</f>
        <v>-1.1984157203465264</v>
      </c>
      <c r="I384" s="121">
        <f>(VLOOKUP($A384,Hitters!$A1:$R401,7,FALSE)-AVERAGE(Rankings!P2:P651))/STDEV(Rankings!P2:P651)</f>
        <v>-0.59223400808356963</v>
      </c>
      <c r="J384" s="121">
        <f>(VLOOKUP($A384,Hitters!$A1:$R401,8,FALSE)-AVERAGE(Rankings!Q2:Q651))/STDEV(Rankings!Q2:Q651)</f>
        <v>-0.57574727522658897</v>
      </c>
      <c r="K384" s="121">
        <f>(VLOOKUP($A384,Hitters!$A1:$R401,9,FALSE)-AVERAGE(Rankings!R2:R651))/STDEV(Rankings!R2:R651)</f>
        <v>1.6632814744697251</v>
      </c>
      <c r="L384" s="121">
        <f>(VLOOKUP($A384,Hitters!$A1:$R401,10,FALSE)-AVERAGE(Rankings!S2:S651))/STDEV(Rankings!S2:S651)</f>
        <v>-0.12229744972034072</v>
      </c>
      <c r="M384" s="121">
        <f>(VLOOKUP($A384,Hitters!$A1:$R401,11,FALSE)-AVERAGE(Rankings!T2:T651))/STDEV(Rankings!T2:T651)</f>
        <v>6.889373152727396E-2</v>
      </c>
      <c r="N384" s="121">
        <f>(VLOOKUP($A384,Hitters!$A1:$R401,12,FALSE)-AVERAGE(Rankings!U2:U651))/STDEV(Rankings!U2:U651)</f>
        <v>0.35612802249619002</v>
      </c>
      <c r="O384" s="121">
        <f>(VLOOKUP($A384,Hitters!$A1:$R401,13,FALSE)-AVERAGE(Rankings!V2:V651))/STDEV(Rankings!V2:V651)</f>
        <v>-0.70100730777297304</v>
      </c>
      <c r="P384" s="121">
        <f>(VLOOKUP($A384,Hitters!$A1:$R401,14,FALSE)-AVERAGE(Rankings!W2:W651))/STDEV(Rankings!W2:W651)</f>
        <v>-1.2597381509219931</v>
      </c>
      <c r="Q384" s="121">
        <f>(VLOOKUP($A384,Hitters!$A1:$R401,15,FALSE)-AVERAGE(Rankings!X2:X651))/STDEV(Rankings!X2:X651)</f>
        <v>-1.2628886740290637</v>
      </c>
      <c r="R384" s="121">
        <f>(VLOOKUP($A384,Hitters!$A1:$R401,16,FALSE)-AVERAGE(Rankings!Y2:Y651))/STDEV(Rankings!Y2:Y651)</f>
        <v>-0.55375874849292239</v>
      </c>
      <c r="S384" s="121">
        <f>(VLOOKUP($A384,Hitters!$A1:$R401,17,FALSE)-AVERAGE(Rankings!Z2:Z651))/STDEV(Rankings!Z2:Z651)</f>
        <v>-0.45109036723522661</v>
      </c>
      <c r="T384" s="121">
        <f>IFERROR((VLOOKUP($A384,Hitters!$A1:$R401,18,FALSE)-AVERAGE(Rankings!AA2:AA651))/STDEV(Rankings!AA2:AA651),0)</f>
        <v>0</v>
      </c>
      <c r="U384" s="67"/>
      <c r="V384" s="121"/>
      <c r="W384" s="121"/>
      <c r="X384" s="121"/>
      <c r="Y384" s="121"/>
      <c r="Z384" s="121"/>
      <c r="AA384" s="121"/>
      <c r="AB384" s="121"/>
      <c r="AC384" s="121"/>
      <c r="AD384" s="121"/>
      <c r="AE384" s="121"/>
      <c r="AF384" s="121"/>
      <c r="AG384" s="121"/>
      <c r="AH384" s="121"/>
      <c r="AI384" s="121"/>
      <c r="AJ384" s="121"/>
      <c r="AK384" s="121"/>
    </row>
    <row r="385" spans="1:37" ht="18.600000000000001" customHeight="1">
      <c r="A385" s="25" t="s">
        <v>640</v>
      </c>
      <c r="B385" s="26" t="s">
        <v>99</v>
      </c>
      <c r="C385" s="127" t="s">
        <v>27</v>
      </c>
      <c r="D385" s="67">
        <f>(F385*Settings!$C$2)+(G385*Settings!$C$3)+(H385*Settings!$C$4)+(I385*Settings!$C$5)+(J385*Settings!$C$6)+(M385*Settings!$C$9)+(N385*Settings!$C$10)+(O385*Settings!$C$11)+(P385*Settings!$C$12)+(Q385*Settings!$C$13)+(T385*Settings!$C$16)+(K385*Settings!$C$7)+(L385*Settings!$C$8)+(R385*Settings!$C$14)+(S385*Settings!$C$15)</f>
        <v>-1.1932637437167188</v>
      </c>
      <c r="E385" s="67"/>
      <c r="F385" s="121">
        <f>(VLOOKUP($A385,Hitters!$A1:$R401,4,FALSE)-AVERAGE(Rankings!M2:M651))/STDEV(Rankings!M2:M651)</f>
        <v>-0.24991265320594869</v>
      </c>
      <c r="G385" s="121">
        <f>(VLOOKUP($A385,Hitters!$A1:$R401,5,FALSE)-AVERAGE(Rankings!N2:N651))/STDEV(Rankings!N2:N651)</f>
        <v>-0.38428117342673912</v>
      </c>
      <c r="H385" s="121">
        <f>(VLOOKUP($A385,Hitters!$A1:$R401,6,FALSE)-AVERAGE(Rankings!O2:O651))/STDEV(Rankings!O2:O651)</f>
        <v>-0.81830790497726302</v>
      </c>
      <c r="I385" s="121">
        <f>(VLOOKUP($A385,Hitters!$A1:$R401,7,FALSE)-AVERAGE(Rankings!P2:P651))/STDEV(Rankings!P2:P651)</f>
        <v>-0.61535682697219485</v>
      </c>
      <c r="J385" s="121">
        <f>(VLOOKUP($A385,Hitters!$A1:$R401,8,FALSE)-AVERAGE(Rankings!Q2:Q651))/STDEV(Rankings!Q2:Q651)</f>
        <v>0.80469591108926852</v>
      </c>
      <c r="K385" s="121">
        <f>(VLOOKUP($A385,Hitters!$A1:$R401,9,FALSE)-AVERAGE(Rankings!R2:R651))/STDEV(Rankings!R2:R651)</f>
        <v>-0.18001374942979045</v>
      </c>
      <c r="L385" s="121">
        <f>(VLOOKUP($A385,Hitters!$A1:$R401,10,FALSE)-AVERAGE(Rankings!S2:S651))/STDEV(Rankings!S2:S651)</f>
        <v>4.3055232556293108E-2</v>
      </c>
      <c r="M385" s="121">
        <f>(VLOOKUP($A385,Hitters!$A1:$R401,11,FALSE)-AVERAGE(Rankings!T2:T651))/STDEV(Rankings!T2:T651)</f>
        <v>-0.28823597018377028</v>
      </c>
      <c r="N385" s="121">
        <f>(VLOOKUP($A385,Hitters!$A1:$R401,12,FALSE)-AVERAGE(Rankings!U2:U651))/STDEV(Rankings!U2:U651)</f>
        <v>-0.343313467788254</v>
      </c>
      <c r="O385" s="121">
        <f>(VLOOKUP($A385,Hitters!$A1:$R401,13,FALSE)-AVERAGE(Rankings!V2:V651))/STDEV(Rankings!V2:V651)</f>
        <v>4.196307197117854E-3</v>
      </c>
      <c r="P385" s="121">
        <f>(VLOOKUP($A385,Hitters!$A1:$R401,14,FALSE)-AVERAGE(Rankings!W2:W651))/STDEV(Rankings!W2:W651)</f>
        <v>-7.3688970855853506E-2</v>
      </c>
      <c r="Q385" s="121">
        <f>(VLOOKUP($A385,Hitters!$A1:$R401,15,FALSE)-AVERAGE(Rankings!X2:X651))/STDEV(Rankings!X2:X651)</f>
        <v>-0.39054979538646684</v>
      </c>
      <c r="R385" s="121">
        <f>(VLOOKUP($A385,Hitters!$A1:$R401,16,FALSE)-AVERAGE(Rankings!Y2:Y651))/STDEV(Rankings!Y2:Y651)</f>
        <v>-1.0655455157917999</v>
      </c>
      <c r="S385" s="121">
        <f>(VLOOKUP($A385,Hitters!$A1:$R401,17,FALSE)-AVERAGE(Rankings!Z2:Z651))/STDEV(Rankings!Z2:Z651)</f>
        <v>-0.75871948449676363</v>
      </c>
      <c r="T385" s="121">
        <f>IFERROR((VLOOKUP($A385,Hitters!$A1:$R401,18,FALSE)-AVERAGE(Rankings!AA2:AA651))/STDEV(Rankings!AA2:AA651),0)</f>
        <v>0</v>
      </c>
      <c r="U385" s="67"/>
      <c r="V385" s="121"/>
      <c r="W385" s="121"/>
      <c r="X385" s="121"/>
      <c r="Y385" s="121"/>
      <c r="Z385" s="121"/>
      <c r="AA385" s="121"/>
      <c r="AB385" s="121"/>
      <c r="AC385" s="121"/>
      <c r="AD385" s="121"/>
      <c r="AE385" s="121"/>
      <c r="AF385" s="121"/>
      <c r="AG385" s="121"/>
      <c r="AH385" s="121"/>
      <c r="AI385" s="121"/>
      <c r="AJ385" s="121"/>
      <c r="AK385" s="121"/>
    </row>
    <row r="386" spans="1:37" ht="18.600000000000001" customHeight="1">
      <c r="A386" s="25" t="s">
        <v>660</v>
      </c>
      <c r="B386" s="26" t="s">
        <v>82</v>
      </c>
      <c r="C386" s="127" t="s">
        <v>27</v>
      </c>
      <c r="D386" s="67">
        <f>(F386*Settings!$C$2)+(G386*Settings!$C$3)+(H386*Settings!$C$4)+(I386*Settings!$C$5)+(J386*Settings!$C$6)+(M386*Settings!$C$9)+(N386*Settings!$C$10)+(O386*Settings!$C$11)+(P386*Settings!$C$12)+(Q386*Settings!$C$13)+(T386*Settings!$C$16)+(K386*Settings!$C$7)+(L386*Settings!$C$8)+(R386*Settings!$C$14)+(S386*Settings!$C$15)</f>
        <v>-1.6118405407855236</v>
      </c>
      <c r="E386" s="67"/>
      <c r="F386" s="121">
        <f>(VLOOKUP($A386,Hitters!$A1:$R401,4,FALSE)-AVERAGE(Rankings!M2:M651))/STDEV(Rankings!M2:M651)</f>
        <v>-0.291700883970614</v>
      </c>
      <c r="G386" s="121">
        <f>(VLOOKUP($A386,Hitters!$A1:$R401,5,FALSE)-AVERAGE(Rankings!N2:N651))/STDEV(Rankings!N2:N651)</f>
        <v>-0.56794247093696715</v>
      </c>
      <c r="H386" s="121">
        <f>(VLOOKUP($A386,Hitters!$A1:$R401,6,FALSE)-AVERAGE(Rankings!O2:O651))/STDEV(Rankings!O2:O651)</f>
        <v>-1.006273308181844</v>
      </c>
      <c r="I386" s="121">
        <f>(VLOOKUP($A386,Hitters!$A1:$R401,7,FALSE)-AVERAGE(Rankings!P2:P651))/STDEV(Rankings!P2:P651)</f>
        <v>-0.6862668048973104</v>
      </c>
      <c r="J386" s="121">
        <f>(VLOOKUP($A386,Hitters!$A1:$R401,8,FALSE)-AVERAGE(Rankings!Q2:Q651))/STDEV(Rankings!Q2:Q651)</f>
        <v>0.23745925634857051</v>
      </c>
      <c r="K386" s="121">
        <f>(VLOOKUP($A386,Hitters!$A1:$R401,9,FALSE)-AVERAGE(Rankings!R2:R651))/STDEV(Rankings!R2:R651)</f>
        <v>0.41118278688202708</v>
      </c>
      <c r="L386" s="121">
        <f>(VLOOKUP($A386,Hitters!$A1:$R401,10,FALSE)-AVERAGE(Rankings!S2:S651))/STDEV(Rankings!S2:S651)</f>
        <v>-0.36327859047421146</v>
      </c>
      <c r="M386" s="121">
        <f>(VLOOKUP($A386,Hitters!$A1:$R401,11,FALSE)-AVERAGE(Rankings!T2:T651))/STDEV(Rankings!T2:T651)</f>
        <v>-0.21044083770913477</v>
      </c>
      <c r="N386" s="121">
        <f>(VLOOKUP($A386,Hitters!$A1:$R401,12,FALSE)-AVERAGE(Rankings!U2:U651))/STDEV(Rankings!U2:U651)</f>
        <v>-0.12433938420375684</v>
      </c>
      <c r="O386" s="121">
        <f>(VLOOKUP($A386,Hitters!$A1:$R401,13,FALSE)-AVERAGE(Rankings!V2:V651))/STDEV(Rankings!V2:V651)</f>
        <v>4.5678872783593831E-2</v>
      </c>
      <c r="P386" s="121">
        <f>(VLOOKUP($A386,Hitters!$A1:$R401,14,FALSE)-AVERAGE(Rankings!W2:W651))/STDEV(Rankings!W2:W651)</f>
        <v>-0.7321923918949268</v>
      </c>
      <c r="Q386" s="121">
        <f>(VLOOKUP($A386,Hitters!$A1:$R401,15,FALSE)-AVERAGE(Rankings!X2:X651))/STDEV(Rankings!X2:X651)</f>
        <v>-1.2979771652370342</v>
      </c>
      <c r="R386" s="121">
        <f>(VLOOKUP($A386,Hitters!$A1:$R401,16,FALSE)-AVERAGE(Rankings!Y2:Y651))/STDEV(Rankings!Y2:Y651)</f>
        <v>-0.92523833483394624</v>
      </c>
      <c r="S386" s="121">
        <f>(VLOOKUP($A386,Hitters!$A1:$R401,17,FALSE)-AVERAGE(Rankings!Z2:Z651))/STDEV(Rankings!Z2:Z651)</f>
        <v>-0.81608433369464117</v>
      </c>
      <c r="T386" s="121">
        <f>IFERROR((VLOOKUP($A386,Hitters!$A1:$R401,18,FALSE)-AVERAGE(Rankings!AA2:AA651))/STDEV(Rankings!AA2:AA651),0)</f>
        <v>0</v>
      </c>
      <c r="U386" s="67"/>
      <c r="V386" s="121"/>
      <c r="W386" s="121"/>
      <c r="X386" s="121"/>
      <c r="Y386" s="121"/>
      <c r="Z386" s="121"/>
      <c r="AA386" s="121"/>
      <c r="AB386" s="121"/>
      <c r="AC386" s="121"/>
      <c r="AD386" s="121"/>
      <c r="AE386" s="121"/>
      <c r="AF386" s="121"/>
      <c r="AG386" s="121"/>
      <c r="AH386" s="121"/>
      <c r="AI386" s="121"/>
      <c r="AJ386" s="121"/>
      <c r="AK386" s="121"/>
    </row>
    <row r="387" spans="1:37" ht="18.600000000000001" customHeight="1">
      <c r="A387" s="25" t="s">
        <v>677</v>
      </c>
      <c r="B387" s="26" t="s">
        <v>158</v>
      </c>
      <c r="C387" s="127" t="s">
        <v>27</v>
      </c>
      <c r="D387" s="67">
        <f>(F387*Settings!$C$2)+(G387*Settings!$C$3)+(H387*Settings!$C$4)+(I387*Settings!$C$5)+(J387*Settings!$C$6)+(M387*Settings!$C$9)+(N387*Settings!$C$10)+(O387*Settings!$C$11)+(P387*Settings!$C$12)+(Q387*Settings!$C$13)+(T387*Settings!$C$16)+(K387*Settings!$C$7)+(L387*Settings!$C$8)+(R387*Settings!$C$14)+(S387*Settings!$C$15)</f>
        <v>-1.861224591386446</v>
      </c>
      <c r="E387" s="67"/>
      <c r="F387" s="121">
        <f>(VLOOKUP($A387,Hitters!$A1:$R401,4,FALSE)-AVERAGE(Rankings!M2:M651))/STDEV(Rankings!M2:M651)</f>
        <v>-0.37005381665436676</v>
      </c>
      <c r="G387" s="121">
        <f>(VLOOKUP($A387,Hitters!$A1:$R401,5,FALSE)-AVERAGE(Rankings!N2:N651))/STDEV(Rankings!N2:N651)</f>
        <v>-0.60892474393511742</v>
      </c>
      <c r="H387" s="121">
        <f>(VLOOKUP($A387,Hitters!$A1:$R401,6,FALSE)-AVERAGE(Rankings!O2:O651))/STDEV(Rankings!O2:O651)</f>
        <v>-0.67628960033380214</v>
      </c>
      <c r="I387" s="121">
        <f>(VLOOKUP($A387,Hitters!$A1:$R401,7,FALSE)-AVERAGE(Rankings!P2:P651))/STDEV(Rankings!P2:P651)</f>
        <v>-0.36563038297504352</v>
      </c>
      <c r="J387" s="121">
        <f>(VLOOKUP($A387,Hitters!$A1:$R401,8,FALSE)-AVERAGE(Rankings!Q2:Q651))/STDEV(Rankings!Q2:Q651)</f>
        <v>-0.54562851479787933</v>
      </c>
      <c r="K387" s="121">
        <f>(VLOOKUP($A387,Hitters!$A1:$R401,9,FALSE)-AVERAGE(Rankings!R2:R651))/STDEV(Rankings!R2:R651)</f>
        <v>0.33524865065539627</v>
      </c>
      <c r="L387" s="121">
        <f>(VLOOKUP($A387,Hitters!$A1:$R401,10,FALSE)-AVERAGE(Rankings!S2:S651))/STDEV(Rankings!S2:S651)</f>
        <v>-0.69347740998899454</v>
      </c>
      <c r="M387" s="121">
        <f>(VLOOKUP($A387,Hitters!$A1:$R401,11,FALSE)-AVERAGE(Rankings!T2:T651))/STDEV(Rankings!T2:T651)</f>
        <v>-0.29506010461136989</v>
      </c>
      <c r="N387" s="121">
        <f>(VLOOKUP($A387,Hitters!$A1:$R401,12,FALSE)-AVERAGE(Rankings!U2:U651))/STDEV(Rankings!U2:U651)</f>
        <v>-0.37945482138957376</v>
      </c>
      <c r="O387" s="121">
        <f>(VLOOKUP($A387,Hitters!$A1:$R401,13,FALSE)-AVERAGE(Rankings!V2:V651))/STDEV(Rankings!V2:V651)</f>
        <v>-0.5903871328757041</v>
      </c>
      <c r="P387" s="121">
        <f>(VLOOKUP($A387,Hitters!$A1:$R401,14,FALSE)-AVERAGE(Rankings!W2:W651))/STDEV(Rankings!W2:W651)</f>
        <v>-0.95324149514922363</v>
      </c>
      <c r="Q387" s="121">
        <f>(VLOOKUP($A387,Hitters!$A1:$R401,15,FALSE)-AVERAGE(Rankings!X2:X651))/STDEV(Rankings!X2:X651)</f>
        <v>-0.85937102513740404</v>
      </c>
      <c r="R387" s="121">
        <f>(VLOOKUP($A387,Hitters!$A1:$R401,16,FALSE)-AVERAGE(Rankings!Y2:Y651))/STDEV(Rankings!Y2:Y651)</f>
        <v>-0.58539419420981453</v>
      </c>
      <c r="S387" s="121">
        <f>(VLOOKUP($A387,Hitters!$A1:$R401,17,FALSE)-AVERAGE(Rankings!Z2:Z651))/STDEV(Rankings!Z2:Z651)</f>
        <v>-0.69831973434153272</v>
      </c>
      <c r="T387" s="121">
        <f>IFERROR((VLOOKUP($A387,Hitters!$A1:$R401,18,FALSE)-AVERAGE(Rankings!AA2:AA651))/STDEV(Rankings!AA2:AA651),0)</f>
        <v>0</v>
      </c>
      <c r="U387" s="67"/>
      <c r="V387" s="121"/>
      <c r="W387" s="121"/>
      <c r="X387" s="121"/>
      <c r="Y387" s="121"/>
      <c r="Z387" s="121"/>
      <c r="AA387" s="121"/>
      <c r="AB387" s="121"/>
      <c r="AC387" s="121"/>
      <c r="AD387" s="121"/>
      <c r="AE387" s="121"/>
      <c r="AF387" s="121"/>
      <c r="AG387" s="121"/>
      <c r="AH387" s="121"/>
      <c r="AI387" s="121"/>
      <c r="AJ387" s="121"/>
      <c r="AK387" s="121"/>
    </row>
    <row r="388" spans="1:37" ht="18.600000000000001" customHeight="1">
      <c r="A388" s="25" t="s">
        <v>670</v>
      </c>
      <c r="B388" s="26" t="s">
        <v>225</v>
      </c>
      <c r="C388" s="127" t="s">
        <v>27</v>
      </c>
      <c r="D388" s="67">
        <f>(F388*Settings!$C$2)+(G388*Settings!$C$3)+(H388*Settings!$C$4)+(I388*Settings!$C$5)+(J388*Settings!$C$6)+(M388*Settings!$C$9)+(N388*Settings!$C$10)+(O388*Settings!$C$11)+(P388*Settings!$C$12)+(Q388*Settings!$C$13)+(T388*Settings!$C$16)+(K388*Settings!$C$7)+(L388*Settings!$C$8)+(R388*Settings!$C$14)+(S388*Settings!$C$15)</f>
        <v>-1.7589783181100407</v>
      </c>
      <c r="E388" s="67"/>
      <c r="F388" s="121">
        <f>(VLOOKUP($A388,Hitters!$A1:$R401,4,FALSE)-AVERAGE(Rankings!M2:M651))/STDEV(Rankings!M2:M651)</f>
        <v>0.1026755438709387</v>
      </c>
      <c r="G388" s="121">
        <f>(VLOOKUP($A388,Hitters!$A1:$R401,5,FALSE)-AVERAGE(Rankings!N2:N651))/STDEV(Rankings!N2:N651)</f>
        <v>-0.44044206605383251</v>
      </c>
      <c r="H388" s="121">
        <f>(VLOOKUP($A388,Hitters!$A1:$R401,6,FALSE)-AVERAGE(Rankings!O2:O651))/STDEV(Rankings!O2:O651)</f>
        <v>-1.1817076845061196</v>
      </c>
      <c r="I388" s="121">
        <f>(VLOOKUP($A388,Hitters!$A1:$R401,7,FALSE)-AVERAGE(Rankings!P2:P651))/STDEV(Rankings!P2:P651)</f>
        <v>-0.65543637971248003</v>
      </c>
      <c r="J388" s="121">
        <f>(VLOOKUP($A388,Hitters!$A1:$R401,8,FALSE)-AVERAGE(Rankings!Q2:Q651))/STDEV(Rankings!Q2:Q651)</f>
        <v>5.6746693776312827E-2</v>
      </c>
      <c r="K388" s="121">
        <f>(VLOOKUP($A388,Hitters!$A1:$R401,9,FALSE)-AVERAGE(Rankings!R2:R651))/STDEV(Rankings!R2:R651)</f>
        <v>0.46186111838607885</v>
      </c>
      <c r="L388" s="121">
        <f>(VLOOKUP($A388,Hitters!$A1:$R401,10,FALSE)-AVERAGE(Rankings!S2:S651))/STDEV(Rankings!S2:S651)</f>
        <v>-0.58967670157632357</v>
      </c>
      <c r="M388" s="121">
        <f>(VLOOKUP($A388,Hitters!$A1:$R401,11,FALSE)-AVERAGE(Rankings!T2:T651))/STDEV(Rankings!T2:T651)</f>
        <v>0.15533276761020301</v>
      </c>
      <c r="N388" s="121">
        <f>(VLOOKUP($A388,Hitters!$A1:$R401,12,FALSE)-AVERAGE(Rankings!U2:U651))/STDEV(Rankings!U2:U651)</f>
        <v>0.2540818476218632</v>
      </c>
      <c r="O388" s="121">
        <f>(VLOOKUP($A388,Hitters!$A1:$R401,13,FALSE)-AVERAGE(Rankings!V2:V651))/STDEV(Rankings!V2:V651)</f>
        <v>1.8023829059279399E-2</v>
      </c>
      <c r="P388" s="121">
        <f>(VLOOKUP($A388,Hitters!$A1:$R401,14,FALSE)-AVERAGE(Rankings!W2:W651))/STDEV(Rankings!W2:W651)</f>
        <v>-0.75448305776931002</v>
      </c>
      <c r="Q388" s="121">
        <f>(VLOOKUP($A388,Hitters!$A1:$R401,15,FALSE)-AVERAGE(Rankings!X2:X651))/STDEV(Rankings!X2:X651)</f>
        <v>-1.1790661672544698</v>
      </c>
      <c r="R388" s="121">
        <f>(VLOOKUP($A388,Hitters!$A1:$R401,16,FALSE)-AVERAGE(Rankings!Y2:Y651))/STDEV(Rankings!Y2:Y651)</f>
        <v>-1.3132503265542108</v>
      </c>
      <c r="S388" s="121">
        <f>(VLOOKUP($A388,Hitters!$A1:$R401,17,FALSE)-AVERAGE(Rankings!Z2:Z651))/STDEV(Rankings!Z2:Z651)</f>
        <v>-1.1873881948821867</v>
      </c>
      <c r="T388" s="121">
        <f>IFERROR((VLOOKUP($A388,Hitters!$A1:$R401,18,FALSE)-AVERAGE(Rankings!AA2:AA651))/STDEV(Rankings!AA2:AA651),0)</f>
        <v>0</v>
      </c>
      <c r="U388" s="67"/>
      <c r="V388" s="121"/>
      <c r="W388" s="121"/>
      <c r="X388" s="121"/>
      <c r="Y388" s="121"/>
      <c r="Z388" s="121"/>
      <c r="AA388" s="121"/>
      <c r="AB388" s="121"/>
      <c r="AC388" s="121"/>
      <c r="AD388" s="121"/>
      <c r="AE388" s="121"/>
      <c r="AF388" s="121"/>
      <c r="AG388" s="121"/>
      <c r="AH388" s="121"/>
      <c r="AI388" s="121"/>
      <c r="AJ388" s="121"/>
      <c r="AK388" s="121"/>
    </row>
    <row r="389" spans="1:37" ht="18.600000000000001" customHeight="1">
      <c r="A389" s="25" t="s">
        <v>661</v>
      </c>
      <c r="B389" s="26" t="s">
        <v>69</v>
      </c>
      <c r="C389" s="127" t="s">
        <v>27</v>
      </c>
      <c r="D389" s="67">
        <f>(F389*Settings!$C$2)+(G389*Settings!$C$3)+(H389*Settings!$C$4)+(I389*Settings!$C$5)+(J389*Settings!$C$6)+(M389*Settings!$C$9)+(N389*Settings!$C$10)+(O389*Settings!$C$11)+(P389*Settings!$C$12)+(Q389*Settings!$C$13)+(T389*Settings!$C$16)+(K389*Settings!$C$7)+(L389*Settings!$C$8)+(R389*Settings!$C$14)+(S389*Settings!$C$15)</f>
        <v>-1.6125003454296003</v>
      </c>
      <c r="E389" s="67"/>
      <c r="F389" s="121">
        <f>(VLOOKUP($A389,Hitters!$A1:$R401,4,FALSE)-AVERAGE(Rankings!M2:M651))/STDEV(Rankings!M2:M651)</f>
        <v>-0.94333610745716057</v>
      </c>
      <c r="G389" s="121">
        <f>(VLOOKUP($A389,Hitters!$A1:$R401,5,FALSE)-AVERAGE(Rankings!N2:N651))/STDEV(Rankings!N2:N651)</f>
        <v>-0.8237022116846846</v>
      </c>
      <c r="H389" s="121">
        <f>(VLOOKUP($A389,Hitters!$A1:$R401,6,FALSE)-AVERAGE(Rankings!O2:O651))/STDEV(Rankings!O2:O651)</f>
        <v>-0.64913904209314022</v>
      </c>
      <c r="I389" s="121">
        <f>(VLOOKUP($A389,Hitters!$A1:$R401,7,FALSE)-AVERAGE(Rankings!P2:P651))/STDEV(Rankings!P2:P651)</f>
        <v>-0.82346219696982093</v>
      </c>
      <c r="J389" s="121">
        <f>(VLOOKUP($A389,Hitters!$A1:$R401,8,FALSE)-AVERAGE(Rankings!Q2:Q651))/STDEV(Rankings!Q2:Q651)</f>
        <v>0.61645365840983346</v>
      </c>
      <c r="K389" s="121">
        <f>(VLOOKUP($A389,Hitters!$A1:$R401,9,FALSE)-AVERAGE(Rankings!R2:R651))/STDEV(Rankings!R2:R651)</f>
        <v>6.7349446908211999E-2</v>
      </c>
      <c r="L389" s="121">
        <f>(VLOOKUP($A389,Hitters!$A1:$R401,10,FALSE)-AVERAGE(Rankings!S2:S651))/STDEV(Rankings!S2:S651)</f>
        <v>-0.47922977492344032</v>
      </c>
      <c r="M389" s="121">
        <f>(VLOOKUP($A389,Hitters!$A1:$R401,11,FALSE)-AVERAGE(Rankings!T2:T651))/STDEV(Rankings!T2:T651)</f>
        <v>-0.84645016636141646</v>
      </c>
      <c r="N389" s="121">
        <f>(VLOOKUP($A389,Hitters!$A1:$R401,12,FALSE)-AVERAGE(Rankings!U2:U651))/STDEV(Rankings!U2:U651)</f>
        <v>-0.99385783261208682</v>
      </c>
      <c r="O389" s="121">
        <f>(VLOOKUP($A389,Hitters!$A1:$R401,13,FALSE)-AVERAGE(Rankings!V2:V651))/STDEV(Rankings!V2:V651)</f>
        <v>-0.70100730777297304</v>
      </c>
      <c r="P389" s="121">
        <f>(VLOOKUP($A389,Hitters!$A1:$R401,14,FALSE)-AVERAGE(Rankings!W2:W651))/STDEV(Rankings!W2:W651)</f>
        <v>-0.96531560583118292</v>
      </c>
      <c r="Q389" s="121">
        <f>(VLOOKUP($A389,Hitters!$A1:$R401,15,FALSE)-AVERAGE(Rankings!X2:X651))/STDEV(Rankings!X2:X651)</f>
        <v>-0.88909877463304665</v>
      </c>
      <c r="R389" s="121">
        <f>(VLOOKUP($A389,Hitters!$A1:$R401,16,FALSE)-AVERAGE(Rankings!Y2:Y651))/STDEV(Rankings!Y2:Y651)</f>
        <v>-0.24847411529901281</v>
      </c>
      <c r="S389" s="121">
        <f>(VLOOKUP($A389,Hitters!$A1:$R401,17,FALSE)-AVERAGE(Rankings!Z2:Z651))/STDEV(Rankings!Z2:Z651)</f>
        <v>-0.36897546238266499</v>
      </c>
      <c r="T389" s="121">
        <f>IFERROR((VLOOKUP($A389,Hitters!$A1:$R401,18,FALSE)-AVERAGE(Rankings!AA2:AA651))/STDEV(Rankings!AA2:AA651),0)</f>
        <v>0</v>
      </c>
      <c r="U389" s="67"/>
      <c r="V389" s="121"/>
      <c r="W389" s="121"/>
      <c r="X389" s="121"/>
      <c r="Y389" s="121"/>
      <c r="Z389" s="121"/>
      <c r="AA389" s="121"/>
      <c r="AB389" s="121"/>
      <c r="AC389" s="121"/>
      <c r="AD389" s="121"/>
      <c r="AE389" s="121"/>
      <c r="AF389" s="121"/>
      <c r="AG389" s="121"/>
      <c r="AH389" s="121"/>
      <c r="AI389" s="121"/>
      <c r="AJ389" s="121"/>
      <c r="AK389" s="121"/>
    </row>
    <row r="390" spans="1:37" ht="18.600000000000001" customHeight="1">
      <c r="A390" s="25" t="s">
        <v>689</v>
      </c>
      <c r="B390" s="26" t="s">
        <v>122</v>
      </c>
      <c r="C390" s="127" t="s">
        <v>27</v>
      </c>
      <c r="D390" s="67">
        <f>(F390*Settings!$C$2)+(G390*Settings!$C$3)+(H390*Settings!$C$4)+(I390*Settings!$C$5)+(J390*Settings!$C$6)+(M390*Settings!$C$9)+(N390*Settings!$C$10)+(O390*Settings!$C$11)+(P390*Settings!$C$12)+(Q390*Settings!$C$13)+(T390*Settings!$C$16)+(K390*Settings!$C$7)+(L390*Settings!$C$8)+(R390*Settings!$C$14)+(S390*Settings!$C$15)</f>
        <v>-2.2035909459084766</v>
      </c>
      <c r="E390" s="67"/>
      <c r="F390" s="121">
        <f>(VLOOKUP($A390,Hitters!$A1:$R401,4,FALSE)-AVERAGE(Rankings!M2:M651))/STDEV(Rankings!M2:M651)</f>
        <v>-1.2242090731901488E-2</v>
      </c>
      <c r="G390" s="121">
        <f>(VLOOKUP($A390,Hitters!$A1:$R401,5,FALSE)-AVERAGE(Rankings!N2:N651))/STDEV(Rankings!N2:N651)</f>
        <v>-0.36606682987200573</v>
      </c>
      <c r="H390" s="121">
        <f>(VLOOKUP($A390,Hitters!$A1:$R401,6,FALSE)-AVERAGE(Rankings!O2:O651))/STDEV(Rankings!O2:O651)</f>
        <v>-0.74312174369543071</v>
      </c>
      <c r="I390" s="121">
        <f>(VLOOKUP($A390,Hitters!$A1:$R401,7,FALSE)-AVERAGE(Rankings!P2:P651))/STDEV(Rankings!P2:P651)</f>
        <v>-0.48124447741816911</v>
      </c>
      <c r="J390" s="121">
        <f>(VLOOKUP($A390,Hitters!$A1:$R401,8,FALSE)-AVERAGE(Rankings!Q2:Q651))/STDEV(Rankings!Q2:Q651)</f>
        <v>3.1647726752389173E-2</v>
      </c>
      <c r="K390" s="121">
        <f>(VLOOKUP($A390,Hitters!$A1:$R401,9,FALSE)-AVERAGE(Rankings!R2:R651))/STDEV(Rankings!R2:R651)</f>
        <v>-0.64480562167526023</v>
      </c>
      <c r="L390" s="121">
        <f>(VLOOKUP($A390,Hitters!$A1:$R401,10,FALSE)-AVERAGE(Rankings!S2:S651))/STDEV(Rankings!S2:S651)</f>
        <v>-0.99586881598179589</v>
      </c>
      <c r="M390" s="121">
        <f>(VLOOKUP($A390,Hitters!$A1:$R401,11,FALSE)-AVERAGE(Rankings!T2:T651))/STDEV(Rankings!T2:T651)</f>
        <v>-0.18314429999873641</v>
      </c>
      <c r="N390" s="121">
        <f>(VLOOKUP($A390,Hitters!$A1:$R401,12,FALSE)-AVERAGE(Rankings!U2:U651))/STDEV(Rankings!U2:U651)</f>
        <v>0.22431837995018894</v>
      </c>
      <c r="O390" s="121">
        <f>(VLOOKUP($A390,Hitters!$A1:$R401,13,FALSE)-AVERAGE(Rankings!V2:V651))/STDEV(Rankings!V2:V651)</f>
        <v>0.40519444119971604</v>
      </c>
      <c r="P390" s="121">
        <f>(VLOOKUP($A390,Hitters!$A1:$R401,14,FALSE)-AVERAGE(Rankings!W2:W651))/STDEV(Rankings!W2:W651)</f>
        <v>-0.43684106905934894</v>
      </c>
      <c r="Q390" s="121">
        <f>(VLOOKUP($A390,Hitters!$A1:$R401,15,FALSE)-AVERAGE(Rankings!X2:X651))/STDEV(Rankings!X2:X651)</f>
        <v>-7.1829333580735788E-2</v>
      </c>
      <c r="R390" s="121">
        <f>(VLOOKUP($A390,Hitters!$A1:$R401,16,FALSE)-AVERAGE(Rankings!Y2:Y651))/STDEV(Rankings!Y2:Y651)</f>
        <v>-1.0721401576377076</v>
      </c>
      <c r="S390" s="121">
        <f>(VLOOKUP($A390,Hitters!$A1:$R401,17,FALSE)-AVERAGE(Rankings!Z2:Z651))/STDEV(Rankings!Z2:Z651)</f>
        <v>-1.171322064125444</v>
      </c>
      <c r="T390" s="121">
        <f>IFERROR((VLOOKUP($A390,Hitters!$A1:$R401,18,FALSE)-AVERAGE(Rankings!AA2:AA651))/STDEV(Rankings!AA2:AA651),0)</f>
        <v>0</v>
      </c>
      <c r="U390" s="67"/>
      <c r="V390" s="121"/>
      <c r="W390" s="121"/>
      <c r="X390" s="121"/>
      <c r="Y390" s="121"/>
      <c r="Z390" s="121"/>
      <c r="AA390" s="121"/>
      <c r="AB390" s="121"/>
      <c r="AC390" s="121"/>
      <c r="AD390" s="121"/>
      <c r="AE390" s="121"/>
      <c r="AF390" s="121"/>
      <c r="AG390" s="121"/>
      <c r="AH390" s="121"/>
      <c r="AI390" s="121"/>
      <c r="AJ390" s="121"/>
      <c r="AK390" s="121"/>
    </row>
    <row r="391" spans="1:37" ht="18.600000000000001" customHeight="1">
      <c r="A391" s="25" t="s">
        <v>687</v>
      </c>
      <c r="B391" s="26" t="s">
        <v>158</v>
      </c>
      <c r="C391" s="127" t="s">
        <v>27</v>
      </c>
      <c r="D391" s="67">
        <f>(F391*Settings!$C$2)+(G391*Settings!$C$3)+(H391*Settings!$C$4)+(I391*Settings!$C$5)+(J391*Settings!$C$6)+(M391*Settings!$C$9)+(N391*Settings!$C$10)+(O391*Settings!$C$11)+(P391*Settings!$C$12)+(Q391*Settings!$C$13)+(T391*Settings!$C$16)+(K391*Settings!$C$7)+(L391*Settings!$C$8)+(R391*Settings!$C$14)+(S391*Settings!$C$15)</f>
        <v>-2.1278526840492473</v>
      </c>
      <c r="E391" s="67"/>
      <c r="F391" s="121">
        <f>(VLOOKUP($A391,Hitters!$A1:$R401,4,FALSE)-AVERAGE(Rankings!M2:M651))/STDEV(Rankings!M2:M651)</f>
        <v>-1.2724184247289221</v>
      </c>
      <c r="G391" s="121">
        <f>(VLOOKUP($A391,Hitters!$A1:$R401,5,FALSE)-AVERAGE(Rankings!N2:N651))/STDEV(Rankings!N2:N651)</f>
        <v>-1.0217831978424115</v>
      </c>
      <c r="H391" s="121">
        <f>(VLOOKUP($A391,Hitters!$A1:$R401,6,FALSE)-AVERAGE(Rankings!O2:O651))/STDEV(Rankings!O2:O651)</f>
        <v>-0.78698033777649956</v>
      </c>
      <c r="I391" s="121">
        <f>(VLOOKUP($A391,Hitters!$A1:$R401,7,FALSE)-AVERAGE(Rankings!P2:P651))/STDEV(Rankings!P2:P651)</f>
        <v>-1.0107570299676845</v>
      </c>
      <c r="J391" s="121">
        <f>(VLOOKUP($A391,Hitters!$A1:$R401,8,FALSE)-AVERAGE(Rankings!Q2:Q651))/STDEV(Rankings!Q2:Q651)</f>
        <v>8.9375350907415455E-2</v>
      </c>
      <c r="K391" s="121">
        <f>(VLOOKUP($A391,Hitters!$A1:$R401,9,FALSE)-AVERAGE(Rankings!R2:R651))/STDEV(Rankings!R2:R651)</f>
        <v>0.60229253062993249</v>
      </c>
      <c r="L391" s="121">
        <f>(VLOOKUP($A391,Hitters!$A1:$R401,10,FALSE)-AVERAGE(Rankings!S2:S651))/STDEV(Rankings!S2:S651)</f>
        <v>5.0496735203265794E-2</v>
      </c>
      <c r="M391" s="121">
        <f>(VLOOKUP($A391,Hitters!$A1:$R401,11,FALSE)-AVERAGE(Rankings!T2:T651))/STDEV(Rankings!T2:T651)</f>
        <v>-1.0689169487011632</v>
      </c>
      <c r="N391" s="121">
        <f>(VLOOKUP($A391,Hitters!$A1:$R401,12,FALSE)-AVERAGE(Rankings!U2:U651))/STDEV(Rankings!U2:U651)</f>
        <v>-0.70047507984839752</v>
      </c>
      <c r="O391" s="121">
        <f>(VLOOKUP($A391,Hitters!$A1:$R401,13,FALSE)-AVERAGE(Rankings!V2:V651))/STDEV(Rankings!V2:V651)</f>
        <v>-0.61804217660002114</v>
      </c>
      <c r="P391" s="121">
        <f>(VLOOKUP($A391,Hitters!$A1:$R401,14,FALSE)-AVERAGE(Rankings!W2:W651))/STDEV(Rankings!W2:W651)</f>
        <v>-1.0907006013745886</v>
      </c>
      <c r="Q391" s="121">
        <f>(VLOOKUP($A391,Hitters!$A1:$R401,15,FALSE)-AVERAGE(Rankings!X2:X651))/STDEV(Rankings!X2:X651)</f>
        <v>-1.2940784439917052</v>
      </c>
      <c r="R391" s="121">
        <f>(VLOOKUP($A391,Hitters!$A1:$R401,16,FALSE)-AVERAGE(Rankings!Y2:Y651))/STDEV(Rankings!Y2:Y651)</f>
        <v>0.58413769990432485</v>
      </c>
      <c r="S391" s="121">
        <f>(VLOOKUP($A391,Hitters!$A1:$R401,17,FALSE)-AVERAGE(Rankings!Z2:Z651))/STDEV(Rankings!Z2:Z651)</f>
        <v>0.44501998526945807</v>
      </c>
      <c r="T391" s="121">
        <f>IFERROR((VLOOKUP($A391,Hitters!$A1:$R401,18,FALSE)-AVERAGE(Rankings!AA2:AA651))/STDEV(Rankings!AA2:AA651),0)</f>
        <v>0</v>
      </c>
      <c r="U391" s="67"/>
      <c r="V391" s="121"/>
      <c r="W391" s="121"/>
      <c r="X391" s="121"/>
      <c r="Y391" s="121"/>
      <c r="Z391" s="121"/>
      <c r="AA391" s="121"/>
      <c r="AB391" s="121"/>
      <c r="AC391" s="121"/>
      <c r="AD391" s="121"/>
      <c r="AE391" s="121"/>
      <c r="AF391" s="121"/>
      <c r="AG391" s="121"/>
      <c r="AH391" s="121"/>
      <c r="AI391" s="121"/>
      <c r="AJ391" s="121"/>
      <c r="AK391" s="121"/>
    </row>
    <row r="392" spans="1:37" ht="18.600000000000001" customHeight="1">
      <c r="A392" s="25" t="s">
        <v>691</v>
      </c>
      <c r="B392" s="26" t="s">
        <v>101</v>
      </c>
      <c r="C392" s="127" t="s">
        <v>27</v>
      </c>
      <c r="D392" s="67">
        <f>(F392*Settings!$C$2)+(G392*Settings!$C$3)+(H392*Settings!$C$4)+(I392*Settings!$C$5)+(J392*Settings!$C$6)+(M392*Settings!$C$9)+(N392*Settings!$C$10)+(O392*Settings!$C$11)+(P392*Settings!$C$12)+(Q392*Settings!$C$13)+(T392*Settings!$C$16)+(K392*Settings!$C$7)+(L392*Settings!$C$8)+(R392*Settings!$C$14)+(S392*Settings!$C$15)</f>
        <v>-2.2450458329918783</v>
      </c>
      <c r="E392" s="67"/>
      <c r="F392" s="121">
        <f>(VLOOKUP($A392,Hitters!$A1:$R401,4,FALSE)-AVERAGE(Rankings!M2:M651))/STDEV(Rankings!M2:M651)</f>
        <v>-0.8062184752605932</v>
      </c>
      <c r="G392" s="121">
        <f>(VLOOKUP($A392,Hitters!$A1:$R401,5,FALSE)-AVERAGE(Rankings!N2:N651))/STDEV(Rankings!N2:N651)</f>
        <v>-0.86544341566428373</v>
      </c>
      <c r="H392" s="121">
        <f>(VLOOKUP($A392,Hitters!$A1:$R401,6,FALSE)-AVERAGE(Rankings!O2:O651))/STDEV(Rankings!O2:O651)</f>
        <v>-0.93526415586011302</v>
      </c>
      <c r="I392" s="121">
        <f>(VLOOKUP($A392,Hitters!$A1:$R401,7,FALSE)-AVERAGE(Rankings!P2:P651))/STDEV(Rankings!P2:P651)</f>
        <v>-1.0069032268195819</v>
      </c>
      <c r="J392" s="121">
        <f>(VLOOKUP($A392,Hitters!$A1:$R401,8,FALSE)-AVERAGE(Rankings!Q2:Q651))/STDEV(Rankings!Q2:Q651)</f>
        <v>1.6530409964979178</v>
      </c>
      <c r="K392" s="121">
        <f>(VLOOKUP($A392,Hitters!$A1:$R401,9,FALSE)-AVERAGE(Rankings!R2:R651))/STDEV(Rankings!R2:R651)</f>
        <v>-1.0904760311458173</v>
      </c>
      <c r="L392" s="121">
        <f>(VLOOKUP($A392,Hitters!$A1:$R401,10,FALSE)-AVERAGE(Rankings!S2:S651))/STDEV(Rankings!S2:S651)</f>
        <v>-1.9402794212893557</v>
      </c>
      <c r="M392" s="121">
        <f>(VLOOKUP($A392,Hitters!$A1:$R401,11,FALSE)-AVERAGE(Rankings!T2:T651))/STDEV(Rankings!T2:T651)</f>
        <v>-0.90650254932429286</v>
      </c>
      <c r="N392" s="121">
        <f>(VLOOKUP($A392,Hitters!$A1:$R401,12,FALSE)-AVERAGE(Rankings!U2:U651))/STDEV(Rankings!U2:U651)</f>
        <v>-0.68134142205946124</v>
      </c>
      <c r="O392" s="121">
        <f>(VLOOKUP($A392,Hitters!$A1:$R401,13,FALSE)-AVERAGE(Rankings!V2:V651))/STDEV(Rankings!V2:V651)</f>
        <v>0.95829531568606441</v>
      </c>
      <c r="P392" s="121">
        <f>(VLOOKUP($A392,Hitters!$A1:$R401,14,FALSE)-AVERAGE(Rankings!W2:W651))/STDEV(Rankings!W2:W651)</f>
        <v>-1.1891510423197831</v>
      </c>
      <c r="Q392" s="121">
        <f>(VLOOKUP($A392,Hitters!$A1:$R401,15,FALSE)-AVERAGE(Rankings!X2:X651))/STDEV(Rankings!X2:X651)</f>
        <v>-0.37982831196180816</v>
      </c>
      <c r="R392" s="121">
        <f>(VLOOKUP($A392,Hitters!$A1:$R401,16,FALSE)-AVERAGE(Rankings!Y2:Y651))/STDEV(Rankings!Y2:Y651)</f>
        <v>-1.0360791080070404</v>
      </c>
      <c r="S392" s="121">
        <f>(VLOOKUP($A392,Hitters!$A1:$R401,17,FALSE)-AVERAGE(Rankings!Z2:Z651))/STDEV(Rankings!Z2:Z651)</f>
        <v>-1.5157764376913232</v>
      </c>
      <c r="T392" s="121">
        <f>IFERROR((VLOOKUP($A392,Hitters!$A1:$R401,18,FALSE)-AVERAGE(Rankings!AA2:AA651))/STDEV(Rankings!AA2:AA651),0)</f>
        <v>0</v>
      </c>
      <c r="U392" s="67"/>
      <c r="V392" s="121"/>
      <c r="W392" s="121"/>
      <c r="X392" s="121"/>
      <c r="Y392" s="121"/>
      <c r="Z392" s="121"/>
      <c r="AA392" s="121"/>
      <c r="AB392" s="121"/>
      <c r="AC392" s="121"/>
      <c r="AD392" s="121"/>
      <c r="AE392" s="121"/>
      <c r="AF392" s="121"/>
      <c r="AG392" s="121"/>
      <c r="AH392" s="121"/>
      <c r="AI392" s="121"/>
      <c r="AJ392" s="121"/>
      <c r="AK392" s="121"/>
    </row>
    <row r="393" spans="1:37" ht="18.600000000000001" customHeight="1">
      <c r="A393" s="25" t="s">
        <v>700</v>
      </c>
      <c r="B393" s="26" t="s">
        <v>69</v>
      </c>
      <c r="C393" s="127" t="s">
        <v>27</v>
      </c>
      <c r="D393" s="67">
        <f>(F393*Settings!$C$2)+(G393*Settings!$C$3)+(H393*Settings!$C$4)+(I393*Settings!$C$5)+(J393*Settings!$C$6)+(M393*Settings!$C$9)+(N393*Settings!$C$10)+(O393*Settings!$C$11)+(P393*Settings!$C$12)+(Q393*Settings!$C$13)+(T393*Settings!$C$16)+(K393*Settings!$C$7)+(L393*Settings!$C$8)+(R393*Settings!$C$14)+(S393*Settings!$C$15)</f>
        <v>-2.5029512461894159</v>
      </c>
      <c r="E393" s="67"/>
      <c r="F393" s="121">
        <f>(VLOOKUP($A393,Hitters!$A1:$R401,4,FALSE)-AVERAGE(Rankings!M2:M651))/STDEV(Rankings!M2:M651)</f>
        <v>-1.0804537396537279</v>
      </c>
      <c r="G393" s="121">
        <f>(VLOOKUP($A393,Hitters!$A1:$R401,5,FALSE)-AVERAGE(Rankings!N2:N651))/STDEV(Rankings!N2:N651)</f>
        <v>-0.88745241412625187</v>
      </c>
      <c r="H393" s="121">
        <f>(VLOOKUP($A393,Hitters!$A1:$R401,6,FALSE)-AVERAGE(Rankings!O2:O651))/STDEV(Rankings!O2:O651)</f>
        <v>-0.70552866305451445</v>
      </c>
      <c r="I393" s="121">
        <f>(VLOOKUP($A393,Hitters!$A1:$R401,7,FALSE)-AVERAGE(Rankings!P2:P651))/STDEV(Rankings!P2:P651)</f>
        <v>-0.90439206308000886</v>
      </c>
      <c r="J393" s="121">
        <f>(VLOOKUP($A393,Hitters!$A1:$R401,8,FALSE)-AVERAGE(Rankings!Q2:Q651))/STDEV(Rankings!Q2:Q651)</f>
        <v>0.63151303862418851</v>
      </c>
      <c r="K393" s="121">
        <f>(VLOOKUP($A393,Hitters!$A1:$R401,9,FALSE)-AVERAGE(Rankings!R2:R651))/STDEV(Rankings!R2:R651)</f>
        <v>-0.63709114455282945</v>
      </c>
      <c r="L393" s="121">
        <f>(VLOOKUP($A393,Hitters!$A1:$R401,10,FALSE)-AVERAGE(Rankings!S2:S651))/STDEV(Rankings!S2:S651)</f>
        <v>-0.40938886776829464</v>
      </c>
      <c r="M393" s="121">
        <f>(VLOOKUP($A393,Hitters!$A1:$R401,11,FALSE)-AVERAGE(Rankings!T2:T651))/STDEV(Rankings!T2:T651)</f>
        <v>-1.0620928142735635</v>
      </c>
      <c r="N393" s="121">
        <f>(VLOOKUP($A393,Hitters!$A1:$R401,12,FALSE)-AVERAGE(Rankings!U2:U651))/STDEV(Rankings!U2:U651)</f>
        <v>-0.80889914065236967</v>
      </c>
      <c r="O393" s="121">
        <f>(VLOOKUP($A393,Hitters!$A1:$R401,13,FALSE)-AVERAGE(Rankings!V2:V651))/STDEV(Rankings!V2:V651)</f>
        <v>8.7161438370069802E-2</v>
      </c>
      <c r="P393" s="121">
        <f>(VLOOKUP($A393,Hitters!$A1:$R401,14,FALSE)-AVERAGE(Rankings!W2:W651))/STDEV(Rankings!W2:W651)</f>
        <v>-0.72290461444726528</v>
      </c>
      <c r="Q393" s="121">
        <f>(VLOOKUP($A393,Hitters!$A1:$R401,15,FALSE)-AVERAGE(Rankings!X2:X651))/STDEV(Rankings!X2:X651)</f>
        <v>-1.0513830464699097</v>
      </c>
      <c r="R393" s="121">
        <f>(VLOOKUP($A393,Hitters!$A1:$R401,16,FALSE)-AVERAGE(Rankings!Y2:Y651))/STDEV(Rankings!Y2:Y651)</f>
        <v>-0.13858565867198752</v>
      </c>
      <c r="S393" s="121">
        <f>(VLOOKUP($A393,Hitters!$A1:$R401,17,FALSE)-AVERAGE(Rankings!Z2:Z651))/STDEV(Rankings!Z2:Z651)</f>
        <v>-0.26157250676679361</v>
      </c>
      <c r="T393" s="121">
        <f>IFERROR((VLOOKUP($A393,Hitters!$A1:$R401,18,FALSE)-AVERAGE(Rankings!AA2:AA651))/STDEV(Rankings!AA2:AA651),0)</f>
        <v>0</v>
      </c>
      <c r="U393" s="67"/>
      <c r="V393" s="121"/>
      <c r="W393" s="121"/>
      <c r="X393" s="121"/>
      <c r="Y393" s="121"/>
      <c r="Z393" s="121"/>
      <c r="AA393" s="121"/>
      <c r="AB393" s="121"/>
      <c r="AC393" s="121"/>
      <c r="AD393" s="121"/>
      <c r="AE393" s="121"/>
      <c r="AF393" s="121"/>
      <c r="AG393" s="121"/>
      <c r="AH393" s="121"/>
      <c r="AI393" s="121"/>
      <c r="AJ393" s="121"/>
      <c r="AK393" s="121"/>
    </row>
    <row r="394" spans="1:37" ht="18.600000000000001" customHeight="1">
      <c r="A394" s="25" t="s">
        <v>713</v>
      </c>
      <c r="B394" s="26" t="s">
        <v>79</v>
      </c>
      <c r="C394" s="127" t="s">
        <v>27</v>
      </c>
      <c r="D394" s="67">
        <f>(F394*Settings!$C$2)+(G394*Settings!$C$3)+(H394*Settings!$C$4)+(I394*Settings!$C$5)+(J394*Settings!$C$6)+(M394*Settings!$C$9)+(N394*Settings!$C$10)+(O394*Settings!$C$11)+(P394*Settings!$C$12)+(Q394*Settings!$C$13)+(T394*Settings!$C$16)+(K394*Settings!$C$7)+(L394*Settings!$C$8)+(R394*Settings!$C$14)+(S394*Settings!$C$15)</f>
        <v>-3.022089870124443</v>
      </c>
      <c r="E394" s="67"/>
      <c r="F394" s="121">
        <f>(VLOOKUP($A394,Hitters!$A1:$R401,4,FALSE)-AVERAGE(Rankings!M2:M651))/STDEV(Rankings!M2:M651)</f>
        <v>-0.82972435506571907</v>
      </c>
      <c r="G394" s="121">
        <f>(VLOOKUP($A394,Hitters!$A1:$R401,5,FALSE)-AVERAGE(Rankings!N2:N651))/STDEV(Rankings!N2:N651)</f>
        <v>-0.83053259051770967</v>
      </c>
      <c r="H394" s="121">
        <f>(VLOOKUP($A394,Hitters!$A1:$R401,6,FALSE)-AVERAGE(Rankings!O2:O651))/STDEV(Rankings!O2:O651)</f>
        <v>-0.85172397665807775</v>
      </c>
      <c r="I394" s="121">
        <f>(VLOOKUP($A394,Hitters!$A1:$R401,7,FALSE)-AVERAGE(Rankings!P2:P651))/STDEV(Rankings!P2:P651)</f>
        <v>-0.86816631348783102</v>
      </c>
      <c r="J394" s="121">
        <f>(VLOOKUP($A394,Hitters!$A1:$R401,8,FALSE)-AVERAGE(Rankings!Q2:Q651))/STDEV(Rankings!Q2:Q651)</f>
        <v>-0.32475760498734169</v>
      </c>
      <c r="K394" s="121">
        <f>(VLOOKUP($A394,Hitters!$A1:$R401,9,FALSE)-AVERAGE(Rankings!R2:R651))/STDEV(Rankings!R2:R651)</f>
        <v>-0.14690938447348287</v>
      </c>
      <c r="L394" s="121">
        <f>(VLOOKUP($A394,Hitters!$A1:$R401,10,FALSE)-AVERAGE(Rankings!S2:S651))/STDEV(Rankings!S2:S651)</f>
        <v>-0.89468547318223002</v>
      </c>
      <c r="M394" s="121">
        <f>(VLOOKUP($A394,Hitters!$A1:$R401,11,FALSE)-AVERAGE(Rankings!T2:T651))/STDEV(Rankings!T2:T651)</f>
        <v>-0.78002859126611479</v>
      </c>
      <c r="N394" s="121">
        <f>(VLOOKUP($A394,Hitters!$A1:$R401,12,FALSE)-AVERAGE(Rankings!U2:U651))/STDEV(Rankings!U2:U651)</f>
        <v>-0.98322802272934862</v>
      </c>
      <c r="O394" s="121">
        <f>(VLOOKUP($A394,Hitters!$A1:$R401,13,FALSE)-AVERAGE(Rankings!V2:V651))/STDEV(Rankings!V2:V651)</f>
        <v>-0.89459261384319366</v>
      </c>
      <c r="P394" s="121">
        <f>(VLOOKUP($A394,Hitters!$A1:$R401,14,FALSE)-AVERAGE(Rankings!W2:W651))/STDEV(Rankings!W2:W651)</f>
        <v>-1.0424041586467565</v>
      </c>
      <c r="Q394" s="121">
        <f>(VLOOKUP($A394,Hitters!$A1:$R401,15,FALSE)-AVERAGE(Rankings!X2:X651))/STDEV(Rankings!X2:X651)</f>
        <v>-1.3116226895956904</v>
      </c>
      <c r="R394" s="121">
        <f>(VLOOKUP($A394,Hitters!$A1:$R401,16,FALSE)-AVERAGE(Rankings!Y2:Y651))/STDEV(Rankings!Y2:Y651)</f>
        <v>-0.96128800752068844</v>
      </c>
      <c r="S394" s="121">
        <f>(VLOOKUP($A394,Hitters!$A1:$R401,17,FALSE)-AVERAGE(Rankings!Z2:Z651))/STDEV(Rankings!Z2:Z651)</f>
        <v>-1.050914979826741</v>
      </c>
      <c r="T394" s="121">
        <f>IFERROR((VLOOKUP($A394,Hitters!$A1:$R401,18,FALSE)-AVERAGE(Rankings!AA2:AA651))/STDEV(Rankings!AA2:AA651),0)</f>
        <v>0</v>
      </c>
      <c r="U394" s="67"/>
      <c r="V394" s="121"/>
      <c r="W394" s="121"/>
      <c r="X394" s="121"/>
      <c r="Y394" s="121"/>
      <c r="Z394" s="121"/>
      <c r="AA394" s="121"/>
      <c r="AB394" s="121"/>
      <c r="AC394" s="121"/>
      <c r="AD394" s="121"/>
      <c r="AE394" s="121"/>
      <c r="AF394" s="121"/>
      <c r="AG394" s="121"/>
      <c r="AH394" s="121"/>
      <c r="AI394" s="121"/>
      <c r="AJ394" s="121"/>
      <c r="AK394" s="121"/>
    </row>
    <row r="395" spans="1:37" ht="18.600000000000001" customHeight="1">
      <c r="A395" s="25" t="s">
        <v>725</v>
      </c>
      <c r="B395" s="26" t="s">
        <v>142</v>
      </c>
      <c r="C395" s="127" t="s">
        <v>27</v>
      </c>
      <c r="D395" s="67">
        <f>(F395*Settings!$C$2)+(G395*Settings!$C$3)+(H395*Settings!$C$4)+(I395*Settings!$C$5)+(J395*Settings!$C$6)+(M395*Settings!$C$9)+(N395*Settings!$C$10)+(O395*Settings!$C$11)+(P395*Settings!$C$12)+(Q395*Settings!$C$13)+(T395*Settings!$C$16)+(K395*Settings!$C$7)+(L395*Settings!$C$8)+(R395*Settings!$C$14)+(S395*Settings!$C$15)</f>
        <v>-3.7159830631944715</v>
      </c>
      <c r="E395" s="67"/>
      <c r="F395" s="121">
        <f>(VLOOKUP($A395,Hitters!$A1:$R401,4,FALSE)-AVERAGE(Rankings!M2:M651))/STDEV(Rankings!M2:M651)</f>
        <v>7.1334370797437596E-2</v>
      </c>
      <c r="G395" s="121">
        <f>(VLOOKUP($A395,Hitters!$A1:$R401,5,FALSE)-AVERAGE(Rankings!N2:N651))/STDEV(Rankings!N2:N651)</f>
        <v>-0.52847805990171415</v>
      </c>
      <c r="H395" s="121">
        <f>(VLOOKUP($A395,Hitters!$A1:$R401,6,FALSE)-AVERAGE(Rankings!O2:O651))/STDEV(Rankings!O2:O651)</f>
        <v>-1.060574424663167</v>
      </c>
      <c r="I395" s="121">
        <f>(VLOOKUP($A395,Hitters!$A1:$R401,7,FALSE)-AVERAGE(Rankings!P2:P651))/STDEV(Rankings!P2:P651)</f>
        <v>-0.91595347252432147</v>
      </c>
      <c r="J395" s="121">
        <f>(VLOOKUP($A395,Hitters!$A1:$R401,8,FALSE)-AVERAGE(Rankings!Q2:Q651))/STDEV(Rankings!Q2:Q651)</f>
        <v>1.6588346538034426E-2</v>
      </c>
      <c r="K395" s="121">
        <f>(VLOOKUP($A395,Hitters!$A1:$R401,9,FALSE)-AVERAGE(Rankings!R2:R651))/STDEV(Rankings!R2:R651)</f>
        <v>-1.2275654526433033</v>
      </c>
      <c r="L395" s="121">
        <f>(VLOOKUP($A395,Hitters!$A1:$R401,10,FALSE)-AVERAGE(Rankings!S2:S651))/STDEV(Rankings!S2:S651)</f>
        <v>-1.539081587319848</v>
      </c>
      <c r="M395" s="121">
        <f>(VLOOKUP($A395,Hitters!$A1:$R401,11,FALSE)-AVERAGE(Rankings!T2:T651))/STDEV(Rankings!T2:T651)</f>
        <v>-0.24137691378091858</v>
      </c>
      <c r="N395" s="121">
        <f>(VLOOKUP($A395,Hitters!$A1:$R401,12,FALSE)-AVERAGE(Rankings!U2:U651))/STDEV(Rankings!U2:U651)</f>
        <v>-1.3789361423244743E-2</v>
      </c>
      <c r="O395" s="121">
        <f>(VLOOKUP($A395,Hitters!$A1:$R401,13,FALSE)-AVERAGE(Rankings!V2:V651))/STDEV(Rankings!V2:V651)</f>
        <v>-0.86693757011887684</v>
      </c>
      <c r="P395" s="121">
        <f>(VLOOKUP($A395,Hitters!$A1:$R401,14,FALSE)-AVERAGE(Rankings!W2:W651))/STDEV(Rankings!W2:W651)</f>
        <v>-0.45541662395466648</v>
      </c>
      <c r="Q395" s="121">
        <f>(VLOOKUP($A395,Hitters!$A1:$R401,15,FALSE)-AVERAGE(Rankings!X2:X651))/STDEV(Rankings!X2:X651)</f>
        <v>-0.31744877203652849</v>
      </c>
      <c r="R395" s="121">
        <f>(VLOOKUP($A395,Hitters!$A1:$R401,16,FALSE)-AVERAGE(Rankings!Y2:Y651))/STDEV(Rankings!Y2:Y651)</f>
        <v>-2.1504886561397161</v>
      </c>
      <c r="S395" s="121">
        <f>(VLOOKUP($A395,Hitters!$A1:$R401,17,FALSE)-AVERAGE(Rankings!Z2:Z651))/STDEV(Rankings!Z2:Z651)</f>
        <v>-2.1694850193469297</v>
      </c>
      <c r="T395" s="121">
        <f>IFERROR((VLOOKUP($A395,Hitters!$A1:$R401,18,FALSE)-AVERAGE(Rankings!AA2:AA651))/STDEV(Rankings!AA2:AA651),0)</f>
        <v>0</v>
      </c>
      <c r="U395" s="67"/>
      <c r="V395" s="121"/>
      <c r="W395" s="121"/>
      <c r="X395" s="121"/>
      <c r="Y395" s="121"/>
      <c r="Z395" s="121"/>
      <c r="AA395" s="121"/>
      <c r="AB395" s="121"/>
      <c r="AC395" s="121"/>
      <c r="AD395" s="121"/>
      <c r="AE395" s="121"/>
      <c r="AF395" s="121"/>
      <c r="AG395" s="121"/>
      <c r="AH395" s="121"/>
      <c r="AI395" s="121"/>
      <c r="AJ395" s="121"/>
      <c r="AK395" s="121"/>
    </row>
    <row r="396" spans="1:37" ht="18.600000000000001" customHeight="1">
      <c r="A396" s="25" t="s">
        <v>741</v>
      </c>
      <c r="B396" s="26" t="s">
        <v>178</v>
      </c>
      <c r="C396" s="127" t="s">
        <v>27</v>
      </c>
      <c r="D396" s="67">
        <f>(F396*Settings!$C$2)+(G396*Settings!$C$3)+(H396*Settings!$C$4)+(I396*Settings!$C$5)+(J396*Settings!$C$6)+(M396*Settings!$C$9)+(N396*Settings!$C$10)+(O396*Settings!$C$11)+(P396*Settings!$C$12)+(Q396*Settings!$C$13)+(T396*Settings!$C$16)+(K396*Settings!$C$7)+(L396*Settings!$C$8)+(R396*Settings!$C$14)+(S396*Settings!$C$15)</f>
        <v>-5.2096922774980969</v>
      </c>
      <c r="E396" s="67"/>
      <c r="F396" s="121">
        <f>(VLOOKUP($A396,Hitters!$A1:$R401,4,FALSE)-AVERAGE(Rankings!M2:M651))/STDEV(Rankings!M2:M651)</f>
        <v>-2.0912065712741383</v>
      </c>
      <c r="G396" s="121">
        <f>(VLOOKUP($A396,Hitters!$A1:$R401,5,FALSE)-AVERAGE(Rankings!N2:N651))/STDEV(Rankings!N2:N651)</f>
        <v>-1.7108925289964938</v>
      </c>
      <c r="H396" s="121">
        <f>(VLOOKUP($A396,Hitters!$A1:$R401,6,FALSE)-AVERAGE(Rankings!O2:O651))/STDEV(Rankings!O2:O651)</f>
        <v>-1.2986639353889697</v>
      </c>
      <c r="I396" s="121">
        <f>(VLOOKUP($A396,Hitters!$A1:$R401,7,FALSE)-AVERAGE(Rankings!P2:P651))/STDEV(Rankings!P2:P651)</f>
        <v>-1.6651328045157756</v>
      </c>
      <c r="J396" s="121">
        <f>(VLOOKUP($A396,Hitters!$A1:$R401,8,FALSE)-AVERAGE(Rankings!Q2:Q651))/STDEV(Rankings!Q2:Q651)</f>
        <v>-0.73638066417970593</v>
      </c>
      <c r="K396" s="121">
        <f>(VLOOKUP($A396,Hitters!$A1:$R401,9,FALSE)-AVERAGE(Rankings!R2:R651))/STDEV(Rankings!R2:R651)</f>
        <v>0.20137765558284798</v>
      </c>
      <c r="L396" s="121">
        <f>(VLOOKUP($A396,Hitters!$A1:$R401,10,FALSE)-AVERAGE(Rankings!S2:S651))/STDEV(Rankings!S2:S651)</f>
        <v>-1.0348168224718495</v>
      </c>
      <c r="M396" s="121">
        <f>(VLOOKUP($A396,Hitters!$A1:$R401,11,FALSE)-AVERAGE(Rankings!T2:T651))/STDEV(Rankings!T2:T651)</f>
        <v>-1.8418639082006107</v>
      </c>
      <c r="N396" s="121">
        <f>(VLOOKUP($A396,Hitters!$A1:$R401,12,FALSE)-AVERAGE(Rankings!U2:U651))/STDEV(Rankings!U2:U651)</f>
        <v>-1.6720397031310505</v>
      </c>
      <c r="O396" s="121">
        <f>(VLOOKUP($A396,Hitters!$A1:$R401,13,FALSE)-AVERAGE(Rankings!V2:V651))/STDEV(Rankings!V2:V651)</f>
        <v>-0.94990270129182863</v>
      </c>
      <c r="P396" s="121">
        <f>(VLOOKUP($A396,Hitters!$A1:$R401,14,FALSE)-AVERAGE(Rankings!W2:W651))/STDEV(Rankings!W2:W651)</f>
        <v>-1.724127023304979</v>
      </c>
      <c r="Q396" s="121">
        <f>(VLOOKUP($A396,Hitters!$A1:$R401,15,FALSE)-AVERAGE(Rankings!X2:X651))/STDEV(Rankings!X2:X651)</f>
        <v>-1.8886334339045363</v>
      </c>
      <c r="R396" s="121">
        <f>(VLOOKUP($A396,Hitters!$A1:$R401,16,FALSE)-AVERAGE(Rankings!Y2:Y651))/STDEV(Rankings!Y2:Y651)</f>
        <v>1.7686334781812606E-2</v>
      </c>
      <c r="S396" s="121">
        <f>(VLOOKUP($A396,Hitters!$A1:$R401,17,FALSE)-AVERAGE(Rankings!Z2:Z651))/STDEV(Rankings!Z2:Z651)</f>
        <v>-0.39331606587905199</v>
      </c>
      <c r="T396" s="121">
        <f>IFERROR((VLOOKUP($A396,Hitters!$A1:$R401,18,FALSE)-AVERAGE(Rankings!AA2:AA651))/STDEV(Rankings!AA2:AA651),0)</f>
        <v>0</v>
      </c>
      <c r="U396" s="67"/>
      <c r="V396" s="121"/>
      <c r="W396" s="121"/>
      <c r="X396" s="121"/>
      <c r="Y396" s="121"/>
      <c r="Z396" s="121"/>
      <c r="AA396" s="121"/>
      <c r="AB396" s="121"/>
      <c r="AC396" s="121"/>
      <c r="AD396" s="121"/>
      <c r="AE396" s="121"/>
      <c r="AF396" s="121"/>
      <c r="AG396" s="121"/>
      <c r="AH396" s="121"/>
      <c r="AI396" s="121"/>
      <c r="AJ396" s="121"/>
      <c r="AK396" s="121"/>
    </row>
    <row r="397" spans="1:37" ht="18.600000000000001" customHeight="1">
      <c r="A397" s="25" t="s">
        <v>742</v>
      </c>
      <c r="B397" s="26" t="s">
        <v>125</v>
      </c>
      <c r="C397" s="127" t="s">
        <v>27</v>
      </c>
      <c r="D397" s="67">
        <f>(F397*Settings!$C$2)+(G397*Settings!$C$3)+(H397*Settings!$C$4)+(I397*Settings!$C$5)+(J397*Settings!$C$6)+(M397*Settings!$C$9)+(N397*Settings!$C$10)+(O397*Settings!$C$11)+(P397*Settings!$C$12)+(Q397*Settings!$C$13)+(T397*Settings!$C$16)+(K397*Settings!$C$7)+(L397*Settings!$C$8)+(R397*Settings!$C$14)+(S397*Settings!$C$15)</f>
        <v>-5.6346917461495467</v>
      </c>
      <c r="E397" s="67"/>
      <c r="F397" s="121">
        <f>(VLOOKUP($A397,Hitters!$A1:$R401,4,FALSE)-AVERAGE(Rankings!M2:M651))/STDEV(Rankings!M2:M651)</f>
        <v>-1.2711125425175236</v>
      </c>
      <c r="G397" s="121">
        <f>(VLOOKUP($A397,Hitters!$A1:$R401,5,FALSE)-AVERAGE(Rankings!N2:N651))/STDEV(Rankings!N2:N651)</f>
        <v>-1.1917837376865892</v>
      </c>
      <c r="H397" s="121">
        <f>(VLOOKUP($A397,Hitters!$A1:$R401,6,FALSE)-AVERAGE(Rankings!O2:O651))/STDEV(Rankings!O2:O651)</f>
        <v>-0.67211259137369972</v>
      </c>
      <c r="I397" s="121">
        <f>(VLOOKUP($A397,Hitters!$A1:$R401,7,FALSE)-AVERAGE(Rankings!P2:P651))/STDEV(Rankings!P2:P651)</f>
        <v>-0.98840497170868158</v>
      </c>
      <c r="J397" s="121">
        <f>(VLOOKUP($A397,Hitters!$A1:$R401,8,FALSE)-AVERAGE(Rankings!Q2:Q651))/STDEV(Rankings!Q2:Q651)</f>
        <v>-0.56570768841701857</v>
      </c>
      <c r="K397" s="121">
        <f>(VLOOKUP($A397,Hitters!$A1:$R401,9,FALSE)-AVERAGE(Rankings!R2:R651))/STDEV(Rankings!R2:R651)</f>
        <v>-2.2166827569635577</v>
      </c>
      <c r="L397" s="121">
        <f>(VLOOKUP($A397,Hitters!$A1:$R401,10,FALSE)-AVERAGE(Rankings!S2:S651))/STDEV(Rankings!S2:S651)</f>
        <v>-1.6381561693655329</v>
      </c>
      <c r="M397" s="121">
        <f>(VLOOKUP($A397,Hitters!$A1:$R401,11,FALSE)-AVERAGE(Rankings!T2:T651))/STDEV(Rankings!T2:T651)</f>
        <v>-1.4123983815570083</v>
      </c>
      <c r="N397" s="121">
        <f>(VLOOKUP($A397,Hitters!$A1:$R401,12,FALSE)-AVERAGE(Rankings!U2:U651))/STDEV(Rankings!U2:U651)</f>
        <v>-1.3318857868832943</v>
      </c>
      <c r="O397" s="121">
        <f>(VLOOKUP($A397,Hitters!$A1:$R401,13,FALSE)-AVERAGE(Rankings!V2:V651))/STDEV(Rankings!V2:V651)</f>
        <v>-1.281763225983636</v>
      </c>
      <c r="P397" s="121">
        <f>(VLOOKUP($A397,Hitters!$A1:$R401,14,FALSE)-AVERAGE(Rankings!W2:W651))/STDEV(Rankings!W2:W651)</f>
        <v>-0.8566486096935646</v>
      </c>
      <c r="Q397" s="121">
        <f>(VLOOKUP($A397,Hitters!$A1:$R401,15,FALSE)-AVERAGE(Rankings!X2:X651))/STDEV(Rankings!X2:X651)</f>
        <v>-0.70634621625820049</v>
      </c>
      <c r="R397" s="121">
        <f>(VLOOKUP($A397,Hitters!$A1:$R401,16,FALSE)-AVERAGE(Rankings!Y2:Y651))/STDEV(Rankings!Y2:Y651)</f>
        <v>-1.1180830166777178</v>
      </c>
      <c r="S397" s="121">
        <f>(VLOOKUP($A397,Hitters!$A1:$R401,17,FALSE)-AVERAGE(Rankings!Z2:Z651))/STDEV(Rankings!Z2:Z651)</f>
        <v>-1.4568772547223459</v>
      </c>
      <c r="T397" s="121">
        <f>IFERROR((VLOOKUP($A397,Hitters!$A1:$R401,18,FALSE)-AVERAGE(Rankings!AA2:AA651))/STDEV(Rankings!AA2:AA651),0)</f>
        <v>0</v>
      </c>
      <c r="U397" s="67"/>
      <c r="V397" s="121"/>
      <c r="W397" s="121"/>
      <c r="X397" s="121"/>
      <c r="Y397" s="121"/>
      <c r="Z397" s="121"/>
      <c r="AA397" s="121"/>
      <c r="AB397" s="121"/>
      <c r="AC397" s="121"/>
      <c r="AD397" s="121"/>
      <c r="AE397" s="121"/>
      <c r="AF397" s="121"/>
      <c r="AG397" s="121"/>
      <c r="AH397" s="121"/>
      <c r="AI397" s="121"/>
      <c r="AJ397" s="121"/>
      <c r="AK397" s="121"/>
    </row>
    <row r="398" spans="1:37" ht="18.600000000000001" customHeight="1">
      <c r="A398" s="25" t="s">
        <v>743</v>
      </c>
      <c r="B398" s="26" t="s">
        <v>103</v>
      </c>
      <c r="C398" s="127" t="s">
        <v>27</v>
      </c>
      <c r="D398" s="67">
        <f>(F398*Settings!$C$2)+(G398*Settings!$C$3)+(H398*Settings!$C$4)+(I398*Settings!$C$5)+(J398*Settings!$C$6)+(M398*Settings!$C$9)+(N398*Settings!$C$10)+(O398*Settings!$C$11)+(P398*Settings!$C$12)+(Q398*Settings!$C$13)+(T398*Settings!$C$16)+(K398*Settings!$C$7)+(L398*Settings!$C$8)+(R398*Settings!$C$14)+(S398*Settings!$C$15)</f>
        <v>-5.7266387815817472</v>
      </c>
      <c r="E398" s="67"/>
      <c r="F398" s="121">
        <f>(VLOOKUP($A398,Hitters!$A1:$R401,4,FALSE)-AVERAGE(Rankings!M2:M651))/STDEV(Rankings!M2:M651)</f>
        <v>-1.0203831579295148</v>
      </c>
      <c r="G398" s="121">
        <f>(VLOOKUP($A398,Hitters!$A1:$R401,5,FALSE)-AVERAGE(Rankings!N2:N651))/STDEV(Rankings!N2:N651)</f>
        <v>-1.0066045782134685</v>
      </c>
      <c r="H398" s="121">
        <f>(VLOOKUP($A398,Hitters!$A1:$R401,6,FALSE)-AVERAGE(Rankings!O2:O651))/STDEV(Rankings!O2:O651)</f>
        <v>-1.1608226397056101</v>
      </c>
      <c r="I398" s="121">
        <f>(VLOOKUP($A398,Hitters!$A1:$R401,7,FALSE)-AVERAGE(Rankings!P2:P651))/STDEV(Rankings!P2:P651)</f>
        <v>-1.2103840330394828</v>
      </c>
      <c r="J398" s="121">
        <f>(VLOOKUP($A398,Hitters!$A1:$R401,8,FALSE)-AVERAGE(Rankings!Q2:Q651))/STDEV(Rankings!Q2:Q651)</f>
        <v>5.6746693776312827E-2</v>
      </c>
      <c r="K398" s="121">
        <f>(VLOOKUP($A398,Hitters!$A1:$R401,9,FALSE)-AVERAGE(Rankings!R2:R651))/STDEV(Rankings!R2:R651)</f>
        <v>-2.4055742243994991</v>
      </c>
      <c r="L398" s="121">
        <f>(VLOOKUP($A398,Hitters!$A1:$R401,10,FALSE)-AVERAGE(Rankings!S2:S651))/STDEV(Rankings!S2:S651)</f>
        <v>-0.92753428307041019</v>
      </c>
      <c r="M398" s="121">
        <f>(VLOOKUP($A398,Hitters!$A1:$R401,11,FALSE)-AVERAGE(Rankings!T2:T651))/STDEV(Rankings!T2:T651)</f>
        <v>-1.2604476549691259</v>
      </c>
      <c r="N398" s="121">
        <f>(VLOOKUP($A398,Hitters!$A1:$R401,12,FALSE)-AVERAGE(Rankings!U2:U651))/STDEV(Rankings!U2:U651)</f>
        <v>-0.83866260832404416</v>
      </c>
      <c r="O398" s="121">
        <f>(VLOOKUP($A398,Hitters!$A1:$R401,13,FALSE)-AVERAGE(Rankings!V2:V651))/STDEV(Rankings!V2:V651)</f>
        <v>-0.56273208915138628</v>
      </c>
      <c r="P398" s="121">
        <f>(VLOOKUP($A398,Hitters!$A1:$R401,14,FALSE)-AVERAGE(Rankings!W2:W651))/STDEV(Rankings!W2:W651)</f>
        <v>-0.23808263167943003</v>
      </c>
      <c r="Q398" s="121">
        <f>(VLOOKUP($A398,Hitters!$A1:$R401,15,FALSE)-AVERAGE(Rankings!X2:X651))/STDEV(Rankings!X2:X651)</f>
        <v>-0.5698909726716479</v>
      </c>
      <c r="R398" s="121">
        <f>(VLOOKUP($A398,Hitters!$A1:$R401,16,FALSE)-AVERAGE(Rankings!Y2:Y651))/STDEV(Rankings!Y2:Y651)</f>
        <v>-2.2234443231553116</v>
      </c>
      <c r="S398" s="121">
        <f>(VLOOKUP($A398,Hitters!$A1:$R401,17,FALSE)-AVERAGE(Rankings!Z2:Z651))/STDEV(Rankings!Z2:Z651)</f>
        <v>-1.9825432784565924</v>
      </c>
      <c r="T398" s="121">
        <f>IFERROR((VLOOKUP($A398,Hitters!$A1:$R401,18,FALSE)-AVERAGE(Rankings!AA2:AA651))/STDEV(Rankings!AA2:AA651),0)</f>
        <v>0</v>
      </c>
      <c r="U398" s="67"/>
      <c r="V398" s="121"/>
      <c r="W398" s="121"/>
      <c r="X398" s="121"/>
      <c r="Y398" s="121"/>
      <c r="Z398" s="121"/>
      <c r="AA398" s="121"/>
      <c r="AB398" s="121"/>
      <c r="AC398" s="121"/>
      <c r="AD398" s="121"/>
      <c r="AE398" s="121"/>
      <c r="AF398" s="121"/>
      <c r="AG398" s="121"/>
      <c r="AH398" s="121"/>
      <c r="AI398" s="121"/>
      <c r="AJ398" s="121"/>
      <c r="AK398" s="121"/>
    </row>
    <row r="399" spans="1:37" ht="18.600000000000001" customHeight="1">
      <c r="A399" s="25" t="s">
        <v>744</v>
      </c>
      <c r="B399" s="26" t="s">
        <v>122</v>
      </c>
      <c r="C399" s="127" t="s">
        <v>27</v>
      </c>
      <c r="D399" s="67">
        <f>(F399*Settings!$C$2)+(G399*Settings!$C$3)+(H399*Settings!$C$4)+(I399*Settings!$C$5)+(J399*Settings!$C$6)+(M399*Settings!$C$9)+(N399*Settings!$C$10)+(O399*Settings!$C$11)+(P399*Settings!$C$12)+(Q399*Settings!$C$13)+(T399*Settings!$C$16)+(K399*Settings!$C$7)+(L399*Settings!$C$8)+(R399*Settings!$C$14)+(S399*Settings!$C$15)</f>
        <v>-6.0447325145971256</v>
      </c>
      <c r="E399" s="67"/>
      <c r="F399" s="121">
        <f>(VLOOKUP($A399,Hitters!$A1:$R401,4,FALSE)-AVERAGE(Rankings!M2:M651))/STDEV(Rankings!M2:M651)</f>
        <v>-1.4513242876901549</v>
      </c>
      <c r="G399" s="121">
        <f>(VLOOKUP($A399,Hitters!$A1:$R401,5,FALSE)-AVERAGE(Rankings!N2:N651))/STDEV(Rankings!N2:N651)</f>
        <v>-1.2494624922765802</v>
      </c>
      <c r="H399" s="121">
        <f>(VLOOKUP($A399,Hitters!$A1:$R401,6,FALSE)-AVERAGE(Rankings!O2:O651))/STDEV(Rankings!O2:O651)</f>
        <v>-1.4114431773117182</v>
      </c>
      <c r="I399" s="121">
        <f>(VLOOKUP($A399,Hitters!$A1:$R401,7,FALSE)-AVERAGE(Rankings!P2:P651))/STDEV(Rankings!P2:P651)</f>
        <v>-1.4924824234807093</v>
      </c>
      <c r="J399" s="121">
        <f>(VLOOKUP($A399,Hitters!$A1:$R401,8,FALSE)-AVERAGE(Rankings!Q2:Q651))/STDEV(Rankings!Q2:Q651)</f>
        <v>-0.28961905115384767</v>
      </c>
      <c r="K399" s="121">
        <f>(VLOOKUP($A399,Hitters!$A1:$R401,9,FALSE)-AVERAGE(Rankings!R2:R651))/STDEV(Rankings!R2:R651)</f>
        <v>-1.6017253703742707</v>
      </c>
      <c r="L399" s="121">
        <f>(VLOOKUP($A399,Hitters!$A1:$R401,10,FALSE)-AVERAGE(Rankings!S2:S651))/STDEV(Rankings!S2:S651)</f>
        <v>-0.64235681974943071</v>
      </c>
      <c r="M399" s="121">
        <f>(VLOOKUP($A399,Hitters!$A1:$R401,11,FALSE)-AVERAGE(Rankings!T2:T651))/STDEV(Rankings!T2:T651)</f>
        <v>-1.4733606491102331</v>
      </c>
      <c r="N399" s="121">
        <f>(VLOOKUP($A399,Hitters!$A1:$R401,12,FALSE)-AVERAGE(Rankings!U2:U651))/STDEV(Rankings!U2:U651)</f>
        <v>-1.6380243115062745</v>
      </c>
      <c r="O399" s="121">
        <f>(VLOOKUP($A399,Hitters!$A1:$R401,13,FALSE)-AVERAGE(Rankings!V2:V651))/STDEV(Rankings!V2:V651)</f>
        <v>-0.17556147701094724</v>
      </c>
      <c r="P399" s="121">
        <f>(VLOOKUP($A399,Hitters!$A1:$R401,14,FALSE)-AVERAGE(Rankings!W2:W651))/STDEV(Rankings!W2:W651)</f>
        <v>-0.76934350168556187</v>
      </c>
      <c r="Q399" s="121">
        <f>(VLOOKUP($A399,Hitters!$A1:$R401,15,FALSE)-AVERAGE(Rankings!X2:X651))/STDEV(Rankings!X2:X651)</f>
        <v>-1.40421731917228</v>
      </c>
      <c r="R399" s="121">
        <f>(VLOOKUP($A399,Hitters!$A1:$R401,16,FALSE)-AVERAGE(Rankings!Y2:Y651))/STDEV(Rankings!Y2:Y651)</f>
        <v>-2.4179345233247935</v>
      </c>
      <c r="S399" s="121">
        <f>(VLOOKUP($A399,Hitters!$A1:$R401,17,FALSE)-AVERAGE(Rankings!Z2:Z651))/STDEV(Rankings!Z2:Z651)</f>
        <v>-2.0121754510787091</v>
      </c>
      <c r="T399" s="121">
        <f>IFERROR((VLOOKUP($A399,Hitters!$A1:$R401,18,FALSE)-AVERAGE(Rankings!AA2:AA651))/STDEV(Rankings!AA2:AA651),0)</f>
        <v>0</v>
      </c>
      <c r="U399" s="67"/>
      <c r="V399" s="121"/>
      <c r="W399" s="121"/>
      <c r="X399" s="121"/>
      <c r="Y399" s="121"/>
      <c r="Z399" s="121"/>
      <c r="AA399" s="121"/>
      <c r="AB399" s="121"/>
      <c r="AC399" s="121"/>
      <c r="AD399" s="121"/>
      <c r="AE399" s="121"/>
      <c r="AF399" s="121"/>
      <c r="AG399" s="121"/>
      <c r="AH399" s="121"/>
      <c r="AI399" s="121"/>
      <c r="AJ399" s="121"/>
      <c r="AK399" s="121"/>
    </row>
    <row r="400" spans="1:37" ht="18.600000000000001" customHeight="1">
      <c r="A400" s="25" t="s">
        <v>745</v>
      </c>
      <c r="B400" s="26" t="s">
        <v>260</v>
      </c>
      <c r="C400" s="127" t="s">
        <v>27</v>
      </c>
      <c r="D400" s="67">
        <f>(F400*Settings!$C$2)+(G400*Settings!$C$3)+(H400*Settings!$C$4)+(I400*Settings!$C$5)+(J400*Settings!$C$6)+(M400*Settings!$C$9)+(N400*Settings!$C$10)+(O400*Settings!$C$11)+(P400*Settings!$C$12)+(Q400*Settings!$C$13)+(T400*Settings!$C$16)+(K400*Settings!$C$7)+(L400*Settings!$C$8)+(R400*Settings!$C$14)+(S400*Settings!$C$15)</f>
        <v>-6.8336154117247361</v>
      </c>
      <c r="E400" s="67"/>
      <c r="F400" s="121">
        <f>(VLOOKUP($A400,Hitters!$A1:$R401,4,FALSE)-AVERAGE(Rankings!M2:M651))/STDEV(Rankings!M2:M651)</f>
        <v>-1.8091360136126284</v>
      </c>
      <c r="G400" s="121">
        <f>(VLOOKUP($A400,Hitters!$A1:$R401,5,FALSE)-AVERAGE(Rankings!N2:N651))/STDEV(Rankings!N2:N651)</f>
        <v>-1.6243743971115097</v>
      </c>
      <c r="H400" s="121">
        <f>(VLOOKUP($A400,Hitters!$A1:$R401,6,FALSE)-AVERAGE(Rankings!O2:O651))/STDEV(Rankings!O2:O651)</f>
        <v>-1.3237259891495805</v>
      </c>
      <c r="I400" s="121">
        <f>(VLOOKUP($A400,Hitters!$A1:$R401,7,FALSE)-AVERAGE(Rankings!P2:P651))/STDEV(Rankings!P2:P651)</f>
        <v>-1.635843900590185</v>
      </c>
      <c r="J400" s="121">
        <f>(VLOOKUP($A400,Hitters!$A1:$R401,8,FALSE)-AVERAGE(Rankings!Q2:Q651))/STDEV(Rankings!Q2:Q651)</f>
        <v>-0.54060872139309335</v>
      </c>
      <c r="K400" s="121">
        <f>(VLOOKUP($A400,Hitters!$A1:$R401,9,FALSE)-AVERAGE(Rankings!R2:R651))/STDEV(Rankings!R2:R651)</f>
        <v>-1.7090624034803674</v>
      </c>
      <c r="L400" s="121">
        <f>(VLOOKUP($A400,Hitters!$A1:$R401,10,FALSE)-AVERAGE(Rankings!S2:S651))/STDEV(Rankings!S2:S651)</f>
        <v>-1.4410732300768123</v>
      </c>
      <c r="M400" s="121">
        <f>(VLOOKUP($A400,Hitters!$A1:$R401,11,FALSE)-AVERAGE(Rankings!T2:T651))/STDEV(Rankings!T2:T651)</f>
        <v>-1.752695218346642</v>
      </c>
      <c r="N400" s="121">
        <f>(VLOOKUP($A400,Hitters!$A1:$R401,12,FALSE)-AVERAGE(Rankings!U2:U651))/STDEV(Rankings!U2:U651)</f>
        <v>-1.799597421723959</v>
      </c>
      <c r="O400" s="121">
        <f>(VLOOKUP($A400,Hitters!$A1:$R401,13,FALSE)-AVERAGE(Rankings!V2:V651))/STDEV(Rankings!V2:V651)</f>
        <v>-0.97755774501614567</v>
      </c>
      <c r="P400" s="121">
        <f>(VLOOKUP($A400,Hitters!$A1:$R401,14,FALSE)-AVERAGE(Rankings!W2:W651))/STDEV(Rankings!W2:W651)</f>
        <v>-1.2894590387545077</v>
      </c>
      <c r="Q400" s="121">
        <f>(VLOOKUP($A400,Hitters!$A1:$R401,15,FALSE)-AVERAGE(Rankings!X2:X651))/STDEV(Rankings!X2:X651)</f>
        <v>-1.40421731917228</v>
      </c>
      <c r="R400" s="121">
        <f>(VLOOKUP($A400,Hitters!$A1:$R401,16,FALSE)-AVERAGE(Rankings!Y2:Y651))/STDEV(Rankings!Y2:Y651)</f>
        <v>-2.0012498444699163</v>
      </c>
      <c r="S400" s="121">
        <f>(VLOOKUP($A400,Hitters!$A1:$R401,17,FALSE)-AVERAGE(Rankings!Z2:Z651))/STDEV(Rankings!Z2:Z651)</f>
        <v>-2.0223822132087266</v>
      </c>
      <c r="T400" s="121">
        <f>IFERROR((VLOOKUP($A400,Hitters!$A1:$R401,18,FALSE)-AVERAGE(Rankings!AA2:AA651))/STDEV(Rankings!AA2:AA651),0)</f>
        <v>0</v>
      </c>
      <c r="U400" s="67"/>
      <c r="V400" s="121"/>
      <c r="W400" s="121"/>
      <c r="X400" s="121"/>
      <c r="Y400" s="121"/>
      <c r="Z400" s="121"/>
      <c r="AA400" s="121"/>
      <c r="AB400" s="121"/>
      <c r="AC400" s="121"/>
      <c r="AD400" s="121"/>
      <c r="AE400" s="121"/>
      <c r="AF400" s="121"/>
      <c r="AG400" s="121"/>
      <c r="AH400" s="121"/>
      <c r="AI400" s="121"/>
      <c r="AJ400" s="121"/>
      <c r="AK400" s="121"/>
    </row>
    <row r="401" spans="1:37" ht="18.600000000000001" customHeight="1">
      <c r="A401" s="25" t="s">
        <v>746</v>
      </c>
      <c r="B401" s="26" t="s">
        <v>225</v>
      </c>
      <c r="C401" s="127" t="s">
        <v>27</v>
      </c>
      <c r="D401" s="67">
        <f>(F401*Settings!$C$2)+(G401*Settings!$C$3)+(H401*Settings!$C$4)+(I401*Settings!$C$5)+(J401*Settings!$C$6)+(M401*Settings!$C$9)+(N401*Settings!$C$10)+(O401*Settings!$C$11)+(P401*Settings!$C$12)+(Q401*Settings!$C$13)+(T401*Settings!$C$16)+(K401*Settings!$C$7)+(L401*Settings!$C$8)+(R401*Settings!$C$14)+(S401*Settings!$C$15)</f>
        <v>-7.3643724780263922</v>
      </c>
      <c r="E401" s="67"/>
      <c r="F401" s="121">
        <f>(VLOOKUP($A401,Hitters!$A1:$R401,4,FALSE)-AVERAGE(Rankings!M2:M651))/STDEV(Rankings!M2:M651)</f>
        <v>-1.9031595328331317</v>
      </c>
      <c r="G401" s="121">
        <f>(VLOOKUP($A401,Hitters!$A1:$R401,5,FALSE)-AVERAGE(Rankings!N2:N651))/STDEV(Rankings!N2:N651)</f>
        <v>-1.7336604584399107</v>
      </c>
      <c r="H401" s="121">
        <f>(VLOOKUP($A401,Hitters!$A1:$R401,6,FALSE)-AVERAGE(Rankings!O2:O651))/STDEV(Rankings!O2:O651)</f>
        <v>-1.2986639353889697</v>
      </c>
      <c r="I401" s="121">
        <f>(VLOOKUP($A401,Hitters!$A1:$R401,7,FALSE)-AVERAGE(Rankings!P2:P651))/STDEV(Rankings!P2:P651)</f>
        <v>-1.7113784422930258</v>
      </c>
      <c r="J401" s="121">
        <f>(VLOOKUP($A401,Hitters!$A1:$R401,8,FALSE)-AVERAGE(Rankings!Q2:Q651))/STDEV(Rankings!Q2:Q651)</f>
        <v>-0.49041078734524451</v>
      </c>
      <c r="K401" s="121">
        <f>(VLOOKUP($A401,Hitters!$A1:$R401,9,FALSE)-AVERAGE(Rankings!R2:R651))/STDEV(Rankings!R2:R651)</f>
        <v>-2.1302588545592407</v>
      </c>
      <c r="L401" s="121">
        <f>(VLOOKUP($A401,Hitters!$A1:$R401,10,FALSE)-AVERAGE(Rankings!S2:S651))/STDEV(Rankings!S2:S651)</f>
        <v>-2.6670109038850307</v>
      </c>
      <c r="M401" s="121">
        <f>(VLOOKUP($A401,Hitters!$A1:$R401,11,FALSE)-AVERAGE(Rankings!T2:T651))/STDEV(Rankings!T2:T651)</f>
        <v>-1.8555121770558098</v>
      </c>
      <c r="N401" s="121">
        <f>(VLOOKUP($A401,Hitters!$A1:$R401,12,FALSE)-AVERAGE(Rankings!U2:U651))/STDEV(Rankings!U2:U651)</f>
        <v>-1.7060550947558253</v>
      </c>
      <c r="O401" s="121">
        <f>(VLOOKUP($A401,Hitters!$A1:$R401,13,FALSE)-AVERAGE(Rankings!V2:V651))/STDEV(Rankings!V2:V651)</f>
        <v>-0.94990270129182863</v>
      </c>
      <c r="P401" s="121">
        <f>(VLOOKUP($A401,Hitters!$A1:$R401,14,FALSE)-AVERAGE(Rankings!W2:W651))/STDEV(Rankings!W2:W651)</f>
        <v>-1.5903830280586797</v>
      </c>
      <c r="Q401" s="121">
        <f>(VLOOKUP($A401,Hitters!$A1:$R401,15,FALSE)-AVERAGE(Rankings!X2:X651))/STDEV(Rankings!X2:X651)</f>
        <v>-1.2511925102930737</v>
      </c>
      <c r="R401" s="121">
        <f>(VLOOKUP($A401,Hitters!$A1:$R401,16,FALSE)-AVERAGE(Rankings!Y2:Y651))/STDEV(Rankings!Y2:Y651)</f>
        <v>-1.7457889049625817</v>
      </c>
      <c r="S401" s="121">
        <f>(VLOOKUP($A401,Hitters!$A1:$R401,17,FALSE)-AVERAGE(Rankings!Z2:Z651))/STDEV(Rankings!Z2:Z651)</f>
        <v>-2.3176395718605729</v>
      </c>
      <c r="T401" s="121">
        <f>IFERROR((VLOOKUP($A401,Hitters!$A1:$R401,18,FALSE)-AVERAGE(Rankings!AA2:AA651))/STDEV(Rankings!AA2:AA651),0)</f>
        <v>0</v>
      </c>
      <c r="U401" s="67"/>
      <c r="V401" s="121"/>
      <c r="W401" s="121"/>
      <c r="X401" s="121"/>
      <c r="Y401" s="121"/>
      <c r="Z401" s="121"/>
      <c r="AA401" s="121"/>
      <c r="AB401" s="121"/>
      <c r="AC401" s="121"/>
      <c r="AD401" s="121"/>
      <c r="AE401" s="121"/>
      <c r="AF401" s="121"/>
      <c r="AG401" s="121"/>
      <c r="AH401" s="121"/>
      <c r="AI401" s="121"/>
      <c r="AJ401" s="121"/>
      <c r="AK401" s="121"/>
    </row>
    <row r="402" spans="1:37" ht="18.600000000000001" customHeight="1">
      <c r="A402" s="25" t="s">
        <v>93</v>
      </c>
      <c r="B402" s="26" t="s">
        <v>69</v>
      </c>
      <c r="C402" s="130" t="s">
        <v>31</v>
      </c>
      <c r="D402" s="67">
        <f>(V402*Settings!$G$2)+(Y402*Settings!$G$5)+(Z402*Settings!$G$6)+(AA402*Settings!$G$7)+(AB402*Settings!$G$8)+(AC402*Settings!$G$9)+(AD402*Settings!$G$10)+(AE402*Settings!$G$11)+(AF402*Settings!$G$12)+(AG402*Settings!$G$13)+(AH402*Settings!$G$14)+(AI402*Settings!$G$15)+(AJ402*Settings!$G$16)+(AK402*Settings!$G$17)+(W402*Settings!$G$3)+(X402*Settings!$G$4)</f>
        <v>7.166949272117388</v>
      </c>
      <c r="E402" s="67"/>
      <c r="F402" s="67"/>
      <c r="G402" s="67"/>
      <c r="H402" s="67"/>
      <c r="I402" s="67"/>
      <c r="J402" s="67"/>
      <c r="K402" s="73"/>
      <c r="L402" s="73"/>
      <c r="M402" s="67"/>
      <c r="N402" s="67"/>
      <c r="O402" s="67"/>
      <c r="P402" s="67"/>
      <c r="Q402" s="67"/>
      <c r="R402" s="73"/>
      <c r="S402" s="73"/>
      <c r="T402" s="67"/>
      <c r="U402" s="67"/>
      <c r="V402" s="121">
        <f>(VLOOKUP($A402,Pitchers!$A1:$S251,4,FALSE)-AVERAGE(Rankings!AC2:AC651))/STDEV(Rankings!AC2:AC651)</f>
        <v>1.6907603912272631</v>
      </c>
      <c r="W402" s="121">
        <f>(VLOOKUP($A402,Pitchers!$A1:$S251,5,FALSE)-AVERAGE(Rankings!AD2:AD651))/STDEV(Rankings!AD2:AD651)*-1</f>
        <v>0.84925065849784798</v>
      </c>
      <c r="X402" s="121">
        <f>(VLOOKUP($A402,Pitchers!$A1:$S251,6,FALSE)-AVERAGE(Rankings!AE2:AE651))/STDEV(Rankings!AE2:AE651)*-1</f>
        <v>1.736702370505365</v>
      </c>
      <c r="Y402" s="121">
        <f>(VLOOKUP($A402,Pitchers!$A1:$S251,7,FALSE)-AVERAGE(Rankings!AF2:AF651))/STDEV(Rankings!AF2:AF651)</f>
        <v>2.8194196308282642</v>
      </c>
      <c r="Z402" s="121">
        <f>(VLOOKUP($A402,Pitchers!$A1:$S251,8,FALSE)-AVERAGE(Rankings!AG2:AG651))/STDEV(Rankings!AG2:AG651)</f>
        <v>2.2257210744362843</v>
      </c>
      <c r="AA402" s="121">
        <f>(VLOOKUP($A402,Pitchers!$A1:$S251,9,FALSE)-AVERAGE(Rankings!AH2:AH651))/STDEV(Rankings!AH2:AH651)</f>
        <v>-0.46414446215037364</v>
      </c>
      <c r="AB402" s="121">
        <f>(VLOOKUP($A402,Pitchers!$A1:$S251,10,FALSE)-AVERAGE(Rankings!AI2:AI651))/STDEV(Rankings!AI2:AI651)*-1</f>
        <v>-1.0251684280726483</v>
      </c>
      <c r="AC402" s="121">
        <f>(VLOOKUP($A402,Pitchers!$A1:$S251,11,FALSE)-AVERAGE(Rankings!AJ2:AJ651))/STDEV(Rankings!AJ2:AJ651)*-1</f>
        <v>-1.1118306564695435</v>
      </c>
      <c r="AD402" s="121">
        <f>(VLOOKUP($A402,Pitchers!$A1:$S251,12,FALSE)-AVERAGE(Rankings!AK2:AK651))/STDEV(Rankings!AK2:AK651)*-1</f>
        <v>-0.84274451563412167</v>
      </c>
      <c r="AE402" s="121">
        <f>IFERROR((VLOOKUP($A402,Pitchers!$A1:$S251,13,FALSE)-AVERAGE(Rankings!AL2:AL651))/STDEV(Rankings!AL2:AL651)*-1,0)</f>
        <v>-1.296549432002519</v>
      </c>
      <c r="AF402" s="121">
        <f>(VLOOKUP($A402,Pitchers!$A1:$S251,14,FALSE)-AVERAGE(Rankings!AM2:AM651))/STDEV(Rankings!AM2:AM651)</f>
        <v>-0.52229873041775021</v>
      </c>
      <c r="AG402" s="121">
        <f>(VLOOKUP($A402,Pitchers!$A1:$S251,15,FALSE)-AVERAGE(Rankings!AN2:AN651))/STDEV(Rankings!AN2:AN651)</f>
        <v>1.1968209579904101</v>
      </c>
      <c r="AH402" s="121">
        <f>(VLOOKUP($A402,Pitchers!$A1:$S251,16,FALSE)-AVERAGE(Rankings!AO2:AO651))/STDEV(Rankings!AO2:AO651)*-1</f>
        <v>-0.68110113564295838</v>
      </c>
      <c r="AI402" s="121">
        <f>IFERROR((VLOOKUP($A402,Pitchers!$A1:$S251,17,FALSE)-AVERAGE(Rankings!AP2:AP651))/STDEV(Rankings!AP2:AP651),0)</f>
        <v>1.8826207806191602</v>
      </c>
      <c r="AJ402" s="121">
        <f>(VLOOKUP($A402,Pitchers!$A1:$S251,18,FALSE)-AVERAGE(Rankings!AQ2:AQ651))/STDEV(Rankings!AQ2:AQ651)</f>
        <v>-0.68467156957913733</v>
      </c>
      <c r="AK402" s="121">
        <f>IFERROR((VLOOKUP($A402,Pitchers!$A1:$S251,19,FALSE)-AVERAGE(Rankings!AR2:AR651))/STDEV(Rankings!AR2:AR651)*-1,0)</f>
        <v>0.47041511698728217</v>
      </c>
    </row>
    <row r="403" spans="1:37" ht="18.600000000000001" customHeight="1">
      <c r="A403" s="25" t="s">
        <v>98</v>
      </c>
      <c r="B403" s="26" t="s">
        <v>99</v>
      </c>
      <c r="C403" s="130" t="s">
        <v>31</v>
      </c>
      <c r="D403" s="67">
        <f>(V403*Settings!$G$2)+(Y403*Settings!$G$5)+(Z403*Settings!$G$6)+(AA403*Settings!$G$7)+(AB403*Settings!$G$8)+(AC403*Settings!$G$9)+(AD403*Settings!$G$10)+(AE403*Settings!$G$11)+(AF403*Settings!$G$12)+(AG403*Settings!$G$13)+(AH403*Settings!$G$14)+(AI403*Settings!$G$15)+(AJ403*Settings!$G$16)+(AK403*Settings!$G$17)+(W403*Settings!$G$3)+(X403*Settings!$G$4)</f>
        <v>6.8556588703433388</v>
      </c>
      <c r="E403" s="67"/>
      <c r="F403" s="67"/>
      <c r="G403" s="67"/>
      <c r="H403" s="67"/>
      <c r="I403" s="67"/>
      <c r="J403" s="67"/>
      <c r="K403" s="73"/>
      <c r="L403" s="73"/>
      <c r="M403" s="67"/>
      <c r="N403" s="67"/>
      <c r="O403" s="67"/>
      <c r="P403" s="67"/>
      <c r="Q403" s="67"/>
      <c r="R403" s="73"/>
      <c r="S403" s="73"/>
      <c r="T403" s="67"/>
      <c r="U403" s="67"/>
      <c r="V403" s="121">
        <f>(VLOOKUP($A403,Pitchers!$A1:$S251,4,FALSE)-AVERAGE(Rankings!AC2:AC651))/STDEV(Rankings!AC2:AC651)</f>
        <v>1.5990158752198713</v>
      </c>
      <c r="W403" s="121">
        <f>(VLOOKUP($A403,Pitchers!$A1:$S251,5,FALSE)-AVERAGE(Rankings!AD2:AD651))/STDEV(Rankings!AD2:AD651)*-1</f>
        <v>1.3411053603454444</v>
      </c>
      <c r="X403" s="121">
        <f>(VLOOKUP($A403,Pitchers!$A1:$S251,6,FALSE)-AVERAGE(Rankings!AE2:AE651))/STDEV(Rankings!AE2:AE651)*-1</f>
        <v>1.6349189011492442</v>
      </c>
      <c r="Y403" s="121">
        <f>(VLOOKUP($A403,Pitchers!$A1:$S251,7,FALSE)-AVERAGE(Rankings!AF2:AF651))/STDEV(Rankings!AF2:AF651)</f>
        <v>2.6415254208007317</v>
      </c>
      <c r="Z403" s="121">
        <f>(VLOOKUP($A403,Pitchers!$A1:$S251,8,FALSE)-AVERAGE(Rankings!AG2:AG651))/STDEV(Rankings!AG2:AG651)</f>
        <v>1.7022536501982921</v>
      </c>
      <c r="AA403" s="121">
        <f>(VLOOKUP($A403,Pitchers!$A1:$S251,9,FALSE)-AVERAGE(Rankings!AH2:AH651))/STDEV(Rankings!AH2:AH651)</f>
        <v>-0.46414446215037364</v>
      </c>
      <c r="AB403" s="121">
        <f>(VLOOKUP($A403,Pitchers!$A1:$S251,10,FALSE)-AVERAGE(Rankings!AI2:AI651))/STDEV(Rankings!AI2:AI651)*-1</f>
        <v>-0.71132055560476626</v>
      </c>
      <c r="AC403" s="121">
        <f>(VLOOKUP($A403,Pitchers!$A1:$S251,11,FALSE)-AVERAGE(Rankings!AJ2:AJ651))/STDEV(Rankings!AJ2:AJ651)*-1</f>
        <v>-0.97035904485023494</v>
      </c>
      <c r="AD403" s="121">
        <f>(VLOOKUP($A403,Pitchers!$A1:$S251,12,FALSE)-AVERAGE(Rankings!AK2:AK651))/STDEV(Rankings!AK2:AK651)*-1</f>
        <v>-1.1356265125737828</v>
      </c>
      <c r="AE403" s="121">
        <f>IFERROR((VLOOKUP($A403,Pitchers!$A1:$S251,13,FALSE)-AVERAGE(Rankings!AL2:AL651))/STDEV(Rankings!AL2:AL651)*-1,0)</f>
        <v>-0.76452258259647921</v>
      </c>
      <c r="AF403" s="121">
        <f>(VLOOKUP($A403,Pitchers!$A1:$S251,14,FALSE)-AVERAGE(Rankings!AM2:AM651))/STDEV(Rankings!AM2:AM651)</f>
        <v>-0.56590262033312599</v>
      </c>
      <c r="AG403" s="121">
        <f>(VLOOKUP($A403,Pitchers!$A1:$S251,15,FALSE)-AVERAGE(Rankings!AN2:AN651))/STDEV(Rankings!AN2:AN651)</f>
        <v>1.1189044148607816</v>
      </c>
      <c r="AH403" s="121">
        <f>(VLOOKUP($A403,Pitchers!$A1:$S251,16,FALSE)-AVERAGE(Rankings!AO2:AO651))/STDEV(Rankings!AO2:AO651)*-1</f>
        <v>-0.50574039011181582</v>
      </c>
      <c r="AI403" s="121">
        <f>IFERROR((VLOOKUP($A403,Pitchers!$A1:$S251,17,FALSE)-AVERAGE(Rankings!AP2:AP651))/STDEV(Rankings!AP2:AP651),0)</f>
        <v>1.8826207806191602</v>
      </c>
      <c r="AJ403" s="121">
        <f>(VLOOKUP($A403,Pitchers!$A1:$S251,18,FALSE)-AVERAGE(Rankings!AQ2:AQ651))/STDEV(Rankings!AQ2:AQ651)</f>
        <v>-0.68467156957913733</v>
      </c>
      <c r="AK403" s="121">
        <f>IFERROR((VLOOKUP($A403,Pitchers!$A1:$S251,19,FALSE)-AVERAGE(Rankings!AR2:AR651))/STDEV(Rankings!AR2:AR651)*-1,0)</f>
        <v>0.47041511698728217</v>
      </c>
    </row>
    <row r="404" spans="1:37" ht="18.600000000000001" customHeight="1">
      <c r="A404" s="25" t="s">
        <v>106</v>
      </c>
      <c r="B404" s="26" t="s">
        <v>69</v>
      </c>
      <c r="C404" s="130" t="s">
        <v>31</v>
      </c>
      <c r="D404" s="67">
        <f>(V404*Settings!$G$2)+(Y404*Settings!$G$5)+(Z404*Settings!$G$6)+(AA404*Settings!$G$7)+(AB404*Settings!$G$8)+(AC404*Settings!$G$9)+(AD404*Settings!$G$10)+(AE404*Settings!$G$11)+(AF404*Settings!$G$12)+(AG404*Settings!$G$13)+(AH404*Settings!$G$14)+(AI404*Settings!$G$15)+(AJ404*Settings!$G$16)+(AK404*Settings!$G$17)+(W404*Settings!$G$3)+(X404*Settings!$G$4)</f>
        <v>6.5209874347560017</v>
      </c>
      <c r="E404" s="67"/>
      <c r="F404" s="67"/>
      <c r="G404" s="67"/>
      <c r="H404" s="67"/>
      <c r="I404" s="67"/>
      <c r="J404" s="67"/>
      <c r="K404" s="73"/>
      <c r="L404" s="73"/>
      <c r="M404" s="67"/>
      <c r="N404" s="67"/>
      <c r="O404" s="67"/>
      <c r="P404" s="67"/>
      <c r="Q404" s="67"/>
      <c r="R404" s="73"/>
      <c r="S404" s="73"/>
      <c r="T404" s="67"/>
      <c r="U404" s="67"/>
      <c r="V404" s="121">
        <f>(VLOOKUP($A404,Pitchers!$A1:$S251,4,FALSE)-AVERAGE(Rankings!AC2:AC651))/STDEV(Rankings!AC2:AC651)</f>
        <v>1.1889884613714532</v>
      </c>
      <c r="W404" s="121">
        <f>(VLOOKUP($A404,Pitchers!$A1:$S251,5,FALSE)-AVERAGE(Rankings!AD2:AD651))/STDEV(Rankings!AD2:AD651)*-1</f>
        <v>1.1672801610492372</v>
      </c>
      <c r="X404" s="121">
        <f>(VLOOKUP($A404,Pitchers!$A1:$S251,6,FALSE)-AVERAGE(Rankings!AE2:AE651))/STDEV(Rankings!AE2:AE651)*-1</f>
        <v>1.593970823601589</v>
      </c>
      <c r="Y404" s="121">
        <f>(VLOOKUP($A404,Pitchers!$A1:$S251,7,FALSE)-AVERAGE(Rankings!AF2:AF651))/STDEV(Rankings!AF2:AF651)</f>
        <v>2.2900935936442992</v>
      </c>
      <c r="Z404" s="121">
        <f>(VLOOKUP($A404,Pitchers!$A1:$S251,8,FALSE)-AVERAGE(Rankings!AG2:AG651))/STDEV(Rankings!AG2:AG651)</f>
        <v>1.93378731861125</v>
      </c>
      <c r="AA404" s="121">
        <f>(VLOOKUP($A404,Pitchers!$A1:$S251,9,FALSE)-AVERAGE(Rankings!AH2:AH651))/STDEV(Rankings!AH2:AH651)</f>
        <v>-0.46414446215037364</v>
      </c>
      <c r="AB404" s="121">
        <f>(VLOOKUP($A404,Pitchers!$A1:$S251,10,FALSE)-AVERAGE(Rankings!AI2:AI651))/STDEV(Rankings!AI2:AI651)*-1</f>
        <v>-0.49357920867728833</v>
      </c>
      <c r="AC404" s="121">
        <f>(VLOOKUP($A404,Pitchers!$A1:$S251,11,FALSE)-AVERAGE(Rankings!AJ2:AJ651))/STDEV(Rankings!AJ2:AJ651)*-1</f>
        <v>-0.60210630706731127</v>
      </c>
      <c r="AD404" s="121">
        <f>(VLOOKUP($A404,Pitchers!$A1:$S251,12,FALSE)-AVERAGE(Rankings!AK2:AK651))/STDEV(Rankings!AK2:AK651)*-1</f>
        <v>-0.95501594779432497</v>
      </c>
      <c r="AE404" s="121">
        <f>IFERROR((VLOOKUP($A404,Pitchers!$A1:$S251,13,FALSE)-AVERAGE(Rankings!AL2:AL651))/STDEV(Rankings!AL2:AL651)*-1,0)</f>
        <v>-0.76452258259647921</v>
      </c>
      <c r="AF404" s="121">
        <f>(VLOOKUP($A404,Pitchers!$A1:$S251,14,FALSE)-AVERAGE(Rankings!AM2:AM651))/STDEV(Rankings!AM2:AM651)</f>
        <v>-0.6225876772231147</v>
      </c>
      <c r="AG404" s="121">
        <f>(VLOOKUP($A404,Pitchers!$A1:$S251,15,FALSE)-AVERAGE(Rankings!AN2:AN651))/STDEV(Rankings!AN2:AN651)</f>
        <v>1.025404563105228</v>
      </c>
      <c r="AH404" s="121">
        <f>(VLOOKUP($A404,Pitchers!$A1:$S251,16,FALSE)-AVERAGE(Rankings!AO2:AO651))/STDEV(Rankings!AO2:AO651)*-1</f>
        <v>-0.58089499533944877</v>
      </c>
      <c r="AI404" s="121">
        <f>IFERROR((VLOOKUP($A404,Pitchers!$A1:$S251,17,FALSE)-AVERAGE(Rankings!AP2:AP651))/STDEV(Rankings!AP2:AP651),0)</f>
        <v>1.5960727165979791</v>
      </c>
      <c r="AJ404" s="121">
        <f>(VLOOKUP($A404,Pitchers!$A1:$S251,18,FALSE)-AVERAGE(Rankings!AQ2:AQ651))/STDEV(Rankings!AQ2:AQ651)</f>
        <v>-0.68467156957913733</v>
      </c>
      <c r="AK404" s="121">
        <f>IFERROR((VLOOKUP($A404,Pitchers!$A1:$S251,19,FALSE)-AVERAGE(Rankings!AR2:AR651))/STDEV(Rankings!AR2:AR651)*-1,0)</f>
        <v>0.47041511698728217</v>
      </c>
    </row>
    <row r="405" spans="1:37" ht="18.600000000000001" customHeight="1">
      <c r="A405" s="25" t="s">
        <v>86</v>
      </c>
      <c r="B405" s="26" t="s">
        <v>87</v>
      </c>
      <c r="C405" s="130" t="s">
        <v>31</v>
      </c>
      <c r="D405" s="67">
        <f>(V405*Settings!$G$2)+(Y405*Settings!$G$5)+(Z405*Settings!$G$6)+(AA405*Settings!$G$7)+(AB405*Settings!$G$8)+(AC405*Settings!$G$9)+(AD405*Settings!$G$10)+(AE405*Settings!$G$11)+(AF405*Settings!$G$12)+(AG405*Settings!$G$13)+(AH405*Settings!$G$14)+(AI405*Settings!$G$15)+(AJ405*Settings!$G$16)+(AK405*Settings!$G$17)+(W405*Settings!$G$3)+(X405*Settings!$G$4)</f>
        <v>7.7871532692227277</v>
      </c>
      <c r="E405" s="67"/>
      <c r="F405" s="67"/>
      <c r="G405" s="67"/>
      <c r="H405" s="67"/>
      <c r="I405" s="67"/>
      <c r="J405" s="67"/>
      <c r="K405" s="73"/>
      <c r="L405" s="73"/>
      <c r="M405" s="67"/>
      <c r="N405" s="67"/>
      <c r="O405" s="67"/>
      <c r="P405" s="67"/>
      <c r="Q405" s="67"/>
      <c r="R405" s="73"/>
      <c r="S405" s="73"/>
      <c r="T405" s="67"/>
      <c r="U405" s="67"/>
      <c r="V405" s="121">
        <f>(VLOOKUP($A405,Pitchers!$A1:$S251,4,FALSE)-AVERAGE(Rankings!AC2:AC651))/STDEV(Rankings!AC2:AC651)</f>
        <v>0.43809488420326409</v>
      </c>
      <c r="W405" s="121">
        <f>(VLOOKUP($A405,Pitchers!$A1:$S251,5,FALSE)-AVERAGE(Rankings!AD2:AD651))/STDEV(Rankings!AD2:AD651)*-1</f>
        <v>2.3153880468986459</v>
      </c>
      <c r="X405" s="121">
        <f>(VLOOKUP($A405,Pitchers!$A1:$S251,6,FALSE)-AVERAGE(Rankings!AE2:AE651))/STDEV(Rankings!AE2:AE651)*-1</f>
        <v>3.4545027681014147</v>
      </c>
      <c r="Y405" s="121">
        <f>(VLOOKUP($A405,Pitchers!$A1:$S251,7,FALSE)-AVERAGE(Rankings!AF2:AF651))/STDEV(Rankings!AF2:AF651)</f>
        <v>1.6750878961205433</v>
      </c>
      <c r="Z405" s="121">
        <f>(VLOOKUP($A405,Pitchers!$A1:$S251,8,FALSE)-AVERAGE(Rankings!AG2:AG651))/STDEV(Rankings!AG2:AG651)</f>
        <v>0.80631902025249724</v>
      </c>
      <c r="AA405" s="121">
        <f>(VLOOKUP($A405,Pitchers!$A1:$S251,9,FALSE)-AVERAGE(Rankings!AH2:AH651))/STDEV(Rankings!AH2:AH651)</f>
        <v>-0.46414446215037364</v>
      </c>
      <c r="AB405" s="121">
        <f>(VLOOKUP($A405,Pitchers!$A1:$S251,10,FALSE)-AVERAGE(Rankings!AI2:AI651))/STDEV(Rankings!AI2:AI651)*-1</f>
        <v>0.46298105334204503</v>
      </c>
      <c r="AC405" s="121">
        <f>(VLOOKUP($A405,Pitchers!$A1:$S251,11,FALSE)-AVERAGE(Rankings!AJ2:AJ651))/STDEV(Rankings!AJ2:AJ651)*-1</f>
        <v>0.24032514905771776</v>
      </c>
      <c r="AD405" s="121">
        <f>(VLOOKUP($A405,Pitchers!$A1:$S251,12,FALSE)-AVERAGE(Rankings!AK2:AK651))/STDEV(Rankings!AK2:AK651)*-1</f>
        <v>0.69488596829909977</v>
      </c>
      <c r="AE405" s="121">
        <f>IFERROR((VLOOKUP($A405,Pitchers!$A1:$S251,13,FALSE)-AVERAGE(Rankings!AL2:AL651))/STDEV(Rankings!AL2:AL651)*-1,0)</f>
        <v>-0.23249573319043931</v>
      </c>
      <c r="AF405" s="121">
        <f>(VLOOKUP($A405,Pitchers!$A1:$S251,14,FALSE)-AVERAGE(Rankings!AM2:AM651))/STDEV(Rankings!AM2:AM651)</f>
        <v>-1.0346444369234173</v>
      </c>
      <c r="AG405" s="121">
        <f>(VLOOKUP($A405,Pitchers!$A1:$S251,15,FALSE)-AVERAGE(Rankings!AN2:AN651))/STDEV(Rankings!AN2:AN651)</f>
        <v>0.58647470347498776</v>
      </c>
      <c r="AH405" s="121">
        <f>(VLOOKUP($A405,Pitchers!$A1:$S251,16,FALSE)-AVERAGE(Rankings!AO2:AO651))/STDEV(Rankings!AO2:AO651)*-1</f>
        <v>0.18317682447481551</v>
      </c>
      <c r="AI405" s="121">
        <f>IFERROR((VLOOKUP($A405,Pitchers!$A1:$S251,17,FALSE)-AVERAGE(Rankings!AP2:AP651))/STDEV(Rankings!AP2:AP651),0)</f>
        <v>1.5960727165979791</v>
      </c>
      <c r="AJ405" s="121">
        <f>(VLOOKUP($A405,Pitchers!$A1:$S251,18,FALSE)-AVERAGE(Rankings!AQ2:AQ651))/STDEV(Rankings!AQ2:AQ651)</f>
        <v>-0.68467156957913733</v>
      </c>
      <c r="AK405" s="121">
        <f>IFERROR((VLOOKUP($A405,Pitchers!$A1:$S251,19,FALSE)-AVERAGE(Rankings!AR2:AR651))/STDEV(Rankings!AR2:AR651)*-1,0)</f>
        <v>0.47041511698728217</v>
      </c>
    </row>
    <row r="406" spans="1:37" ht="18.600000000000001" customHeight="1">
      <c r="A406" s="25" t="s">
        <v>123</v>
      </c>
      <c r="B406" s="26" t="s">
        <v>92</v>
      </c>
      <c r="C406" s="130" t="s">
        <v>31</v>
      </c>
      <c r="D406" s="67">
        <f>(V406*Settings!$G$2)+(Y406*Settings!$G$5)+(Z406*Settings!$G$6)+(AA406*Settings!$G$7)+(AB406*Settings!$G$8)+(AC406*Settings!$G$9)+(AD406*Settings!$G$10)+(AE406*Settings!$G$11)+(AF406*Settings!$G$12)+(AG406*Settings!$G$13)+(AH406*Settings!$G$14)+(AI406*Settings!$G$15)+(AJ406*Settings!$G$16)+(AK406*Settings!$G$17)+(W406*Settings!$G$3)+(X406*Settings!$G$4)</f>
        <v>5.5386487777418116</v>
      </c>
      <c r="E406" s="67"/>
      <c r="F406" s="67"/>
      <c r="G406" s="67"/>
      <c r="H406" s="67"/>
      <c r="I406" s="67"/>
      <c r="J406" s="67"/>
      <c r="K406" s="73"/>
      <c r="L406" s="73"/>
      <c r="M406" s="67"/>
      <c r="N406" s="67"/>
      <c r="O406" s="67"/>
      <c r="P406" s="67"/>
      <c r="Q406" s="67"/>
      <c r="R406" s="73"/>
      <c r="S406" s="73"/>
      <c r="T406" s="67"/>
      <c r="U406" s="67"/>
      <c r="V406" s="121">
        <f>(VLOOKUP($A406,Pitchers!$A1:$S251,4,FALSE)-AVERAGE(Rankings!AC2:AC651))/STDEV(Rankings!AC2:AC651)</f>
        <v>1.7302811058150624</v>
      </c>
      <c r="W406" s="121">
        <f>(VLOOKUP($A406,Pitchers!$A1:$S251,5,FALSE)-AVERAGE(Rankings!AD2:AD651))/STDEV(Rankings!AD2:AD651)*-1</f>
        <v>0.41408801037695742</v>
      </c>
      <c r="X406" s="121">
        <f>(VLOOKUP($A406,Pitchers!$A1:$S251,6,FALSE)-AVERAGE(Rankings!AE2:AE651))/STDEV(Rankings!AE2:AE651)*-1</f>
        <v>1.4492208490670861</v>
      </c>
      <c r="Y406" s="121">
        <f>(VLOOKUP($A406,Pitchers!$A1:$S251,7,FALSE)-AVERAGE(Rankings!AF2:AF651))/STDEV(Rankings!AF2:AF651)</f>
        <v>2.33656391789639</v>
      </c>
      <c r="Z406" s="121">
        <f>(VLOOKUP($A406,Pitchers!$A1:$S251,8,FALSE)-AVERAGE(Rankings!AG2:AG651))/STDEV(Rankings!AG2:AG651)</f>
        <v>1.8029204625517523</v>
      </c>
      <c r="AA406" s="121">
        <f>(VLOOKUP($A406,Pitchers!$A1:$S251,9,FALSE)-AVERAGE(Rankings!AH2:AH651))/STDEV(Rankings!AH2:AH651)</f>
        <v>-0.46414446215037364</v>
      </c>
      <c r="AB406" s="121">
        <f>(VLOOKUP($A406,Pitchers!$A1:$S251,10,FALSE)-AVERAGE(Rankings!AI2:AI651))/STDEV(Rankings!AI2:AI651)*-1</f>
        <v>-1.2774480576162091</v>
      </c>
      <c r="AC406" s="121">
        <f>(VLOOKUP($A406,Pitchers!$A1:$S251,11,FALSE)-AVERAGE(Rankings!AJ2:AJ651))/STDEV(Rankings!AJ2:AJ651)*-1</f>
        <v>-1.4438268505711376</v>
      </c>
      <c r="AD406" s="121">
        <f>(VLOOKUP($A406,Pitchers!$A1:$S251,12,FALSE)-AVERAGE(Rankings!AK2:AK651))/STDEV(Rankings!AK2:AK651)*-1</f>
        <v>-0.24965847183130715</v>
      </c>
      <c r="AE406" s="121">
        <f>IFERROR((VLOOKUP($A406,Pitchers!$A1:$S251,13,FALSE)-AVERAGE(Rankings!AL2:AL651))/STDEV(Rankings!AL2:AL651)*-1,0)</f>
        <v>-1.296549432002519</v>
      </c>
      <c r="AF406" s="121">
        <f>(VLOOKUP($A406,Pitchers!$A1:$S251,14,FALSE)-AVERAGE(Rankings!AM2:AM651))/STDEV(Rankings!AM2:AM651)</f>
        <v>-0.52229873041775021</v>
      </c>
      <c r="AG406" s="121">
        <f>(VLOOKUP($A406,Pitchers!$A1:$S251,15,FALSE)-AVERAGE(Rankings!AN2:AN651))/STDEV(Rankings!AN2:AN651)</f>
        <v>1.1968209579904101</v>
      </c>
      <c r="AH406" s="121">
        <f>(VLOOKUP($A406,Pitchers!$A1:$S251,16,FALSE)-AVERAGE(Rankings!AO2:AO651))/STDEV(Rankings!AO2:AO651)*-1</f>
        <v>-1.2948637450019576</v>
      </c>
      <c r="AI406" s="121">
        <f>IFERROR((VLOOKUP($A406,Pitchers!$A1:$S251,17,FALSE)-AVERAGE(Rankings!AP2:AP651))/STDEV(Rankings!AP2:AP651),0)</f>
        <v>1.7393467486085696</v>
      </c>
      <c r="AJ406" s="121">
        <f>(VLOOKUP($A406,Pitchers!$A1:$S251,18,FALSE)-AVERAGE(Rankings!AQ2:AQ651))/STDEV(Rankings!AQ2:AQ651)</f>
        <v>-0.68467156957913733</v>
      </c>
      <c r="AK406" s="121">
        <f>IFERROR((VLOOKUP($A406,Pitchers!$A1:$S251,19,FALSE)-AVERAGE(Rankings!AR2:AR651))/STDEV(Rankings!AR2:AR651)*-1,0)</f>
        <v>0.47041511698728217</v>
      </c>
    </row>
    <row r="407" spans="1:37" ht="18.600000000000001" customHeight="1">
      <c r="A407" s="25" t="s">
        <v>113</v>
      </c>
      <c r="B407" s="26" t="s">
        <v>74</v>
      </c>
      <c r="C407" s="130" t="s">
        <v>31</v>
      </c>
      <c r="D407" s="67">
        <f>(V407*Settings!$G$2)+(Y407*Settings!$G$5)+(Z407*Settings!$G$6)+(AA407*Settings!$G$7)+(AB407*Settings!$G$8)+(AC407*Settings!$G$9)+(AD407*Settings!$G$10)+(AE407*Settings!$G$11)+(AF407*Settings!$G$12)+(AG407*Settings!$G$13)+(AH407*Settings!$G$14)+(AI407*Settings!$G$15)+(AJ407*Settings!$G$16)+(AK407*Settings!$G$17)+(W407*Settings!$G$3)+(X407*Settings!$G$4)</f>
        <v>6.0611641089125827</v>
      </c>
      <c r="E407" s="67"/>
      <c r="F407" s="67"/>
      <c r="G407" s="67"/>
      <c r="H407" s="67"/>
      <c r="I407" s="67"/>
      <c r="J407" s="67"/>
      <c r="K407" s="73"/>
      <c r="L407" s="73"/>
      <c r="M407" s="67"/>
      <c r="N407" s="67"/>
      <c r="O407" s="67"/>
      <c r="P407" s="67"/>
      <c r="Q407" s="67"/>
      <c r="R407" s="73"/>
      <c r="S407" s="73"/>
      <c r="T407" s="67"/>
      <c r="U407" s="67"/>
      <c r="V407" s="121">
        <f>(VLOOKUP($A407,Pitchers!$A1:$S251,4,FALSE)-AVERAGE(Rankings!AC2:AC651))/STDEV(Rankings!AC2:AC651)</f>
        <v>0.76343505250639854</v>
      </c>
      <c r="W407" s="121">
        <f>(VLOOKUP($A407,Pitchers!$A1:$S251,5,FALSE)-AVERAGE(Rankings!AD2:AD651))/STDEV(Rankings!AD2:AD651)*-1</f>
        <v>1.4229749686038682</v>
      </c>
      <c r="X407" s="121">
        <f>(VLOOKUP($A407,Pitchers!$A1:$S251,6,FALSE)-AVERAGE(Rankings!AE2:AE651))/STDEV(Rankings!AE2:AE651)*-1</f>
        <v>1.491589894189864</v>
      </c>
      <c r="Y407" s="121">
        <f>(VLOOKUP($A407,Pitchers!$A1:$S251,7,FALSE)-AVERAGE(Rankings!AF2:AF651))/STDEV(Rankings!AF2:AF651)</f>
        <v>2.0896903203071604</v>
      </c>
      <c r="Z407" s="121">
        <f>(VLOOKUP($A407,Pitchers!$A1:$S251,8,FALSE)-AVERAGE(Rankings!AG2:AG651))/STDEV(Rankings!AG2:AG651)</f>
        <v>1.5210533879620636</v>
      </c>
      <c r="AA407" s="121">
        <f>(VLOOKUP($A407,Pitchers!$A1:$S251,9,FALSE)-AVERAGE(Rankings!AH2:AH651))/STDEV(Rankings!AH2:AH651)</f>
        <v>-0.46414446215037364</v>
      </c>
      <c r="AB407" s="121">
        <f>(VLOOKUP($A407,Pitchers!$A1:$S251,10,FALSE)-AVERAGE(Rankings!AI2:AI651))/STDEV(Rankings!AI2:AI651)*-1</f>
        <v>-7.9119817284296234E-2</v>
      </c>
      <c r="AC407" s="121">
        <f>(VLOOKUP($A407,Pitchers!$A1:$S251,11,FALSE)-AVERAGE(Rankings!AJ2:AJ651))/STDEV(Rankings!AJ2:AJ651)*-1</f>
        <v>-0.11015477319514239</v>
      </c>
      <c r="AD407" s="121">
        <f>(VLOOKUP($A407,Pitchers!$A1:$S251,12,FALSE)-AVERAGE(Rankings!AK2:AK651))/STDEV(Rankings!AK2:AK651)*-1</f>
        <v>-1.1966435952695453</v>
      </c>
      <c r="AE407" s="121">
        <f>IFERROR((VLOOKUP($A407,Pitchers!$A1:$S251,13,FALSE)-AVERAGE(Rankings!AL2:AL651))/STDEV(Rankings!AL2:AL651)*-1,0)</f>
        <v>3.3517691512580598E-2</v>
      </c>
      <c r="AF407" s="121">
        <f>(VLOOKUP($A407,Pitchers!$A1:$S251,14,FALSE)-AVERAGE(Rankings!AM2:AM651))/STDEV(Rankings!AM2:AM651)</f>
        <v>-0.76212012495231773</v>
      </c>
      <c r="AG407" s="121">
        <f>(VLOOKUP($A407,Pitchers!$A1:$S251,15,FALSE)-AVERAGE(Rankings!AN2:AN651))/STDEV(Rankings!AN2:AN651)</f>
        <v>0.91112696651510616</v>
      </c>
      <c r="AH407" s="121">
        <f>(VLOOKUP($A407,Pitchers!$A1:$S251,16,FALSE)-AVERAGE(Rankings!AO2:AO651))/STDEV(Rankings!AO2:AO651)*-1</f>
        <v>-0.1174415964357145</v>
      </c>
      <c r="AI407" s="121">
        <f>IFERROR((VLOOKUP($A407,Pitchers!$A1:$S251,17,FALSE)-AVERAGE(Rankings!AP2:AP651))/STDEV(Rankings!AP2:AP651),0)</f>
        <v>1.1662506205662073</v>
      </c>
      <c r="AJ407" s="121">
        <f>(VLOOKUP($A407,Pitchers!$A1:$S251,18,FALSE)-AVERAGE(Rankings!AQ2:AQ651))/STDEV(Rankings!AQ2:AQ651)</f>
        <v>-0.68467156957913733</v>
      </c>
      <c r="AK407" s="121">
        <f>IFERROR((VLOOKUP($A407,Pitchers!$A1:$S251,19,FALSE)-AVERAGE(Rankings!AR2:AR651))/STDEV(Rankings!AR2:AR651)*-1,0)</f>
        <v>0.47041511698728217</v>
      </c>
    </row>
    <row r="408" spans="1:37" ht="18.600000000000001" customHeight="1">
      <c r="A408" s="25" t="s">
        <v>84</v>
      </c>
      <c r="B408" s="26" t="s">
        <v>85</v>
      </c>
      <c r="C408" s="130" t="s">
        <v>31</v>
      </c>
      <c r="D408" s="67">
        <f>(V408*Settings!$G$2)+(Y408*Settings!$G$5)+(Z408*Settings!$G$6)+(AA408*Settings!$G$7)+(AB408*Settings!$G$8)+(AC408*Settings!$G$9)+(AD408*Settings!$G$10)+(AE408*Settings!$G$11)+(AF408*Settings!$G$12)+(AG408*Settings!$G$13)+(AH408*Settings!$G$14)+(AI408*Settings!$G$15)+(AJ408*Settings!$G$16)+(AK408*Settings!$G$17)+(W408*Settings!$G$3)+(X408*Settings!$G$4)</f>
        <v>5.9461307203993501</v>
      </c>
      <c r="E408" s="67"/>
      <c r="F408" s="67"/>
      <c r="G408" s="67"/>
      <c r="H408" s="67"/>
      <c r="I408" s="67"/>
      <c r="J408" s="67"/>
      <c r="K408" s="73"/>
      <c r="L408" s="73"/>
      <c r="M408" s="67"/>
      <c r="N408" s="67"/>
      <c r="O408" s="67"/>
      <c r="P408" s="67"/>
      <c r="Q408" s="67"/>
      <c r="R408" s="73"/>
      <c r="S408" s="73"/>
      <c r="T408" s="67"/>
      <c r="U408" s="67"/>
      <c r="V408" s="121">
        <f>(VLOOKUP($A408,Pitchers!$A1:$S251,4,FALSE)-AVERAGE(Rankings!AC2:AC651))/STDEV(Rankings!AC2:AC651)</f>
        <v>1.1212386649352253</v>
      </c>
      <c r="W408" s="121">
        <f>(VLOOKUP($A408,Pitchers!$A1:$S251,5,FALSE)-AVERAGE(Rankings!AD2:AD651))/STDEV(Rankings!AD2:AD651)*-1</f>
        <v>1.2161618901428854</v>
      </c>
      <c r="X408" s="121">
        <f>(VLOOKUP($A408,Pitchers!$A1:$S251,6,FALSE)-AVERAGE(Rankings!AE2:AE651))/STDEV(Rankings!AE2:AE651)*-1</f>
        <v>1.4500918437863544</v>
      </c>
      <c r="Y408" s="121">
        <f>(VLOOKUP($A408,Pitchers!$A1:$S251,7,FALSE)-AVERAGE(Rankings!AF2:AF651))/STDEV(Rankings!AF2:AF651)</f>
        <v>2.041767798422192</v>
      </c>
      <c r="Z408" s="121">
        <f>(VLOOKUP($A408,Pitchers!$A1:$S251,8,FALSE)-AVERAGE(Rankings!AG2:AG651))/STDEV(Rankings!AG2:AG651)</f>
        <v>1.7022536501982921</v>
      </c>
      <c r="AA408" s="121">
        <f>(VLOOKUP($A408,Pitchers!$A1:$S251,9,FALSE)-AVERAGE(Rankings!AH2:AH651))/STDEV(Rankings!AH2:AH651)</f>
        <v>-0.46414446215037364</v>
      </c>
      <c r="AB408" s="121">
        <f>(VLOOKUP($A408,Pitchers!$A1:$S251,10,FALSE)-AVERAGE(Rankings!AI2:AI651))/STDEV(Rankings!AI2:AI651)*-1</f>
        <v>-0.42225014675276995</v>
      </c>
      <c r="AC408" s="121">
        <f>(VLOOKUP($A408,Pitchers!$A1:$S251,11,FALSE)-AVERAGE(Rankings!AJ2:AJ651))/STDEV(Rankings!AJ2:AJ651)*-1</f>
        <v>-0.60103993813550727</v>
      </c>
      <c r="AD408" s="121">
        <f>(VLOOKUP($A408,Pitchers!$A1:$S251,12,FALSE)-AVERAGE(Rankings!AK2:AK651))/STDEV(Rankings!AK2:AK651)*-1</f>
        <v>-0.88301579021332488</v>
      </c>
      <c r="AE408" s="121">
        <f>IFERROR((VLOOKUP($A408,Pitchers!$A1:$S251,13,FALSE)-AVERAGE(Rankings!AL2:AL651))/STDEV(Rankings!AL2:AL651)*-1,0)</f>
        <v>-0.63151587024496925</v>
      </c>
      <c r="AF408" s="121">
        <f>(VLOOKUP($A408,Pitchers!$A1:$S251,14,FALSE)-AVERAGE(Rankings!AM2:AM651))/STDEV(Rankings!AM2:AM651)</f>
        <v>-0.18545868082147096</v>
      </c>
      <c r="AG408" s="121">
        <f>(VLOOKUP($A408,Pitchers!$A1:$S251,15,FALSE)-AVERAGE(Rankings!AN2:AN651))/STDEV(Rankings!AN2:AN651)</f>
        <v>0.93580053850615508</v>
      </c>
      <c r="AH408" s="121">
        <f>(VLOOKUP($A408,Pitchers!$A1:$S251,16,FALSE)-AVERAGE(Rankings!AO2:AO651))/STDEV(Rankings!AO2:AO651)*-1</f>
        <v>-0.45563731996006096</v>
      </c>
      <c r="AI408" s="121">
        <f>IFERROR((VLOOKUP($A408,Pitchers!$A1:$S251,17,FALSE)-AVERAGE(Rankings!AP2:AP651))/STDEV(Rankings!AP2:AP651),0)</f>
        <v>1.4527986845873886</v>
      </c>
      <c r="AJ408" s="121">
        <f>(VLOOKUP($A408,Pitchers!$A1:$S251,18,FALSE)-AVERAGE(Rankings!AQ2:AQ651))/STDEV(Rankings!AQ2:AQ651)</f>
        <v>-0.68467156957913733</v>
      </c>
      <c r="AK408" s="121">
        <f>IFERROR((VLOOKUP($A408,Pitchers!$A1:$S251,19,FALSE)-AVERAGE(Rankings!AR2:AR651))/STDEV(Rankings!AR2:AR651)*-1,0)</f>
        <v>0.47041511698728217</v>
      </c>
    </row>
    <row r="409" spans="1:37" ht="18.600000000000001" customHeight="1">
      <c r="A409" s="25" t="s">
        <v>112</v>
      </c>
      <c r="B409" s="26" t="s">
        <v>97</v>
      </c>
      <c r="C409" s="130" t="s">
        <v>31</v>
      </c>
      <c r="D409" s="67">
        <f>(V409*Settings!$G$2)+(Y409*Settings!$G$5)+(Z409*Settings!$G$6)+(AA409*Settings!$G$7)+(AB409*Settings!$G$8)+(AC409*Settings!$G$9)+(AD409*Settings!$G$10)+(AE409*Settings!$G$11)+(AF409*Settings!$G$12)+(AG409*Settings!$G$13)+(AH409*Settings!$G$14)+(AI409*Settings!$G$15)+(AJ409*Settings!$G$16)+(AK409*Settings!$G$17)+(W409*Settings!$G$3)+(X409*Settings!$G$4)</f>
        <v>6.227044961007338</v>
      </c>
      <c r="E409" s="67"/>
      <c r="F409" s="67"/>
      <c r="G409" s="67"/>
      <c r="H409" s="67"/>
      <c r="I409" s="67"/>
      <c r="J409" s="67"/>
      <c r="K409" s="73"/>
      <c r="L409" s="73"/>
      <c r="M409" s="67"/>
      <c r="N409" s="67"/>
      <c r="O409" s="67"/>
      <c r="P409" s="67"/>
      <c r="Q409" s="67"/>
      <c r="R409" s="73"/>
      <c r="S409" s="73"/>
      <c r="T409" s="67"/>
      <c r="U409" s="67"/>
      <c r="V409" s="121">
        <f>(VLOOKUP($A409,Pitchers!$A1:$S251,4,FALSE)-AVERAGE(Rankings!AC2:AC651))/STDEV(Rankings!AC2:AC651)</f>
        <v>1.0591346848686838</v>
      </c>
      <c r="W409" s="121">
        <f>(VLOOKUP($A409,Pitchers!$A1:$S251,5,FALSE)-AVERAGE(Rankings!AD2:AD651))/STDEV(Rankings!AD2:AD651)*-1</f>
        <v>1.3083371537076542</v>
      </c>
      <c r="X409" s="121">
        <f>(VLOOKUP($A409,Pitchers!$A1:$S251,6,FALSE)-AVERAGE(Rankings!AE2:AE651))/STDEV(Rankings!AE2:AE651)*-1</f>
        <v>2.0676659629243161</v>
      </c>
      <c r="Y409" s="121">
        <f>(VLOOKUP($A409,Pitchers!$A1:$S251,7,FALSE)-AVERAGE(Rankings!AF2:AF651))/STDEV(Rankings!AF2:AF651)</f>
        <v>1.864599687211099</v>
      </c>
      <c r="Z409" s="121">
        <f>(VLOOKUP($A409,Pitchers!$A1:$S251,8,FALSE)-AVERAGE(Rankings!AG2:AG651))/STDEV(Rankings!AG2:AG651)</f>
        <v>1.4505866193146422</v>
      </c>
      <c r="AA409" s="121">
        <f>(VLOOKUP($A409,Pitchers!$A1:$S251,9,FALSE)-AVERAGE(Rankings!AH2:AH651))/STDEV(Rankings!AH2:AH651)</f>
        <v>-0.46414446215037364</v>
      </c>
      <c r="AB409" s="121">
        <f>(VLOOKUP($A409,Pitchers!$A1:$S251,10,FALSE)-AVERAGE(Rankings!AI2:AI651))/STDEV(Rankings!AI2:AI651)*-1</f>
        <v>-0.33740610467413235</v>
      </c>
      <c r="AC409" s="121">
        <f>(VLOOKUP($A409,Pitchers!$A1:$S251,11,FALSE)-AVERAGE(Rankings!AJ2:AJ651))/STDEV(Rankings!AJ2:AJ651)*-1</f>
        <v>-0.59712991871889309</v>
      </c>
      <c r="AD409" s="121">
        <f>(VLOOKUP($A409,Pitchers!$A1:$S251,12,FALSE)-AVERAGE(Rankings!AK2:AK651))/STDEV(Rankings!AK2:AK651)*-1</f>
        <v>6.030830826316716E-2</v>
      </c>
      <c r="AE409" s="121">
        <f>IFERROR((VLOOKUP($A409,Pitchers!$A1:$S251,13,FALSE)-AVERAGE(Rankings!AL2:AL651))/STDEV(Rankings!AL2:AL651)*-1,0)</f>
        <v>-1.296549432002519</v>
      </c>
      <c r="AF409" s="121">
        <f>(VLOOKUP($A409,Pitchers!$A1:$S251,14,FALSE)-AVERAGE(Rankings!AM2:AM651))/STDEV(Rankings!AM2:AM651)</f>
        <v>-0.81226459835499998</v>
      </c>
      <c r="AG409" s="121">
        <f>(VLOOKUP($A409,Pitchers!$A1:$S251,15,FALSE)-AVERAGE(Rankings!AN2:AN651))/STDEV(Rankings!AN2:AN651)</f>
        <v>0.85139095011572441</v>
      </c>
      <c r="AH409" s="121">
        <f>(VLOOKUP($A409,Pitchers!$A1:$S251,16,FALSE)-AVERAGE(Rankings!AO2:AO651))/STDEV(Rankings!AO2:AO651)*-1</f>
        <v>-0.24269927181510192</v>
      </c>
      <c r="AI409" s="121">
        <f>IFERROR((VLOOKUP($A409,Pitchers!$A1:$S251,17,FALSE)-AVERAGE(Rankings!AP2:AP651))/STDEV(Rankings!AP2:AP651),0)</f>
        <v>1.7393467486085696</v>
      </c>
      <c r="AJ409" s="121">
        <f>(VLOOKUP($A409,Pitchers!$A1:$S251,18,FALSE)-AVERAGE(Rankings!AQ2:AQ651))/STDEV(Rankings!AQ2:AQ651)</f>
        <v>-0.68467156957913733</v>
      </c>
      <c r="AK409" s="121">
        <f>IFERROR((VLOOKUP($A409,Pitchers!$A1:$S251,19,FALSE)-AVERAGE(Rankings!AR2:AR651))/STDEV(Rankings!AR2:AR651)*-1,0)</f>
        <v>0.47041511698728217</v>
      </c>
    </row>
    <row r="410" spans="1:37" ht="18.600000000000001" customHeight="1">
      <c r="A410" s="25" t="s">
        <v>117</v>
      </c>
      <c r="B410" s="26" t="s">
        <v>103</v>
      </c>
      <c r="C410" s="130" t="s">
        <v>31</v>
      </c>
      <c r="D410" s="67">
        <f>(V410*Settings!$G$2)+(Y410*Settings!$G$5)+(Z410*Settings!$G$6)+(AA410*Settings!$G$7)+(AB410*Settings!$G$8)+(AC410*Settings!$G$9)+(AD410*Settings!$G$10)+(AE410*Settings!$G$11)+(AF410*Settings!$G$12)+(AG410*Settings!$G$13)+(AH410*Settings!$G$14)+(AI410*Settings!$G$15)+(AJ410*Settings!$G$16)+(AK410*Settings!$G$17)+(W410*Settings!$G$3)+(X410*Settings!$G$4)</f>
        <v>5.9186423152993477</v>
      </c>
      <c r="E410" s="67"/>
      <c r="F410" s="67"/>
      <c r="G410" s="67"/>
      <c r="H410" s="67"/>
      <c r="I410" s="67"/>
      <c r="J410" s="67"/>
      <c r="K410" s="73"/>
      <c r="L410" s="73"/>
      <c r="M410" s="67"/>
      <c r="N410" s="67"/>
      <c r="O410" s="67"/>
      <c r="P410" s="67"/>
      <c r="Q410" s="67"/>
      <c r="R410" s="73"/>
      <c r="S410" s="73"/>
      <c r="T410" s="67"/>
      <c r="U410" s="67"/>
      <c r="V410" s="121">
        <f>(VLOOKUP($A410,Pitchers!$A1:$S251,4,FALSE)-AVERAGE(Rankings!AC2:AC651))/STDEV(Rankings!AC2:AC651)</f>
        <v>1.2355664464213594</v>
      </c>
      <c r="W410" s="121">
        <f>(VLOOKUP($A410,Pitchers!$A1:$S251,5,FALSE)-AVERAGE(Rankings!AD2:AD651))/STDEV(Rankings!AD2:AD651)*-1</f>
        <v>1.3616095908043269</v>
      </c>
      <c r="X410" s="121">
        <f>(VLOOKUP($A410,Pitchers!$A1:$S251,6,FALSE)-AVERAGE(Rankings!AE2:AE651))/STDEV(Rankings!AE2:AE651)*-1</f>
        <v>1.5186505373146713</v>
      </c>
      <c r="Y410" s="121">
        <f>(VLOOKUP($A410,Pitchers!$A1:$S251,7,FALSE)-AVERAGE(Rankings!AF2:AF651))/STDEV(Rankings!AF2:AF651)</f>
        <v>1.8304730428384697</v>
      </c>
      <c r="Z410" s="121">
        <f>(VLOOKUP($A410,Pitchers!$A1:$S251,8,FALSE)-AVERAGE(Rankings!AG2:AG651))/STDEV(Rankings!AG2:AG651)</f>
        <v>1.6720536064922538</v>
      </c>
      <c r="AA410" s="121">
        <f>(VLOOKUP($A410,Pitchers!$A1:$S251,9,FALSE)-AVERAGE(Rankings!AH2:AH651))/STDEV(Rankings!AH2:AH651)</f>
        <v>-0.46414446215037364</v>
      </c>
      <c r="AB410" s="121">
        <f>(VLOOKUP($A410,Pitchers!$A1:$S251,10,FALSE)-AVERAGE(Rankings!AI2:AI651))/STDEV(Rankings!AI2:AI651)*-1</f>
        <v>-0.44102095252237999</v>
      </c>
      <c r="AC410" s="121">
        <f>(VLOOKUP($A410,Pitchers!$A1:$S251,11,FALSE)-AVERAGE(Rankings!AJ2:AJ651))/STDEV(Rankings!AJ2:AJ651)*-1</f>
        <v>-0.75424160800465812</v>
      </c>
      <c r="AD410" s="121">
        <f>(VLOOKUP($A410,Pitchers!$A1:$S251,12,FALSE)-AVERAGE(Rankings!AK2:AK651))/STDEV(Rankings!AK2:AK651)*-1</f>
        <v>-0.69630351716429106</v>
      </c>
      <c r="AE410" s="121">
        <f>IFERROR((VLOOKUP($A410,Pitchers!$A1:$S251,13,FALSE)-AVERAGE(Rankings!AL2:AL651))/STDEV(Rankings!AL2:AL651)*-1,0)</f>
        <v>-0.36550244554194927</v>
      </c>
      <c r="AF410" s="121">
        <f>(VLOOKUP($A410,Pitchers!$A1:$S251,14,FALSE)-AVERAGE(Rankings!AM2:AM651))/STDEV(Rankings!AM2:AM651)</f>
        <v>-0.66619156713849048</v>
      </c>
      <c r="AG410" s="121">
        <f>(VLOOKUP($A410,Pitchers!$A1:$S251,15,FALSE)-AVERAGE(Rankings!AN2:AN651))/STDEV(Rankings!AN2:AN651)</f>
        <v>1.025404563105228</v>
      </c>
      <c r="AH410" s="121">
        <f>(VLOOKUP($A410,Pitchers!$A1:$S251,16,FALSE)-AVERAGE(Rankings!AO2:AO651))/STDEV(Rankings!AO2:AO651)*-1</f>
        <v>-0.50574039011181582</v>
      </c>
      <c r="AI410" s="121">
        <f>IFERROR((VLOOKUP($A410,Pitchers!$A1:$S251,17,FALSE)-AVERAGE(Rankings!AP2:AP651))/STDEV(Rankings!AP2:AP651),0)</f>
        <v>1.7393467486085696</v>
      </c>
      <c r="AJ410" s="121">
        <f>(VLOOKUP($A410,Pitchers!$A1:$S251,18,FALSE)-AVERAGE(Rankings!AQ2:AQ651))/STDEV(Rankings!AQ2:AQ651)</f>
        <v>-0.68467156957913733</v>
      </c>
      <c r="AK410" s="121">
        <f>IFERROR((VLOOKUP($A410,Pitchers!$A1:$S251,19,FALSE)-AVERAGE(Rankings!AR2:AR651))/STDEV(Rankings!AR2:AR651)*-1,0)</f>
        <v>0.47041511698728217</v>
      </c>
    </row>
    <row r="411" spans="1:37" ht="18.600000000000001" customHeight="1">
      <c r="A411" s="25" t="s">
        <v>109</v>
      </c>
      <c r="B411" s="26" t="s">
        <v>97</v>
      </c>
      <c r="C411" s="130" t="s">
        <v>31</v>
      </c>
      <c r="D411" s="67">
        <f>(V411*Settings!$G$2)+(Y411*Settings!$G$5)+(Z411*Settings!$G$6)+(AA411*Settings!$G$7)+(AB411*Settings!$G$8)+(AC411*Settings!$G$9)+(AD411*Settings!$G$10)+(AE411*Settings!$G$11)+(AF411*Settings!$G$12)+(AG411*Settings!$G$13)+(AH411*Settings!$G$14)+(AI411*Settings!$G$15)+(AJ411*Settings!$G$16)+(AK411*Settings!$G$17)+(W411*Settings!$G$3)+(X411*Settings!$G$4)</f>
        <v>6.3709662563370228</v>
      </c>
      <c r="E411" s="67"/>
      <c r="F411" s="67"/>
      <c r="G411" s="67"/>
      <c r="H411" s="67"/>
      <c r="I411" s="67"/>
      <c r="J411" s="67"/>
      <c r="K411" s="73"/>
      <c r="L411" s="73"/>
      <c r="M411" s="67"/>
      <c r="N411" s="67"/>
      <c r="O411" s="67"/>
      <c r="P411" s="67"/>
      <c r="Q411" s="67"/>
      <c r="R411" s="73"/>
      <c r="S411" s="73"/>
      <c r="T411" s="67"/>
      <c r="U411" s="67"/>
      <c r="V411" s="121">
        <f>(VLOOKUP($A411,Pitchers!$A1:$S251,4,FALSE)-AVERAGE(Rankings!AC2:AC651))/STDEV(Rankings!AC2:AC651)</f>
        <v>1.1649937418002894</v>
      </c>
      <c r="W411" s="121">
        <f>(VLOOKUP($A411,Pitchers!$A1:$S251,5,FALSE)-AVERAGE(Rankings!AD2:AD651))/STDEV(Rankings!AD2:AD651)*-1</f>
        <v>1.1576249895144326</v>
      </c>
      <c r="X411" s="121">
        <f>(VLOOKUP($A411,Pitchers!$A1:$S251,6,FALSE)-AVERAGE(Rankings!AE2:AE651))/STDEV(Rankings!AE2:AE651)*-1</f>
        <v>2.2140628653713978</v>
      </c>
      <c r="Y411" s="121">
        <f>(VLOOKUP($A411,Pitchers!$A1:$S251,7,FALSE)-AVERAGE(Rankings!AF2:AF651))/STDEV(Rankings!AF2:AF651)</f>
        <v>1.5799689511670461</v>
      </c>
      <c r="Z411" s="121">
        <f>(VLOOKUP($A411,Pitchers!$A1:$S251,8,FALSE)-AVERAGE(Rankings!AG2:AG651))/STDEV(Rankings!AG2:AG651)</f>
        <v>1.8834539124345202</v>
      </c>
      <c r="AA411" s="121">
        <f>(VLOOKUP($A411,Pitchers!$A1:$S251,9,FALSE)-AVERAGE(Rankings!AH2:AH651))/STDEV(Rankings!AH2:AH651)</f>
        <v>-0.46414446215037364</v>
      </c>
      <c r="AB411" s="121">
        <f>(VLOOKUP($A411,Pitchers!$A1:$S251,10,FALSE)-AVERAGE(Rankings!AI2:AI651))/STDEV(Rankings!AI2:AI651)*-1</f>
        <v>-0.48006422852316949</v>
      </c>
      <c r="AC411" s="121">
        <f>(VLOOKUP($A411,Pitchers!$A1:$S251,11,FALSE)-AVERAGE(Rankings!AJ2:AJ651))/STDEV(Rankings!AJ2:AJ651)*-1</f>
        <v>-0.67533030705117469</v>
      </c>
      <c r="AD411" s="121">
        <f>(VLOOKUP($A411,Pitchers!$A1:$S251,12,FALSE)-AVERAGE(Rankings!AK2:AK651))/STDEV(Rankings!AK2:AK651)*-1</f>
        <v>0.13596949080591333</v>
      </c>
      <c r="AE411" s="121">
        <f>IFERROR((VLOOKUP($A411,Pitchers!$A1:$S251,13,FALSE)-AVERAGE(Rankings!AL2:AL651))/STDEV(Rankings!AL2:AL651)*-1,0)</f>
        <v>-1.1635427196510091</v>
      </c>
      <c r="AF411" s="121">
        <f>(VLOOKUP($A411,Pitchers!$A1:$S251,14,FALSE)-AVERAGE(Rankings!AM2:AM651))/STDEV(Rankings!AM2:AM651)</f>
        <v>-0.7533993469692426</v>
      </c>
      <c r="AG411" s="121">
        <f>(VLOOKUP($A411,Pitchers!$A1:$S251,15,FALSE)-AVERAGE(Rankings!AN2:AN651))/STDEV(Rankings!AN2:AN651)</f>
        <v>0.92151583893238986</v>
      </c>
      <c r="AH411" s="121">
        <f>(VLOOKUP($A411,Pitchers!$A1:$S251,16,FALSE)-AVERAGE(Rankings!AO2:AO651))/STDEV(Rankings!AO2:AO651)*-1</f>
        <v>-0.2802765744289184</v>
      </c>
      <c r="AI411" s="121">
        <f>IFERROR((VLOOKUP($A411,Pitchers!$A1:$S251,17,FALSE)-AVERAGE(Rankings!AP2:AP651))/STDEV(Rankings!AP2:AP651),0)</f>
        <v>1.4527986845873886</v>
      </c>
      <c r="AJ411" s="121">
        <f>(VLOOKUP($A411,Pitchers!$A1:$S251,18,FALSE)-AVERAGE(Rankings!AQ2:AQ651))/STDEV(Rankings!AQ2:AQ651)</f>
        <v>-0.68467156957913733</v>
      </c>
      <c r="AK411" s="121">
        <f>IFERROR((VLOOKUP($A411,Pitchers!$A1:$S251,19,FALSE)-AVERAGE(Rankings!AR2:AR651))/STDEV(Rankings!AR2:AR651)*-1,0)</f>
        <v>0.47041511698728217</v>
      </c>
    </row>
    <row r="412" spans="1:37" ht="18.600000000000001" customHeight="1">
      <c r="A412" s="25" t="s">
        <v>148</v>
      </c>
      <c r="B412" s="26" t="s">
        <v>116</v>
      </c>
      <c r="C412" s="130" t="s">
        <v>31</v>
      </c>
      <c r="D412" s="67">
        <f>(V412*Settings!$G$2)+(Y412*Settings!$G$5)+(Z412*Settings!$G$6)+(AA412*Settings!$G$7)+(AB412*Settings!$G$8)+(AC412*Settings!$G$9)+(AD412*Settings!$G$10)+(AE412*Settings!$G$11)+(AF412*Settings!$G$12)+(AG412*Settings!$G$13)+(AH412*Settings!$G$14)+(AI412*Settings!$G$15)+(AJ412*Settings!$G$16)+(AK412*Settings!$G$17)+(W412*Settings!$G$3)+(X412*Settings!$G$4)</f>
        <v>4.5245125868036631</v>
      </c>
      <c r="E412" s="67"/>
      <c r="F412" s="67"/>
      <c r="G412" s="67"/>
      <c r="H412" s="67"/>
      <c r="I412" s="67"/>
      <c r="J412" s="67"/>
      <c r="K412" s="73"/>
      <c r="L412" s="73"/>
      <c r="M412" s="67"/>
      <c r="N412" s="67"/>
      <c r="O412" s="67"/>
      <c r="P412" s="67"/>
      <c r="Q412" s="67"/>
      <c r="R412" s="73"/>
      <c r="S412" s="73"/>
      <c r="T412" s="67"/>
      <c r="U412" s="67"/>
      <c r="V412" s="121">
        <f>(VLOOKUP($A412,Pitchers!$A1:$S251,4,FALSE)-AVERAGE(Rankings!AC2:AC651))/STDEV(Rankings!AC2:AC651)</f>
        <v>1.3724774933862365</v>
      </c>
      <c r="W412" s="121">
        <f>(VLOOKUP($A412,Pitchers!$A1:$S251,5,FALSE)-AVERAGE(Rankings!AD2:AD651))/STDEV(Rankings!AD2:AD651)*-1</f>
        <v>0.73562873474554702</v>
      </c>
      <c r="X412" s="121">
        <f>(VLOOKUP($A412,Pitchers!$A1:$S251,6,FALSE)-AVERAGE(Rankings!AE2:AE651))/STDEV(Rankings!AE2:AE651)*-1</f>
        <v>0.25899628489057513</v>
      </c>
      <c r="Y412" s="121">
        <f>(VLOOKUP($A412,Pitchers!$A1:$S251,7,FALSE)-AVERAGE(Rankings!AF2:AF651))/STDEV(Rankings!AF2:AF651)</f>
        <v>2.2414449729428925</v>
      </c>
      <c r="Z412" s="121">
        <f>(VLOOKUP($A412,Pitchers!$A1:$S251,8,FALSE)-AVERAGE(Rankings!AG2:AG651))/STDEV(Rankings!AG2:AG651)</f>
        <v>1.7525870563750225</v>
      </c>
      <c r="AA412" s="121">
        <f>(VLOOKUP($A412,Pitchers!$A1:$S251,9,FALSE)-AVERAGE(Rankings!AH2:AH651))/STDEV(Rankings!AH2:AH651)</f>
        <v>-0.46414446215037364</v>
      </c>
      <c r="AB412" s="121">
        <f>(VLOOKUP($A412,Pitchers!$A1:$S251,10,FALSE)-AVERAGE(Rankings!AI2:AI651))/STDEV(Rankings!AI2:AI651)*-1</f>
        <v>-0.82995204806870282</v>
      </c>
      <c r="AC412" s="121">
        <f>(VLOOKUP($A412,Pitchers!$A1:$S251,11,FALSE)-AVERAGE(Rankings!AJ2:AJ651))/STDEV(Rankings!AJ2:AJ651)*-1</f>
        <v>-0.79120906430719129</v>
      </c>
      <c r="AD412" s="121">
        <f>(VLOOKUP($A412,Pitchers!$A1:$S251,12,FALSE)-AVERAGE(Rankings!AK2:AK651))/STDEV(Rankings!AK2:AK651)*-1</f>
        <v>-2.6903417796618174</v>
      </c>
      <c r="AE412" s="121">
        <f>IFERROR((VLOOKUP($A412,Pitchers!$A1:$S251,13,FALSE)-AVERAGE(Rankings!AL2:AL651))/STDEV(Rankings!AL2:AL651)*-1,0)</f>
        <v>-1.296549432002519</v>
      </c>
      <c r="AF412" s="121">
        <f>(VLOOKUP($A412,Pitchers!$A1:$S251,14,FALSE)-AVERAGE(Rankings!AM2:AM651))/STDEV(Rankings!AM2:AM651)</f>
        <v>-0.52229873041775021</v>
      </c>
      <c r="AG412" s="121">
        <f>(VLOOKUP($A412,Pitchers!$A1:$S251,15,FALSE)-AVERAGE(Rankings!AN2:AN651))/STDEV(Rankings!AN2:AN651)</f>
        <v>1.1708487769472007</v>
      </c>
      <c r="AH412" s="121">
        <f>(VLOOKUP($A412,Pitchers!$A1:$S251,16,FALSE)-AVERAGE(Rankings!AO2:AO651))/STDEV(Rankings!AO2:AO651)*-1</f>
        <v>-0.90656495132585613</v>
      </c>
      <c r="AI412" s="121">
        <f>IFERROR((VLOOKUP($A412,Pitchers!$A1:$S251,17,FALSE)-AVERAGE(Rankings!AP2:AP651))/STDEV(Rankings!AP2:AP651),0)</f>
        <v>1.3095246525767978</v>
      </c>
      <c r="AJ412" s="121">
        <f>(VLOOKUP($A412,Pitchers!$A1:$S251,18,FALSE)-AVERAGE(Rankings!AQ2:AQ651))/STDEV(Rankings!AQ2:AQ651)</f>
        <v>-0.68467156957913733</v>
      </c>
      <c r="AK412" s="121">
        <f>IFERROR((VLOOKUP($A412,Pitchers!$A1:$S251,19,FALSE)-AVERAGE(Rankings!AR2:AR651))/STDEV(Rankings!AR2:AR651)*-1,0)</f>
        <v>0.47041511698728217</v>
      </c>
    </row>
    <row r="413" spans="1:37" ht="18.600000000000001" customHeight="1">
      <c r="A413" s="25" t="s">
        <v>130</v>
      </c>
      <c r="B413" s="26" t="s">
        <v>99</v>
      </c>
      <c r="C413" s="130" t="s">
        <v>31</v>
      </c>
      <c r="D413" s="67">
        <f>(V413*Settings!$G$2)+(Y413*Settings!$G$5)+(Z413*Settings!$G$6)+(AA413*Settings!$G$7)+(AB413*Settings!$G$8)+(AC413*Settings!$G$9)+(AD413*Settings!$G$10)+(AE413*Settings!$G$11)+(AF413*Settings!$G$12)+(AG413*Settings!$G$13)+(AH413*Settings!$G$14)+(AI413*Settings!$G$15)+(AJ413*Settings!$G$16)+(AK413*Settings!$G$17)+(W413*Settings!$G$3)+(X413*Settings!$G$4)</f>
        <v>5.2100965478067227</v>
      </c>
      <c r="E413" s="67"/>
      <c r="F413" s="67"/>
      <c r="G413" s="67"/>
      <c r="H413" s="67"/>
      <c r="I413" s="67"/>
      <c r="J413" s="67"/>
      <c r="K413" s="73"/>
      <c r="L413" s="73"/>
      <c r="M413" s="67"/>
      <c r="N413" s="67"/>
      <c r="O413" s="67"/>
      <c r="P413" s="67"/>
      <c r="Q413" s="67"/>
      <c r="R413" s="73"/>
      <c r="S413" s="73"/>
      <c r="T413" s="67"/>
      <c r="U413" s="67"/>
      <c r="V413" s="121">
        <f>(VLOOKUP($A413,Pitchers!$A1:$S251,4,FALSE)-AVERAGE(Rankings!AC2:AC651))/STDEV(Rankings!AC2:AC651)</f>
        <v>1.271558525778105</v>
      </c>
      <c r="W413" s="121">
        <f>(VLOOKUP($A413,Pitchers!$A1:$S251,5,FALSE)-AVERAGE(Rankings!AD2:AD651))/STDEV(Rankings!AD2:AD651)*-1</f>
        <v>0.96369441595810279</v>
      </c>
      <c r="X413" s="121">
        <f>(VLOOKUP($A413,Pitchers!$A1:$S251,6,FALSE)-AVERAGE(Rankings!AE2:AE651))/STDEV(Rankings!AE2:AE651)*-1</f>
        <v>1.3219256048181252</v>
      </c>
      <c r="Y413" s="121">
        <f>(VLOOKUP($A413,Pitchers!$A1:$S251,7,FALSE)-AVERAGE(Rankings!AF2:AF651))/STDEV(Rankings!AF2:AF651)</f>
        <v>1.9481010511015731</v>
      </c>
      <c r="Z413" s="121">
        <f>(VLOOKUP($A413,Pitchers!$A1:$S251,8,FALSE)-AVERAGE(Rankings!AG2:AG651))/STDEV(Rankings!AG2:AG651)</f>
        <v>1.4405199380792957</v>
      </c>
      <c r="AA413" s="121">
        <f>(VLOOKUP($A413,Pitchers!$A1:$S251,9,FALSE)-AVERAGE(Rankings!AH2:AH651))/STDEV(Rankings!AH2:AH651)</f>
        <v>-0.46414446215037364</v>
      </c>
      <c r="AB413" s="121">
        <f>(VLOOKUP($A413,Pitchers!$A1:$S251,10,FALSE)-AVERAGE(Rankings!AI2:AI651))/STDEV(Rankings!AI2:AI651)*-1</f>
        <v>-0.64674898375730749</v>
      </c>
      <c r="AC413" s="121">
        <f>(VLOOKUP($A413,Pitchers!$A1:$S251,11,FALSE)-AVERAGE(Rankings!AJ2:AJ651))/STDEV(Rankings!AJ2:AJ651)*-1</f>
        <v>-0.83244199633693972</v>
      </c>
      <c r="AD413" s="121">
        <f>(VLOOKUP($A413,Pitchers!$A1:$S251,12,FALSE)-AVERAGE(Rankings!AK2:AK651))/STDEV(Rankings!AK2:AK651)*-1</f>
        <v>-0.80613426601666405</v>
      </c>
      <c r="AE413" s="121">
        <f>IFERROR((VLOOKUP($A413,Pitchers!$A1:$S251,13,FALSE)-AVERAGE(Rankings!AL2:AL651))/STDEV(Rankings!AL2:AL651)*-1,0)</f>
        <v>-0.89752929494798916</v>
      </c>
      <c r="AF413" s="121">
        <f>(VLOOKUP($A413,Pitchers!$A1:$S251,14,FALSE)-AVERAGE(Rankings!AM2:AM651))/STDEV(Rankings!AM2:AM651)</f>
        <v>-0.63130845520618994</v>
      </c>
      <c r="AG413" s="121">
        <f>(VLOOKUP($A413,Pitchers!$A1:$S251,15,FALSE)-AVERAGE(Rankings!AN2:AN651))/STDEV(Rankings!AN2:AN651)</f>
        <v>1.066960052774363</v>
      </c>
      <c r="AH413" s="121">
        <f>(VLOOKUP($A413,Pitchers!$A1:$S251,16,FALSE)-AVERAGE(Rankings!AO2:AO651))/STDEV(Rankings!AO2:AO651)*-1</f>
        <v>-0.79383304348440709</v>
      </c>
      <c r="AI413" s="121">
        <f>IFERROR((VLOOKUP($A413,Pitchers!$A1:$S251,17,FALSE)-AVERAGE(Rankings!AP2:AP651))/STDEV(Rankings!AP2:AP651),0)</f>
        <v>1.3095246525767978</v>
      </c>
      <c r="AJ413" s="121">
        <f>(VLOOKUP($A413,Pitchers!$A1:$S251,18,FALSE)-AVERAGE(Rankings!AQ2:AQ651))/STDEV(Rankings!AQ2:AQ651)</f>
        <v>-0.68467156957913733</v>
      </c>
      <c r="AK413" s="121">
        <f>IFERROR((VLOOKUP($A413,Pitchers!$A1:$S251,19,FALSE)-AVERAGE(Rankings!AR2:AR651))/STDEV(Rankings!AR2:AR651)*-1,0)</f>
        <v>0.47041511698728217</v>
      </c>
    </row>
    <row r="414" spans="1:37" ht="18.600000000000001" customHeight="1">
      <c r="A414" s="25" t="s">
        <v>140</v>
      </c>
      <c r="B414" s="26" t="s">
        <v>77</v>
      </c>
      <c r="C414" s="130" t="s">
        <v>31</v>
      </c>
      <c r="D414" s="67">
        <f>(V414*Settings!$G$2)+(Y414*Settings!$G$5)+(Z414*Settings!$G$6)+(AA414*Settings!$G$7)+(AB414*Settings!$G$8)+(AC414*Settings!$G$9)+(AD414*Settings!$G$10)+(AE414*Settings!$G$11)+(AF414*Settings!$G$12)+(AG414*Settings!$G$13)+(AH414*Settings!$G$14)+(AI414*Settings!$G$15)+(AJ414*Settings!$G$16)+(AK414*Settings!$G$17)+(W414*Settings!$G$3)+(X414*Settings!$G$4)</f>
        <v>4.924579024702509</v>
      </c>
      <c r="E414" s="67"/>
      <c r="F414" s="67"/>
      <c r="G414" s="67"/>
      <c r="H414" s="67"/>
      <c r="I414" s="67"/>
      <c r="J414" s="67"/>
      <c r="K414" s="73"/>
      <c r="L414" s="73"/>
      <c r="M414" s="67"/>
      <c r="N414" s="67"/>
      <c r="O414" s="67"/>
      <c r="P414" s="67"/>
      <c r="Q414" s="67"/>
      <c r="R414" s="73"/>
      <c r="S414" s="73"/>
      <c r="T414" s="67"/>
      <c r="U414" s="67"/>
      <c r="V414" s="121">
        <f>(VLOOKUP($A414,Pitchers!$A1:$S251,4,FALSE)-AVERAGE(Rankings!AC2:AC651))/STDEV(Rankings!AC2:AC651)</f>
        <v>1.4656334634860493</v>
      </c>
      <c r="W414" s="121">
        <f>(VLOOKUP($A414,Pitchers!$A1:$S251,5,FALSE)-AVERAGE(Rankings!AD2:AD651))/STDEV(Rankings!AD2:AD651)*-1</f>
        <v>0.87503312013739021</v>
      </c>
      <c r="X414" s="121">
        <f>(VLOOKUP($A414,Pitchers!$A1:$S251,6,FALSE)-AVERAGE(Rankings!AE2:AE651))/STDEV(Rankings!AE2:AE651)*-1</f>
        <v>0.94587834264721804</v>
      </c>
      <c r="Y414" s="121">
        <f>(VLOOKUP($A414,Pitchers!$A1:$S251,7,FALSE)-AVERAGE(Rankings!AF2:AF651))/STDEV(Rankings!AF2:AF651)</f>
        <v>1.8152249676932524</v>
      </c>
      <c r="Z414" s="121">
        <f>(VLOOKUP($A414,Pitchers!$A1:$S251,8,FALSE)-AVERAGE(Rankings!AG2:AG651))/STDEV(Rankings!AG2:AG651)</f>
        <v>1.7525870563750225</v>
      </c>
      <c r="AA414" s="121">
        <f>(VLOOKUP($A414,Pitchers!$A1:$S251,9,FALSE)-AVERAGE(Rankings!AH2:AH651))/STDEV(Rankings!AH2:AH651)</f>
        <v>-0.46414446215037364</v>
      </c>
      <c r="AB414" s="121">
        <f>(VLOOKUP($A414,Pitchers!$A1:$S251,10,FALSE)-AVERAGE(Rankings!AI2:AI651))/STDEV(Rankings!AI2:AI651)*-1</f>
        <v>-0.83746037037654641</v>
      </c>
      <c r="AC414" s="121">
        <f>(VLOOKUP($A414,Pitchers!$A1:$S251,11,FALSE)-AVERAGE(Rankings!AJ2:AJ651))/STDEV(Rankings!AJ2:AJ651)*-1</f>
        <v>-1.2895588117701826</v>
      </c>
      <c r="AD414" s="121">
        <f>(VLOOKUP($A414,Pitchers!$A1:$S251,12,FALSE)-AVERAGE(Rankings!AK2:AK651))/STDEV(Rankings!AK2:AK651)*-1</f>
        <v>-0.45955723630473155</v>
      </c>
      <c r="AE414" s="121">
        <f>IFERROR((VLOOKUP($A414,Pitchers!$A1:$S251,13,FALSE)-AVERAGE(Rankings!AL2:AL651))/STDEV(Rankings!AL2:AL651)*-1,0)</f>
        <v>-1.1635427196510091</v>
      </c>
      <c r="AF414" s="121">
        <f>(VLOOKUP($A414,Pitchers!$A1:$S251,14,FALSE)-AVERAGE(Rankings!AM2:AM651))/STDEV(Rankings!AM2:AM651)</f>
        <v>-0.653110400163878</v>
      </c>
      <c r="AG414" s="121">
        <f>(VLOOKUP($A414,Pitchers!$A1:$S251,15,FALSE)-AVERAGE(Rankings!AN2:AN651))/STDEV(Rankings!AN2:AN651)</f>
        <v>1.015015690687944</v>
      </c>
      <c r="AH414" s="121">
        <f>(VLOOKUP($A414,Pitchers!$A1:$S251,16,FALSE)-AVERAGE(Rankings!AO2:AO651))/STDEV(Rankings!AO2:AO651)*-1</f>
        <v>-0.64352383302914229</v>
      </c>
      <c r="AI414" s="121">
        <f>IFERROR((VLOOKUP($A414,Pitchers!$A1:$S251,17,FALSE)-AVERAGE(Rankings!AP2:AP651))/STDEV(Rankings!AP2:AP651),0)</f>
        <v>1.8826207806191602</v>
      </c>
      <c r="AJ414" s="121">
        <f>(VLOOKUP($A414,Pitchers!$A1:$S251,18,FALSE)-AVERAGE(Rankings!AQ2:AQ651))/STDEV(Rankings!AQ2:AQ651)</f>
        <v>-0.68467156957913733</v>
      </c>
      <c r="AK414" s="121">
        <f>IFERROR((VLOOKUP($A414,Pitchers!$A1:$S251,19,FALSE)-AVERAGE(Rankings!AR2:AR651))/STDEV(Rankings!AR2:AR651)*-1,0)</f>
        <v>0.47041511698728217</v>
      </c>
    </row>
    <row r="415" spans="1:37" ht="18.600000000000001" customHeight="1">
      <c r="A415" s="25" t="s">
        <v>135</v>
      </c>
      <c r="B415" s="26" t="s">
        <v>136</v>
      </c>
      <c r="C415" s="130" t="s">
        <v>31</v>
      </c>
      <c r="D415" s="67">
        <f>(V415*Settings!$G$2)+(Y415*Settings!$G$5)+(Z415*Settings!$G$6)+(AA415*Settings!$G$7)+(AB415*Settings!$G$8)+(AC415*Settings!$G$9)+(AD415*Settings!$G$10)+(AE415*Settings!$G$11)+(AF415*Settings!$G$12)+(AG415*Settings!$G$13)+(AH415*Settings!$G$14)+(AI415*Settings!$G$15)+(AJ415*Settings!$G$16)+(AK415*Settings!$G$17)+(W415*Settings!$G$3)+(X415*Settings!$G$4)</f>
        <v>5.0712229996413365</v>
      </c>
      <c r="E415" s="67"/>
      <c r="F415" s="67"/>
      <c r="G415" s="67"/>
      <c r="H415" s="67"/>
      <c r="I415" s="67"/>
      <c r="J415" s="67"/>
      <c r="K415" s="73"/>
      <c r="L415" s="73"/>
      <c r="M415" s="67"/>
      <c r="N415" s="67"/>
      <c r="O415" s="67"/>
      <c r="P415" s="67"/>
      <c r="Q415" s="67"/>
      <c r="R415" s="73"/>
      <c r="S415" s="73"/>
      <c r="T415" s="67"/>
      <c r="U415" s="67"/>
      <c r="V415" s="121">
        <f>(VLOOKUP($A415,Pitchers!$A1:$S251,4,FALSE)-AVERAGE(Rankings!AC2:AC651))/STDEV(Rankings!AC2:AC651)</f>
        <v>1.9271789517078484</v>
      </c>
      <c r="W415" s="121">
        <f>(VLOOKUP($A415,Pitchers!$A1:$S251,5,FALSE)-AVERAGE(Rankings!AD2:AD651))/STDEV(Rankings!AD2:AD651)*-1</f>
        <v>1.0596515048238295</v>
      </c>
      <c r="X415" s="121">
        <f>(VLOOKUP($A415,Pitchers!$A1:$S251,6,FALSE)-AVERAGE(Rankings!AE2:AE651))/STDEV(Rankings!AE2:AE651)*-1</f>
        <v>1.0667221693101301</v>
      </c>
      <c r="Y415" s="121">
        <f>(VLOOKUP($A415,Pitchers!$A1:$S251,7,FALSE)-AVERAGE(Rankings!AF2:AF651))/STDEV(Rankings!AF2:AF651)</f>
        <v>1.6765400937534205</v>
      </c>
      <c r="Z415" s="121">
        <f>(VLOOKUP($A415,Pitchers!$A1:$S251,8,FALSE)-AVERAGE(Rankings!AG2:AG651))/STDEV(Rankings!AG2:AG651)</f>
        <v>1.73245369390433</v>
      </c>
      <c r="AA415" s="121">
        <f>(VLOOKUP($A415,Pitchers!$A1:$S251,9,FALSE)-AVERAGE(Rankings!AH2:AH651))/STDEV(Rankings!AH2:AH651)</f>
        <v>-0.46414446215037364</v>
      </c>
      <c r="AB415" s="121">
        <f>(VLOOKUP($A415,Pitchers!$A1:$S251,10,FALSE)-AVERAGE(Rankings!AI2:AI651))/STDEV(Rankings!AI2:AI651)*-1</f>
        <v>-1.0971882556494887</v>
      </c>
      <c r="AC415" s="121">
        <f>(VLOOKUP($A415,Pitchers!$A1:$S251,11,FALSE)-AVERAGE(Rankings!AJ2:AJ651))/STDEV(Rankings!AJ2:AJ651)*-1</f>
        <v>-1.5831657243268384</v>
      </c>
      <c r="AD415" s="121">
        <f>(VLOOKUP($A415,Pitchers!$A1:$S251,12,FALSE)-AVERAGE(Rankings!AK2:AK651))/STDEV(Rankings!AK2:AK651)*-1</f>
        <v>-1.0648466966466978</v>
      </c>
      <c r="AE415" s="121">
        <f>IFERROR((VLOOKUP($A415,Pitchers!$A1:$S251,13,FALSE)-AVERAGE(Rankings!AL2:AL651))/STDEV(Rankings!AL2:AL651)*-1,0)</f>
        <v>-0.76452258259647921</v>
      </c>
      <c r="AF415" s="121">
        <f>(VLOOKUP($A415,Pitchers!$A1:$S251,14,FALSE)-AVERAGE(Rankings!AM2:AM651))/STDEV(Rankings!AM2:AM651)</f>
        <v>-0.58770456529081416</v>
      </c>
      <c r="AG415" s="121">
        <f>(VLOOKUP($A415,Pitchers!$A1:$S251,15,FALSE)-AVERAGE(Rankings!AN2:AN651))/STDEV(Rankings!AN2:AN651)</f>
        <v>1.1189044148607816</v>
      </c>
      <c r="AH415" s="121">
        <f>(VLOOKUP($A415,Pitchers!$A1:$S251,16,FALSE)-AVERAGE(Rankings!AO2:AO651))/STDEV(Rankings!AO2:AO651)*-1</f>
        <v>-1.4201214203813453</v>
      </c>
      <c r="AI415" s="121">
        <f>IFERROR((VLOOKUP($A415,Pitchers!$A1:$S251,17,FALSE)-AVERAGE(Rankings!AP2:AP651))/STDEV(Rankings!AP2:AP651),0)</f>
        <v>2.0258948126297507</v>
      </c>
      <c r="AJ415" s="121">
        <f>(VLOOKUP($A415,Pitchers!$A1:$S251,18,FALSE)-AVERAGE(Rankings!AQ2:AQ651))/STDEV(Rankings!AQ2:AQ651)</f>
        <v>-0.68467156957913733</v>
      </c>
      <c r="AK415" s="121">
        <f>IFERROR((VLOOKUP($A415,Pitchers!$A1:$S251,19,FALSE)-AVERAGE(Rankings!AR2:AR651))/STDEV(Rankings!AR2:AR651)*-1,0)</f>
        <v>0.47041511698728217</v>
      </c>
    </row>
    <row r="416" spans="1:37" ht="18.600000000000001" customHeight="1">
      <c r="A416" s="25" t="s">
        <v>149</v>
      </c>
      <c r="B416" s="26" t="s">
        <v>95</v>
      </c>
      <c r="C416" s="130" t="s">
        <v>31</v>
      </c>
      <c r="D416" s="67">
        <f>(V416*Settings!$G$2)+(Y416*Settings!$G$5)+(Z416*Settings!$G$6)+(AA416*Settings!$G$7)+(AB416*Settings!$G$8)+(AC416*Settings!$G$9)+(AD416*Settings!$G$10)+(AE416*Settings!$G$11)+(AF416*Settings!$G$12)+(AG416*Settings!$G$13)+(AH416*Settings!$G$14)+(AI416*Settings!$G$15)+(AJ416*Settings!$G$16)+(AK416*Settings!$G$17)+(W416*Settings!$G$3)+(X416*Settings!$G$4)</f>
        <v>4.3395273173211493</v>
      </c>
      <c r="E416" s="67"/>
      <c r="F416" s="67"/>
      <c r="G416" s="67"/>
      <c r="H416" s="67"/>
      <c r="I416" s="67"/>
      <c r="J416" s="67"/>
      <c r="K416" s="73"/>
      <c r="L416" s="73"/>
      <c r="M416" s="67"/>
      <c r="N416" s="67"/>
      <c r="O416" s="67"/>
      <c r="P416" s="67"/>
      <c r="Q416" s="67"/>
      <c r="R416" s="73"/>
      <c r="S416" s="73"/>
      <c r="T416" s="67"/>
      <c r="U416" s="67"/>
      <c r="V416" s="121">
        <f>(VLOOKUP($A416,Pitchers!$A1:$S251,4,FALSE)-AVERAGE(Rankings!AC2:AC651))/STDEV(Rankings!AC2:AC651)</f>
        <v>1.344954138584018</v>
      </c>
      <c r="W416" s="121">
        <f>(VLOOKUP($A416,Pitchers!$A1:$S251,5,FALSE)-AVERAGE(Rankings!AD2:AD651))/STDEV(Rankings!AD2:AD651)*-1</f>
        <v>0.64598483547810859</v>
      </c>
      <c r="X416" s="121">
        <f>(VLOOKUP($A416,Pitchers!$A1:$S251,6,FALSE)-AVERAGE(Rankings!AE2:AE651))/STDEV(Rankings!AE2:AE651)*-1</f>
        <v>0.71806996856132688</v>
      </c>
      <c r="Y416" s="121">
        <f>(VLOOKUP($A416,Pitchers!$A1:$S251,7,FALSE)-AVERAGE(Rankings!AF2:AF651))/STDEV(Rankings!AF2:AF651)</f>
        <v>1.8682301812932933</v>
      </c>
      <c r="Z416" s="121">
        <f>(VLOOKUP($A416,Pitchers!$A1:$S251,8,FALSE)-AVERAGE(Rankings!AG2:AG651))/STDEV(Rankings!AG2:AG651)</f>
        <v>1.571386794138794</v>
      </c>
      <c r="AA416" s="121">
        <f>(VLOOKUP($A416,Pitchers!$A1:$S251,9,FALSE)-AVERAGE(Rankings!AH2:AH651))/STDEV(Rankings!AH2:AH651)</f>
        <v>-0.46414446215037364</v>
      </c>
      <c r="AB416" s="121">
        <f>(VLOOKUP($A416,Pitchers!$A1:$S251,10,FALSE)-AVERAGE(Rankings!AI2:AI651))/STDEV(Rankings!AI2:AI651)*-1</f>
        <v>-0.84947368606909746</v>
      </c>
      <c r="AC416" s="121">
        <f>(VLOOKUP($A416,Pitchers!$A1:$S251,11,FALSE)-AVERAGE(Rankings!AJ2:AJ651))/STDEV(Rankings!AJ2:AJ651)*-1</f>
        <v>-1.332213569042336</v>
      </c>
      <c r="AD416" s="121">
        <f>(VLOOKUP($A416,Pitchers!$A1:$S251,12,FALSE)-AVERAGE(Rankings!AK2:AK651))/STDEV(Rankings!AK2:AK651)*-1</f>
        <v>-0.13494635636327346</v>
      </c>
      <c r="AE416" s="121">
        <f>IFERROR((VLOOKUP($A416,Pitchers!$A1:$S251,13,FALSE)-AVERAGE(Rankings!AL2:AL651))/STDEV(Rankings!AL2:AL651)*-1,0)</f>
        <v>-1.296549432002519</v>
      </c>
      <c r="AF416" s="121">
        <f>(VLOOKUP($A416,Pitchers!$A1:$S251,14,FALSE)-AVERAGE(Rankings!AM2:AM651))/STDEV(Rankings!AM2:AM651)</f>
        <v>-0.56590262033312599</v>
      </c>
      <c r="AG416" s="121">
        <f>(VLOOKUP($A416,Pitchers!$A1:$S251,15,FALSE)-AVERAGE(Rankings!AN2:AN651))/STDEV(Rankings!AN2:AN651)</f>
        <v>1.1448765959039913</v>
      </c>
      <c r="AH416" s="121">
        <f>(VLOOKUP($A416,Pitchers!$A1:$S251,16,FALSE)-AVERAGE(Rankings!AO2:AO651))/STDEV(Rankings!AO2:AO651)*-1</f>
        <v>-0.79383304348440709</v>
      </c>
      <c r="AI416" s="121">
        <f>IFERROR((VLOOKUP($A416,Pitchers!$A1:$S251,17,FALSE)-AVERAGE(Rankings!AP2:AP651))/STDEV(Rankings!AP2:AP651),0)</f>
        <v>1.3095246525767978</v>
      </c>
      <c r="AJ416" s="121">
        <f>(VLOOKUP($A416,Pitchers!$A1:$S251,18,FALSE)-AVERAGE(Rankings!AQ2:AQ651))/STDEV(Rankings!AQ2:AQ651)</f>
        <v>-0.68467156957913733</v>
      </c>
      <c r="AK416" s="121">
        <f>IFERROR((VLOOKUP($A416,Pitchers!$A1:$S251,19,FALSE)-AVERAGE(Rankings!AR2:AR651))/STDEV(Rankings!AR2:AR651)*-1,0)</f>
        <v>0.47041511698728217</v>
      </c>
    </row>
    <row r="417" spans="1:37" ht="18.600000000000001" customHeight="1">
      <c r="A417" s="25" t="s">
        <v>145</v>
      </c>
      <c r="B417" s="26" t="s">
        <v>64</v>
      </c>
      <c r="C417" s="130" t="s">
        <v>31</v>
      </c>
      <c r="D417" s="67">
        <f>(V417*Settings!$G$2)+(Y417*Settings!$G$5)+(Z417*Settings!$G$6)+(AA417*Settings!$G$7)+(AB417*Settings!$G$8)+(AC417*Settings!$G$9)+(AD417*Settings!$G$10)+(AE417*Settings!$G$11)+(AF417*Settings!$G$12)+(AG417*Settings!$G$13)+(AH417*Settings!$G$14)+(AI417*Settings!$G$15)+(AJ417*Settings!$G$16)+(AK417*Settings!$G$17)+(W417*Settings!$G$3)+(X417*Settings!$G$4)</f>
        <v>4.6143334269568284</v>
      </c>
      <c r="E417" s="67"/>
      <c r="F417" s="67"/>
      <c r="G417" s="67"/>
      <c r="H417" s="67"/>
      <c r="I417" s="67"/>
      <c r="J417" s="67"/>
      <c r="K417" s="73"/>
      <c r="L417" s="73"/>
      <c r="M417" s="67"/>
      <c r="N417" s="67"/>
      <c r="O417" s="67"/>
      <c r="P417" s="67"/>
      <c r="Q417" s="67"/>
      <c r="R417" s="73"/>
      <c r="S417" s="73"/>
      <c r="T417" s="67"/>
      <c r="U417" s="67"/>
      <c r="V417" s="121">
        <f>(VLOOKUP($A417,Pitchers!$A1:$S251,4,FALSE)-AVERAGE(Rankings!AC2:AC651))/STDEV(Rankings!AC2:AC651)</f>
        <v>1.5679638851866016</v>
      </c>
      <c r="W417" s="121">
        <f>(VLOOKUP($A417,Pitchers!$A1:$S251,5,FALSE)-AVERAGE(Rankings!AD2:AD651))/STDEV(Rankings!AD2:AD651)*-1</f>
        <v>0.17437339618668601</v>
      </c>
      <c r="X417" s="121">
        <f>(VLOOKUP($A417,Pitchers!$A1:$S251,6,FALSE)-AVERAGE(Rankings!AE2:AE651))/STDEV(Rankings!AE2:AE651)*-1</f>
        <v>1.2473067563037548</v>
      </c>
      <c r="Y417" s="121">
        <f>(VLOOKUP($A417,Pitchers!$A1:$S251,7,FALSE)-AVERAGE(Rankings!AF2:AF651))/STDEV(Rankings!AF2:AF651)</f>
        <v>1.7230104180055117</v>
      </c>
      <c r="Z417" s="121">
        <f>(VLOOKUP($A417,Pitchers!$A1:$S251,8,FALSE)-AVERAGE(Rankings!AG2:AG651))/STDEV(Rankings!AG2:AG651)</f>
        <v>1.93378731861125</v>
      </c>
      <c r="AA417" s="121">
        <f>(VLOOKUP($A417,Pitchers!$A1:$S251,9,FALSE)-AVERAGE(Rankings!AH2:AH651))/STDEV(Rankings!AH2:AH651)</f>
        <v>-0.46414446215037364</v>
      </c>
      <c r="AB417" s="121">
        <f>(VLOOKUP($A417,Pitchers!$A1:$S251,10,FALSE)-AVERAGE(Rankings!AI2:AI651))/STDEV(Rankings!AI2:AI651)*-1</f>
        <v>-1.259428084077383</v>
      </c>
      <c r="AC417" s="121">
        <f>(VLOOKUP($A417,Pitchers!$A1:$S251,11,FALSE)-AVERAGE(Rankings!AJ2:AJ651))/STDEV(Rankings!AJ2:AJ651)*-1</f>
        <v>-1.2440604040132193</v>
      </c>
      <c r="AD417" s="121">
        <f>(VLOOKUP($A417,Pitchers!$A1:$S251,12,FALSE)-AVERAGE(Rankings!AK2:AK651))/STDEV(Rankings!AK2:AK651)*-1</f>
        <v>-0.60599823477456161</v>
      </c>
      <c r="AE417" s="121">
        <f>IFERROR((VLOOKUP($A417,Pitchers!$A1:$S251,13,FALSE)-AVERAGE(Rankings!AL2:AL651))/STDEV(Rankings!AL2:AL651)*-1,0)</f>
        <v>-1.562562856705539</v>
      </c>
      <c r="AF417" s="121">
        <f>(VLOOKUP($A417,Pitchers!$A1:$S251,14,FALSE)-AVERAGE(Rankings!AM2:AM651))/STDEV(Rankings!AM2:AM651)</f>
        <v>-0.63130845520618994</v>
      </c>
      <c r="AG417" s="121">
        <f>(VLOOKUP($A417,Pitchers!$A1:$S251,15,FALSE)-AVERAGE(Rankings!AN2:AN651))/STDEV(Rankings!AN2:AN651)</f>
        <v>1.066960052774363</v>
      </c>
      <c r="AH417" s="121">
        <f>(VLOOKUP($A417,Pitchers!$A1:$S251,16,FALSE)-AVERAGE(Rankings!AO2:AO651))/STDEV(Rankings!AO2:AO651)*-1</f>
        <v>-1.0944514643949375</v>
      </c>
      <c r="AI417" s="121">
        <f>IFERROR((VLOOKUP($A417,Pitchers!$A1:$S251,17,FALSE)-AVERAGE(Rankings!AP2:AP651))/STDEV(Rankings!AP2:AP651),0)</f>
        <v>1.4527986845873886</v>
      </c>
      <c r="AJ417" s="121">
        <f>(VLOOKUP($A417,Pitchers!$A1:$S251,18,FALSE)-AVERAGE(Rankings!AQ2:AQ651))/STDEV(Rankings!AQ2:AQ651)</f>
        <v>-0.68467156957913733</v>
      </c>
      <c r="AK417" s="121">
        <f>IFERROR((VLOOKUP($A417,Pitchers!$A1:$S251,19,FALSE)-AVERAGE(Rankings!AR2:AR651))/STDEV(Rankings!AR2:AR651)*-1,0)</f>
        <v>0.47041511698728217</v>
      </c>
    </row>
    <row r="418" spans="1:37" ht="18.600000000000001" customHeight="1">
      <c r="A418" s="25" t="s">
        <v>154</v>
      </c>
      <c r="B418" s="26" t="s">
        <v>79</v>
      </c>
      <c r="C418" s="130" t="s">
        <v>31</v>
      </c>
      <c r="D418" s="67">
        <f>(V418*Settings!$G$2)+(Y418*Settings!$G$5)+(Z418*Settings!$G$6)+(AA418*Settings!$G$7)+(AB418*Settings!$G$8)+(AC418*Settings!$G$9)+(AD418*Settings!$G$10)+(AE418*Settings!$G$11)+(AF418*Settings!$G$12)+(AG418*Settings!$G$13)+(AH418*Settings!$G$14)+(AI418*Settings!$G$15)+(AJ418*Settings!$G$16)+(AK418*Settings!$G$17)+(W418*Settings!$G$3)+(X418*Settings!$G$4)</f>
        <v>4.2345708170488372</v>
      </c>
      <c r="E418" s="67"/>
      <c r="F418" s="67"/>
      <c r="G418" s="67"/>
      <c r="H418" s="67"/>
      <c r="I418" s="67"/>
      <c r="J418" s="67"/>
      <c r="K418" s="73"/>
      <c r="L418" s="73"/>
      <c r="M418" s="67"/>
      <c r="N418" s="67"/>
      <c r="O418" s="67"/>
      <c r="P418" s="67"/>
      <c r="Q418" s="67"/>
      <c r="R418" s="73"/>
      <c r="S418" s="73"/>
      <c r="T418" s="67"/>
      <c r="U418" s="67"/>
      <c r="V418" s="121">
        <f>(VLOOKUP($A418,Pitchers!$A1:$S251,4,FALSE)-AVERAGE(Rankings!AC2:AC651))/STDEV(Rankings!AC2:AC651)</f>
        <v>1.0485487791755228</v>
      </c>
      <c r="W418" s="121">
        <f>(VLOOKUP($A418,Pitchers!$A1:$S251,5,FALSE)-AVERAGE(Rankings!AD2:AD651))/STDEV(Rankings!AD2:AD651)*-1</f>
        <v>0.35685184160485584</v>
      </c>
      <c r="X418" s="121">
        <f>(VLOOKUP($A418,Pitchers!$A1:$S251,6,FALSE)-AVERAGE(Rankings!AE2:AE651))/STDEV(Rankings!AE2:AE651)*-1</f>
        <v>1.1244395481563183</v>
      </c>
      <c r="Y418" s="121">
        <f>(VLOOKUP($A418,Pitchers!$A1:$S251,7,FALSE)-AVERAGE(Rankings!AF2:AF651))/STDEV(Rankings!AF2:AF651)</f>
        <v>1.8675040824768545</v>
      </c>
      <c r="Z418" s="121">
        <f>(VLOOKUP($A418,Pitchers!$A1:$S251,8,FALSE)-AVERAGE(Rankings!AG2:AG651))/STDEV(Rankings!AG2:AG651)</f>
        <v>1.349919806961182</v>
      </c>
      <c r="AA418" s="121">
        <f>(VLOOKUP($A418,Pitchers!$A1:$S251,9,FALSE)-AVERAGE(Rankings!AH2:AH651))/STDEV(Rankings!AH2:AH651)</f>
        <v>-0.46414446215037364</v>
      </c>
      <c r="AB418" s="121">
        <f>(VLOOKUP($A418,Pitchers!$A1:$S251,10,FALSE)-AVERAGE(Rankings!AI2:AI651))/STDEV(Rankings!AI2:AI651)*-1</f>
        <v>-0.73384552252829849</v>
      </c>
      <c r="AC418" s="121">
        <f>(VLOOKUP($A418,Pitchers!$A1:$S251,11,FALSE)-AVERAGE(Rankings!AJ2:AJ651))/STDEV(Rankings!AJ2:AJ651)*-1</f>
        <v>-0.325561297419517</v>
      </c>
      <c r="AD418" s="121">
        <f>(VLOOKUP($A418,Pitchers!$A1:$S251,12,FALSE)-AVERAGE(Rankings!AK2:AK651))/STDEV(Rankings!AK2:AK651)*-1</f>
        <v>-1.9410520041578512</v>
      </c>
      <c r="AE418" s="121">
        <f>IFERROR((VLOOKUP($A418,Pitchers!$A1:$S251,13,FALSE)-AVERAGE(Rankings!AL2:AL651))/STDEV(Rankings!AL2:AL651)*-1,0)</f>
        <v>-1.296549432002519</v>
      </c>
      <c r="AF418" s="121">
        <f>(VLOOKUP($A418,Pitchers!$A1:$S251,14,FALSE)-AVERAGE(Rankings!AM2:AM651))/STDEV(Rankings!AM2:AM651)</f>
        <v>-0.68799351209617865</v>
      </c>
      <c r="AG418" s="121">
        <f>(VLOOKUP($A418,Pitchers!$A1:$S251,15,FALSE)-AVERAGE(Rankings!AN2:AN651))/STDEV(Rankings!AN2:AN651)</f>
        <v>0.97346020101880892</v>
      </c>
      <c r="AH418" s="121">
        <f>(VLOOKUP($A418,Pitchers!$A1:$S251,16,FALSE)-AVERAGE(Rankings!AO2:AO651))/STDEV(Rankings!AO2:AO651)*-1</f>
        <v>-0.51826615764975481</v>
      </c>
      <c r="AI418" s="121">
        <f>IFERROR((VLOOKUP($A418,Pitchers!$A1:$S251,17,FALSE)-AVERAGE(Rankings!AP2:AP651))/STDEV(Rankings!AP2:AP651),0)</f>
        <v>1.0229765885556166</v>
      </c>
      <c r="AJ418" s="121">
        <f>(VLOOKUP($A418,Pitchers!$A1:$S251,18,FALSE)-AVERAGE(Rankings!AQ2:AQ651))/STDEV(Rankings!AQ2:AQ651)</f>
        <v>-0.68467156957913733</v>
      </c>
      <c r="AK418" s="121">
        <f>IFERROR((VLOOKUP($A418,Pitchers!$A1:$S251,19,FALSE)-AVERAGE(Rankings!AR2:AR651))/STDEV(Rankings!AR2:AR651)*-1,0)</f>
        <v>0.47041511698728217</v>
      </c>
    </row>
    <row r="419" spans="1:37" ht="18.600000000000001" customHeight="1">
      <c r="A419" s="25" t="s">
        <v>191</v>
      </c>
      <c r="B419" s="26" t="s">
        <v>72</v>
      </c>
      <c r="C419" s="130" t="s">
        <v>31</v>
      </c>
      <c r="D419" s="67">
        <f>(V419*Settings!$G$2)+(Y419*Settings!$G$5)+(Z419*Settings!$G$6)+(AA419*Settings!$G$7)+(AB419*Settings!$G$8)+(AC419*Settings!$G$9)+(AD419*Settings!$G$10)+(AE419*Settings!$G$11)+(AF419*Settings!$G$12)+(AG419*Settings!$G$13)+(AH419*Settings!$G$14)+(AI419*Settings!$G$15)+(AJ419*Settings!$G$16)+(AK419*Settings!$G$17)+(W419*Settings!$G$3)+(X419*Settings!$G$4)</f>
        <v>3.1636833792341559</v>
      </c>
      <c r="E419" s="67"/>
      <c r="F419" s="67"/>
      <c r="G419" s="67"/>
      <c r="H419" s="67"/>
      <c r="I419" s="67"/>
      <c r="J419" s="67"/>
      <c r="K419" s="73"/>
      <c r="L419" s="73"/>
      <c r="M419" s="67"/>
      <c r="N419" s="67"/>
      <c r="O419" s="67"/>
      <c r="P419" s="67"/>
      <c r="Q419" s="67"/>
      <c r="R419" s="73"/>
      <c r="S419" s="73"/>
      <c r="T419" s="67"/>
      <c r="U419" s="67"/>
      <c r="V419" s="121">
        <f>(VLOOKUP($A419,Pitchers!$A1:$S251,4,FALSE)-AVERAGE(Rankings!AC2:AC651))/STDEV(Rankings!AC2:AC651)</f>
        <v>1.4882167289647905</v>
      </c>
      <c r="W419" s="121">
        <f>(VLOOKUP($A419,Pitchers!$A1:$S251,5,FALSE)-AVERAGE(Rankings!AD2:AD651))/STDEV(Rankings!AD2:AD651)*-1</f>
        <v>-8.5222003392450743E-2</v>
      </c>
      <c r="X419" s="121">
        <f>(VLOOKUP($A419,Pitchers!$A1:$S251,6,FALSE)-AVERAGE(Rankings!AE2:AE651))/STDEV(Rankings!AE2:AE651)*-1</f>
        <v>0.16148661412940019</v>
      </c>
      <c r="Y419" s="121">
        <f>(VLOOKUP($A419,Pitchers!$A1:$S251,7,FALSE)-AVERAGE(Rankings!AF2:AF651))/STDEV(Rankings!AF2:AF651)</f>
        <v>2.1412433362743224</v>
      </c>
      <c r="Z419" s="121">
        <f>(VLOOKUP($A419,Pitchers!$A1:$S251,8,FALSE)-AVERAGE(Rankings!AG2:AG651))/STDEV(Rankings!AG2:AG651)</f>
        <v>1.4103198943732573</v>
      </c>
      <c r="AA419" s="121">
        <f>(VLOOKUP($A419,Pitchers!$A1:$S251,9,FALSE)-AVERAGE(Rankings!AH2:AH651))/STDEV(Rankings!AH2:AH651)</f>
        <v>-0.46414446215037364</v>
      </c>
      <c r="AB419" s="121">
        <f>(VLOOKUP($A419,Pitchers!$A1:$S251,10,FALSE)-AVERAGE(Rankings!AI2:AI651))/STDEV(Rankings!AI2:AI651)*-1</f>
        <v>-1.3149896691554293</v>
      </c>
      <c r="AC419" s="121">
        <f>(VLOOKUP($A419,Pitchers!$A1:$S251,11,FALSE)-AVERAGE(Rankings!AJ2:AJ651))/STDEV(Rankings!AJ2:AJ651)*-1</f>
        <v>-1.2127802486803068</v>
      </c>
      <c r="AD419" s="121">
        <f>(VLOOKUP($A419,Pitchers!$A1:$S251,12,FALSE)-AVERAGE(Rankings!AK2:AK651))/STDEV(Rankings!AK2:AK651)*-1</f>
        <v>-1.8483060384602914</v>
      </c>
      <c r="AE419" s="121">
        <f>IFERROR((VLOOKUP($A419,Pitchers!$A1:$S251,13,FALSE)-AVERAGE(Rankings!AL2:AL651))/STDEV(Rankings!AL2:AL651)*-1,0)</f>
        <v>-1.6955695690570489</v>
      </c>
      <c r="AF419" s="121">
        <f>(VLOOKUP($A419,Pitchers!$A1:$S251,14,FALSE)-AVERAGE(Rankings!AM2:AM651))/STDEV(Rankings!AM2:AM651)</f>
        <v>-0.54410067537543816</v>
      </c>
      <c r="AG419" s="121">
        <f>(VLOOKUP($A419,Pitchers!$A1:$S251,15,FALSE)-AVERAGE(Rankings!AN2:AN651))/STDEV(Rankings!AN2:AN651)</f>
        <v>1.1708487769472007</v>
      </c>
      <c r="AH419" s="121">
        <f>(VLOOKUP($A419,Pitchers!$A1:$S251,16,FALSE)-AVERAGE(Rankings!AO2:AO651))/STDEV(Rankings!AO2:AO651)*-1</f>
        <v>-1.4326471879192832</v>
      </c>
      <c r="AI419" s="121">
        <f>IFERROR((VLOOKUP($A419,Pitchers!$A1:$S251,17,FALSE)-AVERAGE(Rankings!AP2:AP651))/STDEV(Rankings!AP2:AP651),0)</f>
        <v>1.4527986845873886</v>
      </c>
      <c r="AJ419" s="121">
        <f>(VLOOKUP($A419,Pitchers!$A1:$S251,18,FALSE)-AVERAGE(Rankings!AQ2:AQ651))/STDEV(Rankings!AQ2:AQ651)</f>
        <v>-0.68467156957913733</v>
      </c>
      <c r="AK419" s="121">
        <f>IFERROR((VLOOKUP($A419,Pitchers!$A1:$S251,19,FALSE)-AVERAGE(Rankings!AR2:AR651))/STDEV(Rankings!AR2:AR651)*-1,0)</f>
        <v>0.47041511698728217</v>
      </c>
    </row>
    <row r="420" spans="1:37" ht="18.600000000000001" customHeight="1">
      <c r="A420" s="25" t="s">
        <v>164</v>
      </c>
      <c r="B420" s="26" t="s">
        <v>122</v>
      </c>
      <c r="C420" s="130" t="s">
        <v>31</v>
      </c>
      <c r="D420" s="67">
        <f>(V420*Settings!$G$2)+(Y420*Settings!$G$5)+(Z420*Settings!$G$6)+(AA420*Settings!$G$7)+(AB420*Settings!$G$8)+(AC420*Settings!$G$9)+(AD420*Settings!$G$10)+(AE420*Settings!$G$11)+(AF420*Settings!$G$12)+(AG420*Settings!$G$13)+(AH420*Settings!$G$14)+(AI420*Settings!$G$15)+(AJ420*Settings!$G$16)+(AK420*Settings!$G$17)+(W420*Settings!$G$3)+(X420*Settings!$G$4)</f>
        <v>3.9079555408142506</v>
      </c>
      <c r="E420" s="67"/>
      <c r="F420" s="67"/>
      <c r="G420" s="67"/>
      <c r="H420" s="67"/>
      <c r="I420" s="67"/>
      <c r="J420" s="67"/>
      <c r="K420" s="73"/>
      <c r="L420" s="73"/>
      <c r="M420" s="67"/>
      <c r="N420" s="67"/>
      <c r="O420" s="67"/>
      <c r="P420" s="67"/>
      <c r="Q420" s="67"/>
      <c r="R420" s="73"/>
      <c r="S420" s="73"/>
      <c r="T420" s="67"/>
      <c r="U420" s="67"/>
      <c r="V420" s="121">
        <f>(VLOOKUP($A420,Pitchers!$A1:$S251,4,FALSE)-AVERAGE(Rankings!AC2:AC651))/STDEV(Rankings!AC2:AC651)</f>
        <v>1.4225841136671953</v>
      </c>
      <c r="W420" s="121">
        <f>(VLOOKUP($A420,Pitchers!$A1:$S251,5,FALSE)-AVERAGE(Rankings!AD2:AD651))/STDEV(Rankings!AD2:AD651)*-1</f>
        <v>0.58088008910395283</v>
      </c>
      <c r="X420" s="121">
        <f>(VLOOKUP($A420,Pitchers!$A1:$S251,6,FALSE)-AVERAGE(Rankings!AE2:AE651))/STDEV(Rankings!AE2:AE651)*-1</f>
        <v>0.88308578493650802</v>
      </c>
      <c r="Y420" s="121">
        <f>(VLOOKUP($A420,Pitchers!$A1:$S251,7,FALSE)-AVERAGE(Rankings!AF2:AF651))/STDEV(Rankings!AF2:AF651)</f>
        <v>1.7092145404931713</v>
      </c>
      <c r="Z420" s="121">
        <f>(VLOOKUP($A420,Pitchers!$A1:$S251,8,FALSE)-AVERAGE(Rankings!AG2:AG651))/STDEV(Rankings!AG2:AG651)</f>
        <v>1.1989195884309918</v>
      </c>
      <c r="AA420" s="121">
        <f>(VLOOKUP($A420,Pitchers!$A1:$S251,9,FALSE)-AVERAGE(Rankings!AH2:AH651))/STDEV(Rankings!AH2:AH651)</f>
        <v>-0.46414446215037364</v>
      </c>
      <c r="AB420" s="121">
        <f>(VLOOKUP($A420,Pitchers!$A1:$S251,10,FALSE)-AVERAGE(Rankings!AI2:AI651))/STDEV(Rankings!AI2:AI651)*-1</f>
        <v>-0.94257688268636375</v>
      </c>
      <c r="AC420" s="121">
        <f>(VLOOKUP($A420,Pitchers!$A1:$S251,11,FALSE)-AVERAGE(Rankings!AJ2:AJ651))/STDEV(Rankings!AJ2:AJ651)*-1</f>
        <v>-0.96964813222903246</v>
      </c>
      <c r="AD420" s="121">
        <f>(VLOOKUP($A420,Pitchers!$A1:$S251,12,FALSE)-AVERAGE(Rankings!AK2:AK651))/STDEV(Rankings!AK2:AK651)*-1</f>
        <v>-1.4724408090543928</v>
      </c>
      <c r="AE420" s="121">
        <f>IFERROR((VLOOKUP($A420,Pitchers!$A1:$S251,13,FALSE)-AVERAGE(Rankings!AL2:AL651))/STDEV(Rankings!AL2:AL651)*-1,0)</f>
        <v>-0.76452258259647921</v>
      </c>
      <c r="AF420" s="121">
        <f>(VLOOKUP($A420,Pitchers!$A1:$S251,14,FALSE)-AVERAGE(Rankings!AM2:AM651))/STDEV(Rankings!AM2:AM651)</f>
        <v>-0.56590262033312599</v>
      </c>
      <c r="AG420" s="121">
        <f>(VLOOKUP($A420,Pitchers!$A1:$S251,15,FALSE)-AVERAGE(Rankings!AN2:AN651))/STDEV(Rankings!AN2:AN651)</f>
        <v>1.1448765959039913</v>
      </c>
      <c r="AH420" s="121">
        <f>(VLOOKUP($A420,Pitchers!$A1:$S251,16,FALSE)-AVERAGE(Rankings!AO2:AO651))/STDEV(Rankings!AO2:AO651)*-1</f>
        <v>-0.83141034609822395</v>
      </c>
      <c r="AI420" s="121">
        <f>IFERROR((VLOOKUP($A420,Pitchers!$A1:$S251,17,FALSE)-AVERAGE(Rankings!AP2:AP651))/STDEV(Rankings!AP2:AP651),0)</f>
        <v>1.3095246525767978</v>
      </c>
      <c r="AJ420" s="121">
        <f>(VLOOKUP($A420,Pitchers!$A1:$S251,18,FALSE)-AVERAGE(Rankings!AQ2:AQ651))/STDEV(Rankings!AQ2:AQ651)</f>
        <v>-0.68467156957913733</v>
      </c>
      <c r="AK420" s="121">
        <f>IFERROR((VLOOKUP($A420,Pitchers!$A1:$S251,19,FALSE)-AVERAGE(Rankings!AR2:AR651))/STDEV(Rankings!AR2:AR651)*-1,0)</f>
        <v>0.47041511698728217</v>
      </c>
    </row>
    <row r="421" spans="1:37" ht="18.600000000000001" customHeight="1">
      <c r="A421" s="25" t="s">
        <v>146</v>
      </c>
      <c r="B421" s="26" t="s">
        <v>92</v>
      </c>
      <c r="C421" s="130" t="s">
        <v>31</v>
      </c>
      <c r="D421" s="67">
        <f>(V421*Settings!$G$2)+(Y421*Settings!$G$5)+(Z421*Settings!$G$6)+(AA421*Settings!$G$7)+(AB421*Settings!$G$8)+(AC421*Settings!$G$9)+(AD421*Settings!$G$10)+(AE421*Settings!$G$11)+(AF421*Settings!$G$12)+(AG421*Settings!$G$13)+(AH421*Settings!$G$14)+(AI421*Settings!$G$15)+(AJ421*Settings!$G$16)+(AK421*Settings!$G$17)+(W421*Settings!$G$3)+(X421*Settings!$G$4)</f>
        <v>4.5705316197169141</v>
      </c>
      <c r="E421" s="67"/>
      <c r="F421" s="67"/>
      <c r="G421" s="67"/>
      <c r="H421" s="67"/>
      <c r="I421" s="67"/>
      <c r="J421" s="67"/>
      <c r="K421" s="73"/>
      <c r="L421" s="73"/>
      <c r="M421" s="67"/>
      <c r="N421" s="67"/>
      <c r="O421" s="67"/>
      <c r="P421" s="67"/>
      <c r="Q421" s="67"/>
      <c r="R421" s="73"/>
      <c r="S421" s="73"/>
      <c r="T421" s="67"/>
      <c r="U421" s="67"/>
      <c r="V421" s="121">
        <f>(VLOOKUP($A421,Pitchers!$A1:$S251,4,FALSE)-AVERAGE(Rankings!AC2:AC651))/STDEV(Rankings!AC2:AC651)</f>
        <v>1.3146078755969584</v>
      </c>
      <c r="W421" s="121">
        <f>(VLOOKUP($A421,Pitchers!$A1:$S251,5,FALSE)-AVERAGE(Rankings!AD2:AD651))/STDEV(Rankings!AD2:AD651)*-1</f>
        <v>0.97988535748417183</v>
      </c>
      <c r="X421" s="121">
        <f>(VLOOKUP($A421,Pitchers!$A1:$S251,6,FALSE)-AVERAGE(Rankings!AE2:AE651))/STDEV(Rankings!AE2:AE651)*-1</f>
        <v>1.0460464536836971</v>
      </c>
      <c r="Y421" s="121">
        <f>(VLOOKUP($A421,Pitchers!$A1:$S251,7,FALSE)-AVERAGE(Rankings!AF2:AF651))/STDEV(Rankings!AF2:AF651)</f>
        <v>1.4071574328545862</v>
      </c>
      <c r="Z421" s="121">
        <f>(VLOOKUP($A421,Pitchers!$A1:$S251,8,FALSE)-AVERAGE(Rankings!AG2:AG651))/STDEV(Rankings!AG2:AG651)</f>
        <v>1.6015868378448324</v>
      </c>
      <c r="AA421" s="121">
        <f>(VLOOKUP($A421,Pitchers!$A1:$S251,9,FALSE)-AVERAGE(Rankings!AH2:AH651))/STDEV(Rankings!AH2:AH651)</f>
        <v>-0.46414446215037364</v>
      </c>
      <c r="AB421" s="121">
        <f>(VLOOKUP($A421,Pitchers!$A1:$S251,10,FALSE)-AVERAGE(Rankings!AI2:AI651))/STDEV(Rankings!AI2:AI651)*-1</f>
        <v>-0.6722772796039771</v>
      </c>
      <c r="AC421" s="121">
        <f>(VLOOKUP($A421,Pitchers!$A1:$S251,11,FALSE)-AVERAGE(Rankings!AJ2:AJ651))/STDEV(Rankings!AJ2:AJ651)*-1</f>
        <v>-1.1061433554999234</v>
      </c>
      <c r="AD421" s="121">
        <f>(VLOOKUP($A421,Pitchers!$A1:$S251,12,FALSE)-AVERAGE(Rankings!AK2:AK651))/STDEV(Rankings!AK2:AK651)*-1</f>
        <v>-0.37657400383849371</v>
      </c>
      <c r="AE421" s="121">
        <f>IFERROR((VLOOKUP($A421,Pitchers!$A1:$S251,13,FALSE)-AVERAGE(Rankings!AL2:AL651))/STDEV(Rankings!AL2:AL651)*-1,0)</f>
        <v>-0.76452258259647921</v>
      </c>
      <c r="AF421" s="121">
        <f>(VLOOKUP($A421,Pitchers!$A1:$S251,14,FALSE)-AVERAGE(Rankings!AM2:AM651))/STDEV(Rankings!AM2:AM651)</f>
        <v>-0.67491234512156595</v>
      </c>
      <c r="AG421" s="121">
        <f>(VLOOKUP($A421,Pitchers!$A1:$S251,15,FALSE)-AVERAGE(Rankings!AN2:AN651))/STDEV(Rankings!AN2:AN651)</f>
        <v>1.015015690687944</v>
      </c>
      <c r="AH421" s="121">
        <f>(VLOOKUP($A421,Pitchers!$A1:$S251,16,FALSE)-AVERAGE(Rankings!AO2:AO651))/STDEV(Rankings!AO2:AO651)*-1</f>
        <v>-0.756255740870591</v>
      </c>
      <c r="AI421" s="121">
        <f>IFERROR((VLOOKUP($A421,Pitchers!$A1:$S251,17,FALSE)-AVERAGE(Rankings!AP2:AP651))/STDEV(Rankings!AP2:AP651),0)</f>
        <v>1.5960727165979791</v>
      </c>
      <c r="AJ421" s="121">
        <f>(VLOOKUP($A421,Pitchers!$A1:$S251,18,FALSE)-AVERAGE(Rankings!AQ2:AQ651))/STDEV(Rankings!AQ2:AQ651)</f>
        <v>-0.68467156957913733</v>
      </c>
      <c r="AK421" s="121">
        <f>IFERROR((VLOOKUP($A421,Pitchers!$A1:$S251,19,FALSE)-AVERAGE(Rankings!AR2:AR651))/STDEV(Rankings!AR2:AR651)*-1,0)</f>
        <v>0.47041511698728217</v>
      </c>
    </row>
    <row r="422" spans="1:37" ht="18.600000000000001" customHeight="1">
      <c r="A422" s="25" t="s">
        <v>179</v>
      </c>
      <c r="B422" s="26" t="s">
        <v>72</v>
      </c>
      <c r="C422" s="130" t="s">
        <v>31</v>
      </c>
      <c r="D422" s="67">
        <f>(V422*Settings!$G$2)+(Y422*Settings!$G$5)+(Z422*Settings!$G$6)+(AA422*Settings!$G$7)+(AB422*Settings!$G$8)+(AC422*Settings!$G$9)+(AD422*Settings!$G$10)+(AE422*Settings!$G$11)+(AF422*Settings!$G$12)+(AG422*Settings!$G$13)+(AH422*Settings!$G$14)+(AI422*Settings!$G$15)+(AJ422*Settings!$G$16)+(AK422*Settings!$G$17)+(W422*Settings!$G$3)+(X422*Settings!$G$4)</f>
        <v>3.5751461390181052</v>
      </c>
      <c r="E422" s="67"/>
      <c r="F422" s="67"/>
      <c r="G422" s="67"/>
      <c r="H422" s="67"/>
      <c r="I422" s="67"/>
      <c r="J422" s="67"/>
      <c r="K422" s="73"/>
      <c r="L422" s="73"/>
      <c r="M422" s="67"/>
      <c r="N422" s="67"/>
      <c r="O422" s="67"/>
      <c r="P422" s="67"/>
      <c r="Q422" s="67"/>
      <c r="R422" s="73"/>
      <c r="S422" s="73"/>
      <c r="T422" s="67"/>
      <c r="U422" s="67"/>
      <c r="V422" s="121">
        <f>(VLOOKUP($A422,Pitchers!$A1:$S251,4,FALSE)-AVERAGE(Rankings!AC2:AC651))/STDEV(Rankings!AC2:AC651)</f>
        <v>1.4268184759444604</v>
      </c>
      <c r="W422" s="121">
        <f>(VLOOKUP($A422,Pitchers!$A1:$S251,5,FALSE)-AVERAGE(Rankings!AD2:AD651))/STDEV(Rankings!AD2:AD651)*-1</f>
        <v>0.70921388470469549</v>
      </c>
      <c r="X422" s="121">
        <f>(VLOOKUP($A422,Pitchers!$A1:$S251,6,FALSE)-AVERAGE(Rankings!AE2:AE651))/STDEV(Rankings!AE2:AE651)*-1</f>
        <v>0.2282999432291318</v>
      </c>
      <c r="Y422" s="121">
        <f>(VLOOKUP($A422,Pitchers!$A1:$S251,7,FALSE)-AVERAGE(Rankings!AF2:AF651))/STDEV(Rankings!AF2:AF651)</f>
        <v>1.7317236038027781</v>
      </c>
      <c r="Z422" s="121">
        <f>(VLOOKUP($A422,Pitchers!$A1:$S251,8,FALSE)-AVERAGE(Rankings!AG2:AG651))/STDEV(Rankings!AG2:AG651)</f>
        <v>1.3700531694318734</v>
      </c>
      <c r="AA422" s="121">
        <f>(VLOOKUP($A422,Pitchers!$A1:$S251,9,FALSE)-AVERAGE(Rankings!AH2:AH651))/STDEV(Rankings!AH2:AH651)</f>
        <v>-0.46414446215037364</v>
      </c>
      <c r="AB422" s="121">
        <f>(VLOOKUP($A422,Pitchers!$A1:$S251,10,FALSE)-AVERAGE(Rankings!AI2:AI651))/STDEV(Rankings!AI2:AI651)*-1</f>
        <v>-0.88551363314674891</v>
      </c>
      <c r="AC422" s="121">
        <f>(VLOOKUP($A422,Pitchers!$A1:$S251,11,FALSE)-AVERAGE(Rankings!AJ2:AJ651))/STDEV(Rankings!AJ2:AJ651)*-1</f>
        <v>-1.1715473166505583</v>
      </c>
      <c r="AD422" s="121">
        <f>(VLOOKUP($A422,Pitchers!$A1:$S251,12,FALSE)-AVERAGE(Rankings!AK2:AK651))/STDEV(Rankings!AK2:AK651)*-1</f>
        <v>-1.64817000721819</v>
      </c>
      <c r="AE422" s="121">
        <f>IFERROR((VLOOKUP($A422,Pitchers!$A1:$S251,13,FALSE)-AVERAGE(Rankings!AL2:AL651))/STDEV(Rankings!AL2:AL651)*-1,0)</f>
        <v>-0.49850915789345923</v>
      </c>
      <c r="AF422" s="121">
        <f>(VLOOKUP($A422,Pitchers!$A1:$S251,14,FALSE)-AVERAGE(Rankings!AM2:AM651))/STDEV(Rankings!AM2:AM651)</f>
        <v>-0.58770456529081416</v>
      </c>
      <c r="AG422" s="121">
        <f>(VLOOKUP($A422,Pitchers!$A1:$S251,15,FALSE)-AVERAGE(Rankings!AN2:AN651))/STDEV(Rankings!AN2:AN651)</f>
        <v>1.1189044148607816</v>
      </c>
      <c r="AH422" s="121">
        <f>(VLOOKUP($A422,Pitchers!$A1:$S251,16,FALSE)-AVERAGE(Rankings!AO2:AO651))/STDEV(Rankings!AO2:AO651)*-1</f>
        <v>-1.232234907312264</v>
      </c>
      <c r="AI422" s="121">
        <f>IFERROR((VLOOKUP($A422,Pitchers!$A1:$S251,17,FALSE)-AVERAGE(Rankings!AP2:AP651))/STDEV(Rankings!AP2:AP651),0)</f>
        <v>1.7393467486085696</v>
      </c>
      <c r="AJ422" s="121">
        <f>(VLOOKUP($A422,Pitchers!$A1:$S251,18,FALSE)-AVERAGE(Rankings!AQ2:AQ651))/STDEV(Rankings!AQ2:AQ651)</f>
        <v>-0.68467156957913733</v>
      </c>
      <c r="AK422" s="121">
        <f>IFERROR((VLOOKUP($A422,Pitchers!$A1:$S251,19,FALSE)-AVERAGE(Rankings!AR2:AR651))/STDEV(Rankings!AR2:AR651)*-1,0)</f>
        <v>0.47041511698728217</v>
      </c>
    </row>
    <row r="423" spans="1:37" ht="18.600000000000001" customHeight="1">
      <c r="A423" s="25" t="s">
        <v>173</v>
      </c>
      <c r="B423" s="26" t="s">
        <v>64</v>
      </c>
      <c r="C423" s="130" t="s">
        <v>31</v>
      </c>
      <c r="D423" s="67">
        <f>(V423*Settings!$G$2)+(Y423*Settings!$G$5)+(Z423*Settings!$G$6)+(AA423*Settings!$G$7)+(AB423*Settings!$G$8)+(AC423*Settings!$G$9)+(AD423*Settings!$G$10)+(AE423*Settings!$G$11)+(AF423*Settings!$G$12)+(AG423*Settings!$G$13)+(AH423*Settings!$G$14)+(AI423*Settings!$G$15)+(AJ423*Settings!$G$16)+(AK423*Settings!$G$17)+(W423*Settings!$G$3)+(X423*Settings!$G$4)</f>
        <v>3.7337300054057696</v>
      </c>
      <c r="E423" s="67"/>
      <c r="F423" s="67"/>
      <c r="G423" s="67"/>
      <c r="H423" s="67"/>
      <c r="I423" s="67"/>
      <c r="J423" s="67"/>
      <c r="K423" s="73"/>
      <c r="L423" s="73"/>
      <c r="M423" s="67"/>
      <c r="N423" s="67"/>
      <c r="O423" s="67"/>
      <c r="P423" s="67"/>
      <c r="Q423" s="67"/>
      <c r="R423" s="73"/>
      <c r="S423" s="73"/>
      <c r="T423" s="67"/>
      <c r="U423" s="67"/>
      <c r="V423" s="121">
        <f>(VLOOKUP($A423,Pitchers!$A1:$S251,4,FALSE)-AVERAGE(Rankings!AC2:AC651))/STDEV(Rankings!AC2:AC651)</f>
        <v>1.4712792798557346</v>
      </c>
      <c r="W423" s="121">
        <f>(VLOOKUP($A423,Pitchers!$A1:$S251,5,FALSE)-AVERAGE(Rankings!AD2:AD651))/STDEV(Rankings!AD2:AD651)*-1</f>
        <v>0.53158987588120354</v>
      </c>
      <c r="X423" s="121">
        <f>(VLOOKUP($A423,Pitchers!$A1:$S251,6,FALSE)-AVERAGE(Rankings!AE2:AE651))/STDEV(Rankings!AE2:AE651)*-1</f>
        <v>0.65856937454010267</v>
      </c>
      <c r="Y423" s="121">
        <f>(VLOOKUP($A423,Pitchers!$A1:$S251,7,FALSE)-AVERAGE(Rankings!AF2:AF651))/STDEV(Rankings!AF2:AF651)</f>
        <v>1.5973953227615796</v>
      </c>
      <c r="Z423" s="121">
        <f>(VLOOKUP($A423,Pitchers!$A1:$S251,8,FALSE)-AVERAGE(Rankings!AG2:AG651))/STDEV(Rankings!AG2:AG651)</f>
        <v>1.4103198943732573</v>
      </c>
      <c r="AA423" s="121">
        <f>(VLOOKUP($A423,Pitchers!$A1:$S251,9,FALSE)-AVERAGE(Rankings!AH2:AH651))/STDEV(Rankings!AH2:AH651)</f>
        <v>-0.46414446215037364</v>
      </c>
      <c r="AB423" s="121">
        <f>(VLOOKUP($A423,Pitchers!$A1:$S251,10,FALSE)-AVERAGE(Rankings!AI2:AI651))/STDEV(Rankings!AI2:AI651)*-1</f>
        <v>-1.0056467900722541</v>
      </c>
      <c r="AC423" s="121">
        <f>(VLOOKUP($A423,Pitchers!$A1:$S251,11,FALSE)-AVERAGE(Rankings!AJ2:AJ651))/STDEV(Rankings!AJ2:AJ651)*-1</f>
        <v>-1.2568568311948651</v>
      </c>
      <c r="AD423" s="121">
        <f>(VLOOKUP($A423,Pitchers!$A1:$S251,12,FALSE)-AVERAGE(Rankings!AK2:AK651))/STDEV(Rankings!AK2:AK651)*-1</f>
        <v>-0.97210073094913807</v>
      </c>
      <c r="AE423" s="121">
        <f>IFERROR((VLOOKUP($A423,Pitchers!$A1:$S251,13,FALSE)-AVERAGE(Rankings!AL2:AL651))/STDEV(Rankings!AL2:AL651)*-1,0)</f>
        <v>-1.1635427196510091</v>
      </c>
      <c r="AF423" s="121">
        <f>(VLOOKUP($A423,Pitchers!$A1:$S251,14,FALSE)-AVERAGE(Rankings!AM2:AM651))/STDEV(Rankings!AM2:AM651)</f>
        <v>-0.56590262033312599</v>
      </c>
      <c r="AG423" s="121">
        <f>(VLOOKUP($A423,Pitchers!$A1:$S251,15,FALSE)-AVERAGE(Rankings!AN2:AN651))/STDEV(Rankings!AN2:AN651)</f>
        <v>1.1189044148607816</v>
      </c>
      <c r="AH423" s="121">
        <f>(VLOOKUP($A423,Pitchers!$A1:$S251,16,FALSE)-AVERAGE(Rankings!AO2:AO651))/STDEV(Rankings!AO2:AO651)*-1</f>
        <v>-0.96919378901554976</v>
      </c>
      <c r="AI423" s="121">
        <f>IFERROR((VLOOKUP($A423,Pitchers!$A1:$S251,17,FALSE)-AVERAGE(Rankings!AP2:AP651))/STDEV(Rankings!AP2:AP651),0)</f>
        <v>1.4527986845873886</v>
      </c>
      <c r="AJ423" s="121">
        <f>(VLOOKUP($A423,Pitchers!$A1:$S251,18,FALSE)-AVERAGE(Rankings!AQ2:AQ651))/STDEV(Rankings!AQ2:AQ651)</f>
        <v>-0.68467156957913733</v>
      </c>
      <c r="AK423" s="121">
        <f>IFERROR((VLOOKUP($A423,Pitchers!$A1:$S251,19,FALSE)-AVERAGE(Rankings!AR2:AR651))/STDEV(Rankings!AR2:AR651)*-1,0)</f>
        <v>0.47041511698728217</v>
      </c>
    </row>
    <row r="424" spans="1:37" ht="18.600000000000001" customHeight="1">
      <c r="A424" s="25" t="s">
        <v>171</v>
      </c>
      <c r="B424" s="26" t="s">
        <v>95</v>
      </c>
      <c r="C424" s="130" t="s">
        <v>31</v>
      </c>
      <c r="D424" s="67">
        <f>(V424*Settings!$G$2)+(Y424*Settings!$G$5)+(Z424*Settings!$G$6)+(AA424*Settings!$G$7)+(AB424*Settings!$G$8)+(AC424*Settings!$G$9)+(AD424*Settings!$G$10)+(AE424*Settings!$G$11)+(AF424*Settings!$G$12)+(AG424*Settings!$G$13)+(AH424*Settings!$G$14)+(AI424*Settings!$G$15)+(AJ424*Settings!$G$16)+(AK424*Settings!$G$17)+(W424*Settings!$G$3)+(X424*Settings!$G$4)</f>
        <v>3.7493260640176556</v>
      </c>
      <c r="E424" s="67"/>
      <c r="F424" s="67"/>
      <c r="G424" s="67"/>
      <c r="H424" s="67"/>
      <c r="I424" s="67"/>
      <c r="J424" s="67"/>
      <c r="K424" s="73"/>
      <c r="L424" s="73"/>
      <c r="M424" s="67"/>
      <c r="N424" s="67"/>
      <c r="O424" s="67"/>
      <c r="P424" s="67"/>
      <c r="Q424" s="67"/>
      <c r="R424" s="73"/>
      <c r="S424" s="73"/>
      <c r="T424" s="67"/>
      <c r="U424" s="67"/>
      <c r="V424" s="121">
        <f>(VLOOKUP($A424,Pitchers!$A1:$S251,4,FALSE)-AVERAGE(Rankings!AC2:AC651))/STDEV(Rankings!AC2:AC651)</f>
        <v>1.5693753392790224</v>
      </c>
      <c r="W424" s="121">
        <f>(VLOOKUP($A424,Pitchers!$A1:$S251,5,FALSE)-AVERAGE(Rankings!AD2:AD651))/STDEV(Rankings!AD2:AD651)*-1</f>
        <v>-7.72443856987306E-2</v>
      </c>
      <c r="X424" s="121">
        <f>(VLOOKUP($A424,Pitchers!$A1:$S251,6,FALSE)-AVERAGE(Rankings!AE2:AE651))/STDEV(Rankings!AE2:AE651)*-1</f>
        <v>0.74880300918409592</v>
      </c>
      <c r="Y424" s="121">
        <f>(VLOOKUP($A424,Pitchers!$A1:$S251,7,FALSE)-AVERAGE(Rankings!AF2:AF651))/STDEV(Rankings!AF2:AF651)</f>
        <v>1.5175244529532996</v>
      </c>
      <c r="Z424" s="121">
        <f>(VLOOKUP($A424,Pitchers!$A1:$S251,8,FALSE)-AVERAGE(Rankings!AG2:AG651))/STDEV(Rankings!AG2:AG651)</f>
        <v>2.0243874497293644</v>
      </c>
      <c r="AA424" s="121">
        <f>(VLOOKUP($A424,Pitchers!$A1:$S251,9,FALSE)-AVERAGE(Rankings!AH2:AH651))/STDEV(Rankings!AH2:AH651)</f>
        <v>-0.46414446215037364</v>
      </c>
      <c r="AB424" s="121">
        <f>(VLOOKUP($A424,Pitchers!$A1:$S251,10,FALSE)-AVERAGE(Rankings!AI2:AI651))/STDEV(Rankings!AI2:AI651)*-1</f>
        <v>-1.3837058349168181</v>
      </c>
      <c r="AC424" s="121">
        <f>(VLOOKUP($A424,Pitchers!$A1:$S251,11,FALSE)-AVERAGE(Rankings!AJ2:AJ651))/STDEV(Rankings!AJ2:AJ651)*-1</f>
        <v>-1.1836328312110018</v>
      </c>
      <c r="AD424" s="121">
        <f>(VLOOKUP($A424,Pitchers!$A1:$S251,12,FALSE)-AVERAGE(Rankings!AK2:AK651))/STDEV(Rankings!AK2:AK651)*-1</f>
        <v>-1.4919662755170369</v>
      </c>
      <c r="AE424" s="121">
        <f>IFERROR((VLOOKUP($A424,Pitchers!$A1:$S251,13,FALSE)-AVERAGE(Rankings!AL2:AL651))/STDEV(Rankings!AL2:AL651)*-1,0)</f>
        <v>-1.9615829937600688</v>
      </c>
      <c r="AF424" s="121">
        <f>(VLOOKUP($A424,Pitchers!$A1:$S251,14,FALSE)-AVERAGE(Rankings!AM2:AM651))/STDEV(Rankings!AM2:AM651)</f>
        <v>-0.56590262033312599</v>
      </c>
      <c r="AG424" s="121">
        <f>(VLOOKUP($A424,Pitchers!$A1:$S251,15,FALSE)-AVERAGE(Rankings!AN2:AN651))/STDEV(Rankings!AN2:AN651)</f>
        <v>1.1448765959039913</v>
      </c>
      <c r="AH424" s="121">
        <f>(VLOOKUP($A424,Pitchers!$A1:$S251,16,FALSE)-AVERAGE(Rankings!AO2:AO651))/STDEV(Rankings!AO2:AO651)*-1</f>
        <v>-0.64352383302914229</v>
      </c>
      <c r="AI424" s="121">
        <f>IFERROR((VLOOKUP($A424,Pitchers!$A1:$S251,17,FALSE)-AVERAGE(Rankings!AP2:AP651))/STDEV(Rankings!AP2:AP651),0)</f>
        <v>1.4527986845873886</v>
      </c>
      <c r="AJ424" s="121">
        <f>(VLOOKUP($A424,Pitchers!$A1:$S251,18,FALSE)-AVERAGE(Rankings!AQ2:AQ651))/STDEV(Rankings!AQ2:AQ651)</f>
        <v>-0.68467156957913733</v>
      </c>
      <c r="AK424" s="121">
        <f>IFERROR((VLOOKUP($A424,Pitchers!$A1:$S251,19,FALSE)-AVERAGE(Rankings!AR2:AR651))/STDEV(Rankings!AR2:AR651)*-1,0)</f>
        <v>0.47041511698728217</v>
      </c>
    </row>
    <row r="425" spans="1:37" ht="18.600000000000001" customHeight="1">
      <c r="A425" s="25" t="s">
        <v>181</v>
      </c>
      <c r="B425" s="26" t="s">
        <v>77</v>
      </c>
      <c r="C425" s="130" t="s">
        <v>31</v>
      </c>
      <c r="D425" s="67">
        <f>(V425*Settings!$G$2)+(Y425*Settings!$G$5)+(Z425*Settings!$G$6)+(AA425*Settings!$G$7)+(AB425*Settings!$G$8)+(AC425*Settings!$G$9)+(AD425*Settings!$G$10)+(AE425*Settings!$G$11)+(AF425*Settings!$G$12)+(AG425*Settings!$G$13)+(AH425*Settings!$G$14)+(AI425*Settings!$G$15)+(AJ425*Settings!$G$16)+(AK425*Settings!$G$17)+(W425*Settings!$G$3)+(X425*Settings!$G$4)</f>
        <v>3.4993723391700251</v>
      </c>
      <c r="E425" s="67"/>
      <c r="F425" s="67"/>
      <c r="G425" s="67"/>
      <c r="H425" s="67"/>
      <c r="I425" s="67"/>
      <c r="J425" s="67"/>
      <c r="K425" s="73"/>
      <c r="L425" s="73"/>
      <c r="M425" s="67"/>
      <c r="N425" s="67"/>
      <c r="O425" s="67"/>
      <c r="P425" s="67"/>
      <c r="Q425" s="67"/>
      <c r="R425" s="73"/>
      <c r="S425" s="73"/>
      <c r="T425" s="67"/>
      <c r="U425" s="67"/>
      <c r="V425" s="121">
        <f>(VLOOKUP($A425,Pitchers!$A1:$S251,4,FALSE)-AVERAGE(Rankings!AC2:AC651))/STDEV(Rankings!AC2:AC651)</f>
        <v>1.4437559250535164</v>
      </c>
      <c r="W425" s="121">
        <f>(VLOOKUP($A425,Pitchers!$A1:$S251,5,FALSE)-AVERAGE(Rankings!AD2:AD651))/STDEV(Rankings!AD2:AD651)*-1</f>
        <v>-0.11532176741427556</v>
      </c>
      <c r="X425" s="121">
        <f>(VLOOKUP($A425,Pitchers!$A1:$S251,6,FALSE)-AVERAGE(Rankings!AE2:AE651))/STDEV(Rankings!AE2:AE651)*-1</f>
        <v>1.0694737495773614</v>
      </c>
      <c r="Y425" s="121">
        <f>(VLOOKUP($A425,Pitchers!$A1:$S251,7,FALSE)-AVERAGE(Rankings!AF2:AF651))/STDEV(Rankings!AF2:AF651)</f>
        <v>1.6191782872547469</v>
      </c>
      <c r="Z425" s="121">
        <f>(VLOOKUP($A425,Pitchers!$A1:$S251,8,FALSE)-AVERAGE(Rankings!AG2:AG651))/STDEV(Rankings!AG2:AG651)</f>
        <v>1.3901865319025659</v>
      </c>
      <c r="AA425" s="121">
        <f>(VLOOKUP($A425,Pitchers!$A1:$S251,9,FALSE)-AVERAGE(Rankings!AH2:AH651))/STDEV(Rankings!AH2:AH651)</f>
        <v>-0.46414446215037364</v>
      </c>
      <c r="AB425" s="121">
        <f>(VLOOKUP($A425,Pitchers!$A1:$S251,10,FALSE)-AVERAGE(Rankings!AI2:AI651))/STDEV(Rankings!AI2:AI651)*-1</f>
        <v>-1.289461373308759</v>
      </c>
      <c r="AC425" s="121">
        <f>(VLOOKUP($A425,Pitchers!$A1:$S251,11,FALSE)-AVERAGE(Rankings!AJ2:AJ651))/STDEV(Rankings!AJ2:AJ651)*-1</f>
        <v>-0.95471896718377902</v>
      </c>
      <c r="AD425" s="121">
        <f>(VLOOKUP($A425,Pitchers!$A1:$S251,12,FALSE)-AVERAGE(Rankings!AK2:AK651))/STDEV(Rankings!AK2:AK651)*-1</f>
        <v>-1.3626100602020199</v>
      </c>
      <c r="AE425" s="121">
        <f>IFERROR((VLOOKUP($A425,Pitchers!$A1:$S251,13,FALSE)-AVERAGE(Rankings!AL2:AL651))/STDEV(Rankings!AL2:AL651)*-1,0)</f>
        <v>-1.8285762814085589</v>
      </c>
      <c r="AF425" s="121">
        <f>(VLOOKUP($A425,Pitchers!$A1:$S251,14,FALSE)-AVERAGE(Rankings!AM2:AM651))/STDEV(Rankings!AM2:AM651)</f>
        <v>-0.58770456529081416</v>
      </c>
      <c r="AG425" s="121">
        <f>(VLOOKUP($A425,Pitchers!$A1:$S251,15,FALSE)-AVERAGE(Rankings!AN2:AN651))/STDEV(Rankings!AN2:AN651)</f>
        <v>1.1189044148607816</v>
      </c>
      <c r="AH425" s="121">
        <f>(VLOOKUP($A425,Pitchers!$A1:$S251,16,FALSE)-AVERAGE(Rankings!AO2:AO651))/STDEV(Rankings!AO2:AO651)*-1</f>
        <v>-1.3449668151537124</v>
      </c>
      <c r="AI425" s="121">
        <f>IFERROR((VLOOKUP($A425,Pitchers!$A1:$S251,17,FALSE)-AVERAGE(Rankings!AP2:AP651))/STDEV(Rankings!AP2:AP651),0)</f>
        <v>1.1662506205662073</v>
      </c>
      <c r="AJ425" s="121">
        <f>(VLOOKUP($A425,Pitchers!$A1:$S251,18,FALSE)-AVERAGE(Rankings!AQ2:AQ651))/STDEV(Rankings!AQ2:AQ651)</f>
        <v>-0.68467156957913733</v>
      </c>
      <c r="AK425" s="121">
        <f>IFERROR((VLOOKUP($A425,Pitchers!$A1:$S251,19,FALSE)-AVERAGE(Rankings!AR2:AR651))/STDEV(Rankings!AR2:AR651)*-1,0)</f>
        <v>0.47041511698728217</v>
      </c>
    </row>
    <row r="426" spans="1:37" ht="18.600000000000001" customHeight="1">
      <c r="A426" s="25" t="s">
        <v>165</v>
      </c>
      <c r="B426" s="26" t="s">
        <v>79</v>
      </c>
      <c r="C426" s="130" t="s">
        <v>31</v>
      </c>
      <c r="D426" s="67">
        <f>(V426*Settings!$G$2)+(Y426*Settings!$G$5)+(Z426*Settings!$G$6)+(AA426*Settings!$G$7)+(AB426*Settings!$G$8)+(AC426*Settings!$G$9)+(AD426*Settings!$G$10)+(AE426*Settings!$G$11)+(AF426*Settings!$G$12)+(AG426*Settings!$G$13)+(AH426*Settings!$G$14)+(AI426*Settings!$G$15)+(AJ426*Settings!$G$16)+(AK426*Settings!$G$17)+(W426*Settings!$G$3)+(X426*Settings!$G$4)</f>
        <v>3.8812609505647915</v>
      </c>
      <c r="E426" s="67"/>
      <c r="F426" s="67"/>
      <c r="G426" s="67"/>
      <c r="H426" s="67"/>
      <c r="I426" s="67"/>
      <c r="J426" s="67"/>
      <c r="K426" s="73"/>
      <c r="L426" s="73"/>
      <c r="M426" s="67"/>
      <c r="N426" s="67"/>
      <c r="O426" s="67"/>
      <c r="P426" s="67"/>
      <c r="Q426" s="67"/>
      <c r="R426" s="73"/>
      <c r="S426" s="73"/>
      <c r="T426" s="67"/>
      <c r="U426" s="67"/>
      <c r="V426" s="121">
        <f>(VLOOKUP($A426,Pitchers!$A1:$S251,4,FALSE)-AVERAGE(Rankings!AC2:AC651))/STDEV(Rankings!AC2:AC651)</f>
        <v>1.6004273293122933</v>
      </c>
      <c r="W426" s="121">
        <f>(VLOOKUP($A426,Pitchers!$A1:$S251,5,FALSE)-AVERAGE(Rankings!AD2:AD651))/STDEV(Rankings!AD2:AD651)*-1</f>
        <v>0.88850260053250463</v>
      </c>
      <c r="X426" s="121">
        <f>(VLOOKUP($A426,Pitchers!$A1:$S251,6,FALSE)-AVERAGE(Rankings!AE2:AE651))/STDEV(Rankings!AE2:AE651)*-1</f>
        <v>-0.24248067963619394</v>
      </c>
      <c r="Y426" s="121">
        <f>(VLOOKUP($A426,Pitchers!$A1:$S251,7,FALSE)-AVERAGE(Rankings!AF2:AF651))/STDEV(Rankings!AF2:AF651)</f>
        <v>1.4434623736765315</v>
      </c>
      <c r="Z426" s="121">
        <f>(VLOOKUP($A426,Pitchers!$A1:$S251,8,FALSE)-AVERAGE(Rankings!AG2:AG651))/STDEV(Rankings!AG2:AG651)</f>
        <v>2.2559211181423229</v>
      </c>
      <c r="AA426" s="121">
        <f>(VLOOKUP($A426,Pitchers!$A1:$S251,9,FALSE)-AVERAGE(Rankings!AH2:AH651))/STDEV(Rankings!AH2:AH651)</f>
        <v>-0.46414446215037364</v>
      </c>
      <c r="AB426" s="121">
        <f>(VLOOKUP($A426,Pitchers!$A1:$S251,10,FALSE)-AVERAGE(Rankings!AI2:AI651))/STDEV(Rankings!AI2:AI651)*-1</f>
        <v>-0.93542895984929642</v>
      </c>
      <c r="AC426" s="121">
        <f>(VLOOKUP($A426,Pitchers!$A1:$S251,11,FALSE)-AVERAGE(Rankings!AJ2:AJ651))/STDEV(Rankings!AJ2:AJ651)*-1</f>
        <v>-1.4217885593138584</v>
      </c>
      <c r="AD426" s="121">
        <f>(VLOOKUP($A426,Pitchers!$A1:$S251,12,FALSE)-AVERAGE(Rankings!AK2:AK651))/STDEV(Rankings!AK2:AK651)*-1</f>
        <v>-2.1460694020156144</v>
      </c>
      <c r="AE426" s="121">
        <f>IFERROR((VLOOKUP($A426,Pitchers!$A1:$S251,13,FALSE)-AVERAGE(Rankings!AL2:AL651))/STDEV(Rankings!AL2:AL651)*-1,0)</f>
        <v>0.16652440386409056</v>
      </c>
      <c r="AF426" s="121">
        <f>(VLOOKUP($A426,Pitchers!$A1:$S251,14,FALSE)-AVERAGE(Rankings!AM2:AM651))/STDEV(Rankings!AM2:AM651)</f>
        <v>-0.58770456529081416</v>
      </c>
      <c r="AG426" s="121">
        <f>(VLOOKUP($A426,Pitchers!$A1:$S251,15,FALSE)-AVERAGE(Rankings!AN2:AN651))/STDEV(Rankings!AN2:AN651)</f>
        <v>1.1189044148607816</v>
      </c>
      <c r="AH426" s="121">
        <f>(VLOOKUP($A426,Pitchers!$A1:$S251,16,FALSE)-AVERAGE(Rankings!AO2:AO651))/STDEV(Rankings!AO2:AO651)*-1</f>
        <v>-0.40553424980830582</v>
      </c>
      <c r="AI426" s="121">
        <f>IFERROR((VLOOKUP($A426,Pitchers!$A1:$S251,17,FALSE)-AVERAGE(Rankings!AP2:AP651))/STDEV(Rankings!AP2:AP651),0)</f>
        <v>1.8826207806191602</v>
      </c>
      <c r="AJ426" s="121">
        <f>(VLOOKUP($A426,Pitchers!$A1:$S251,18,FALSE)-AVERAGE(Rankings!AQ2:AQ651))/STDEV(Rankings!AQ2:AQ651)</f>
        <v>-0.68467156957913733</v>
      </c>
      <c r="AK426" s="121">
        <f>IFERROR((VLOOKUP($A426,Pitchers!$A1:$S251,19,FALSE)-AVERAGE(Rankings!AR2:AR651))/STDEV(Rankings!AR2:AR651)*-1,0)</f>
        <v>0.47041511698728217</v>
      </c>
    </row>
    <row r="427" spans="1:37" ht="18.600000000000001" customHeight="1">
      <c r="A427" s="25" t="s">
        <v>155</v>
      </c>
      <c r="B427" s="26" t="s">
        <v>69</v>
      </c>
      <c r="C427" s="130" t="s">
        <v>31</v>
      </c>
      <c r="D427" s="67">
        <f>(V427*Settings!$G$2)+(Y427*Settings!$G$5)+(Z427*Settings!$G$6)+(AA427*Settings!$G$7)+(AB427*Settings!$G$8)+(AC427*Settings!$G$9)+(AD427*Settings!$G$10)+(AE427*Settings!$G$11)+(AF427*Settings!$G$12)+(AG427*Settings!$G$13)+(AH427*Settings!$G$14)+(AI427*Settings!$G$15)+(AJ427*Settings!$G$16)+(AK427*Settings!$G$17)+(W427*Settings!$G$3)+(X427*Settings!$G$4)</f>
        <v>4.2120083925822911</v>
      </c>
      <c r="E427" s="67"/>
      <c r="F427" s="67"/>
      <c r="G427" s="67"/>
      <c r="H427" s="67"/>
      <c r="I427" s="67"/>
      <c r="J427" s="67"/>
      <c r="K427" s="73"/>
      <c r="L427" s="73"/>
      <c r="M427" s="67"/>
      <c r="N427" s="67"/>
      <c r="O427" s="67"/>
      <c r="P427" s="67"/>
      <c r="Q427" s="67"/>
      <c r="R427" s="73"/>
      <c r="S427" s="73"/>
      <c r="T427" s="67"/>
      <c r="U427" s="67"/>
      <c r="V427" s="121">
        <f>(VLOOKUP($A427,Pitchers!$A1:$S251,4,FALSE)-AVERAGE(Rankings!AC2:AC651))/STDEV(Rankings!AC2:AC651)</f>
        <v>0.91163773221064626</v>
      </c>
      <c r="W427" s="121">
        <f>(VLOOKUP($A427,Pitchers!$A1:$S251,5,FALSE)-AVERAGE(Rankings!AD2:AD651))/STDEV(Rankings!AD2:AD651)*-1</f>
        <v>0.84813400656313853</v>
      </c>
      <c r="X427" s="121">
        <f>(VLOOKUP($A427,Pitchers!$A1:$S251,6,FALSE)-AVERAGE(Rankings!AE2:AE651))/STDEV(Rankings!AE2:AE651)*-1</f>
        <v>1.301580108849784</v>
      </c>
      <c r="Y427" s="121">
        <f>(VLOOKUP($A427,Pitchers!$A1:$S251,7,FALSE)-AVERAGE(Rankings!AF2:AF651))/STDEV(Rankings!AF2:AF651)</f>
        <v>1.2771857447120207</v>
      </c>
      <c r="Z427" s="121">
        <f>(VLOOKUP($A427,Pitchers!$A1:$S251,8,FALSE)-AVERAGE(Rankings!AG2:AG651))/STDEV(Rankings!AG2:AG651)</f>
        <v>1.2492529946077218</v>
      </c>
      <c r="AA427" s="121">
        <f>(VLOOKUP($A427,Pitchers!$A1:$S251,9,FALSE)-AVERAGE(Rankings!AH2:AH651))/STDEV(Rankings!AH2:AH651)</f>
        <v>-0.46414446215037364</v>
      </c>
      <c r="AB427" s="121">
        <f>(VLOOKUP($A427,Pitchers!$A1:$S251,10,FALSE)-AVERAGE(Rankings!AI2:AI651))/STDEV(Rankings!AI2:AI651)*-1</f>
        <v>-0.41849598559884782</v>
      </c>
      <c r="AC427" s="121">
        <f>(VLOOKUP($A427,Pitchers!$A1:$S251,11,FALSE)-AVERAGE(Rankings!AJ2:AJ651))/STDEV(Rankings!AJ2:AJ651)*-1</f>
        <v>-0.44854918088755918</v>
      </c>
      <c r="AD427" s="121">
        <f>(VLOOKUP($A427,Pitchers!$A1:$S251,12,FALSE)-AVERAGE(Rankings!AK2:AK651))/STDEV(Rankings!AK2:AK651)*-1</f>
        <v>-0.79637153278534145</v>
      </c>
      <c r="AE427" s="121">
        <f>IFERROR((VLOOKUP($A427,Pitchers!$A1:$S251,13,FALSE)-AVERAGE(Rankings!AL2:AL651))/STDEV(Rankings!AL2:AL651)*-1,0)</f>
        <v>-0.63151587024496925</v>
      </c>
      <c r="AF427" s="121">
        <f>(VLOOKUP($A427,Pitchers!$A1:$S251,14,FALSE)-AVERAGE(Rankings!AM2:AM651))/STDEV(Rankings!AM2:AM651)</f>
        <v>-0.61604709373580824</v>
      </c>
      <c r="AG427" s="121">
        <f>(VLOOKUP($A427,Pitchers!$A1:$S251,15,FALSE)-AVERAGE(Rankings!AN2:AN651))/STDEV(Rankings!AN2:AN651)</f>
        <v>1.0072240363749811</v>
      </c>
      <c r="AH427" s="121">
        <f>(VLOOKUP($A427,Pitchers!$A1:$S251,16,FALSE)-AVERAGE(Rankings!AO2:AO651))/STDEV(Rankings!AO2:AO651)*-1</f>
        <v>-0.23017350427716354</v>
      </c>
      <c r="AI427" s="121">
        <f>IFERROR((VLOOKUP($A427,Pitchers!$A1:$S251,17,FALSE)-AVERAGE(Rankings!AP2:AP651))/STDEV(Rankings!AP2:AP651),0)</f>
        <v>0.87970255654502605</v>
      </c>
      <c r="AJ427" s="121">
        <f>(VLOOKUP($A427,Pitchers!$A1:$S251,18,FALSE)-AVERAGE(Rankings!AQ2:AQ651))/STDEV(Rankings!AQ2:AQ651)</f>
        <v>-0.5641952256806384</v>
      </c>
      <c r="AK427" s="121">
        <f>IFERROR((VLOOKUP($A427,Pitchers!$A1:$S251,19,FALSE)-AVERAGE(Rankings!AR2:AR651))/STDEV(Rankings!AR2:AR651)*-1,0)</f>
        <v>0.47041511698728217</v>
      </c>
    </row>
    <row r="428" spans="1:37" ht="18.600000000000001" customHeight="1">
      <c r="A428" s="25" t="s">
        <v>152</v>
      </c>
      <c r="B428" s="26" t="s">
        <v>82</v>
      </c>
      <c r="C428" s="130" t="s">
        <v>31</v>
      </c>
      <c r="D428" s="67">
        <f>(V428*Settings!$G$2)+(Y428*Settings!$G$5)+(Z428*Settings!$G$6)+(AA428*Settings!$G$7)+(AB428*Settings!$G$8)+(AC428*Settings!$G$9)+(AD428*Settings!$G$10)+(AE428*Settings!$G$11)+(AF428*Settings!$G$12)+(AG428*Settings!$G$13)+(AH428*Settings!$G$14)+(AI428*Settings!$G$15)+(AJ428*Settings!$G$16)+(AK428*Settings!$G$17)+(W428*Settings!$G$3)+(X428*Settings!$G$4)</f>
        <v>4.2556486102458395</v>
      </c>
      <c r="E428" s="67"/>
      <c r="F428" s="67"/>
      <c r="G428" s="67"/>
      <c r="H428" s="67"/>
      <c r="I428" s="67"/>
      <c r="J428" s="67"/>
      <c r="K428" s="73"/>
      <c r="L428" s="73"/>
      <c r="M428" s="67"/>
      <c r="N428" s="67"/>
      <c r="O428" s="67"/>
      <c r="P428" s="67"/>
      <c r="Q428" s="67"/>
      <c r="R428" s="73"/>
      <c r="S428" s="73"/>
      <c r="T428" s="67"/>
      <c r="U428" s="67"/>
      <c r="V428" s="121">
        <f>(VLOOKUP($A428,Pitchers!$A1:$S251,4,FALSE)-AVERAGE(Rankings!AC2:AC651))/STDEV(Rankings!AC2:AC651)</f>
        <v>1.3308395976598042</v>
      </c>
      <c r="W428" s="121">
        <f>(VLOOKUP($A428,Pitchers!$A1:$S251,5,FALSE)-AVERAGE(Rankings!AD2:AD651))/STDEV(Rankings!AD2:AD651)*-1</f>
        <v>0.54567353701690746</v>
      </c>
      <c r="X428" s="121">
        <f>(VLOOKUP($A428,Pitchers!$A1:$S251,6,FALSE)-AVERAGE(Rankings!AE2:AE651))/STDEV(Rankings!AE2:AE651)*-1</f>
        <v>0.9856203519127924</v>
      </c>
      <c r="Y428" s="121">
        <f>(VLOOKUP($A428,Pitchers!$A1:$S251,7,FALSE)-AVERAGE(Rankings!AF2:AF651))/STDEV(Rankings!AF2:AF651)</f>
        <v>1.1842450962078408</v>
      </c>
      <c r="Z428" s="121">
        <f>(VLOOKUP($A428,Pitchers!$A1:$S251,8,FALSE)-AVERAGE(Rankings!AG2:AG651))/STDEV(Rankings!AG2:AG651)</f>
        <v>2.0042540872586723</v>
      </c>
      <c r="AA428" s="121">
        <f>(VLOOKUP($A428,Pitchers!$A1:$S251,9,FALSE)-AVERAGE(Rankings!AH2:AH651))/STDEV(Rankings!AH2:AH651)</f>
        <v>-0.46414446215037364</v>
      </c>
      <c r="AB428" s="121">
        <f>(VLOOKUP($A428,Pitchers!$A1:$S251,10,FALSE)-AVERAGE(Rankings!AI2:AI651))/STDEV(Rankings!AI2:AI651)*-1</f>
        <v>-0.8842222017097997</v>
      </c>
      <c r="AC428" s="121">
        <f>(VLOOKUP($A428,Pitchers!$A1:$S251,11,FALSE)-AVERAGE(Rankings!AJ2:AJ651))/STDEV(Rankings!AJ2:AJ651)*-1</f>
        <v>-1.0841050642426442</v>
      </c>
      <c r="AD428" s="121">
        <f>(VLOOKUP($A428,Pitchers!$A1:$S251,12,FALSE)-AVERAGE(Rankings!AK2:AK651))/STDEV(Rankings!AK2:AK651)*-1</f>
        <v>-0.59135413492757893</v>
      </c>
      <c r="AE428" s="121">
        <f>IFERROR((VLOOKUP($A428,Pitchers!$A1:$S251,13,FALSE)-AVERAGE(Rankings!AL2:AL651))/STDEV(Rankings!AL2:AL651)*-1,0)</f>
        <v>-1.6955695690570489</v>
      </c>
      <c r="AF428" s="121">
        <f>(VLOOKUP($A428,Pitchers!$A1:$S251,14,FALSE)-AVERAGE(Rankings!AM2:AM651))/STDEV(Rankings!AM2:AM651)</f>
        <v>-0.56590262033312599</v>
      </c>
      <c r="AG428" s="121">
        <f>(VLOOKUP($A428,Pitchers!$A1:$S251,15,FALSE)-AVERAGE(Rankings!AN2:AN651))/STDEV(Rankings!AN2:AN651)</f>
        <v>1.1448765959039913</v>
      </c>
      <c r="AH428" s="121">
        <f>(VLOOKUP($A428,Pitchers!$A1:$S251,16,FALSE)-AVERAGE(Rankings!AO2:AO651))/STDEV(Rankings!AO2:AO651)*-1</f>
        <v>-0.33037964458067354</v>
      </c>
      <c r="AI428" s="121">
        <f>IFERROR((VLOOKUP($A428,Pitchers!$A1:$S251,17,FALSE)-AVERAGE(Rankings!AP2:AP651))/STDEV(Rankings!AP2:AP651),0)</f>
        <v>1.3095246525767978</v>
      </c>
      <c r="AJ428" s="121">
        <f>(VLOOKUP($A428,Pitchers!$A1:$S251,18,FALSE)-AVERAGE(Rankings!AQ2:AQ651))/STDEV(Rankings!AQ2:AQ651)</f>
        <v>-0.68467156957913733</v>
      </c>
      <c r="AK428" s="121">
        <f>IFERROR((VLOOKUP($A428,Pitchers!$A1:$S251,19,FALSE)-AVERAGE(Rankings!AR2:AR651))/STDEV(Rankings!AR2:AR651)*-1,0)</f>
        <v>0.47041511698728217</v>
      </c>
    </row>
    <row r="429" spans="1:37" ht="18.600000000000001" customHeight="1">
      <c r="A429" s="25" t="s">
        <v>153</v>
      </c>
      <c r="B429" s="26" t="s">
        <v>74</v>
      </c>
      <c r="C429" s="130" t="s">
        <v>31</v>
      </c>
      <c r="D429" s="67">
        <f>(V429*Settings!$G$2)+(Y429*Settings!$G$5)+(Z429*Settings!$G$6)+(AA429*Settings!$G$7)+(AB429*Settings!$G$8)+(AC429*Settings!$G$9)+(AD429*Settings!$G$10)+(AE429*Settings!$G$11)+(AF429*Settings!$G$12)+(AG429*Settings!$G$13)+(AH429*Settings!$G$14)+(AI429*Settings!$G$15)+(AJ429*Settings!$G$16)+(AK429*Settings!$G$17)+(W429*Settings!$G$3)+(X429*Settings!$G$4)</f>
        <v>4.246322869646578</v>
      </c>
      <c r="E429" s="67"/>
      <c r="F429" s="67"/>
      <c r="G429" s="67"/>
      <c r="H429" s="67"/>
      <c r="I429" s="67"/>
      <c r="J429" s="67"/>
      <c r="K429" s="73"/>
      <c r="L429" s="73"/>
      <c r="M429" s="67"/>
      <c r="N429" s="67"/>
      <c r="O429" s="67"/>
      <c r="P429" s="67"/>
      <c r="Q429" s="67"/>
      <c r="R429" s="73"/>
      <c r="S429" s="73"/>
      <c r="T429" s="67"/>
      <c r="U429" s="67"/>
      <c r="V429" s="121">
        <f>(VLOOKUP($A429,Pitchers!$A1:$S251,4,FALSE)-AVERAGE(Rankings!AC2:AC651))/STDEV(Rankings!AC2:AC651)</f>
        <v>1.4698678257633127</v>
      </c>
      <c r="W429" s="121">
        <f>(VLOOKUP($A429,Pitchers!$A1:$S251,5,FALSE)-AVERAGE(Rankings!AD2:AD651))/STDEV(Rankings!AD2:AD651)*-1</f>
        <v>0.82498015546079273</v>
      </c>
      <c r="X429" s="121">
        <f>(VLOOKUP($A429,Pitchers!$A1:$S251,6,FALSE)-AVERAGE(Rankings!AE2:AE651))/STDEV(Rankings!AE2:AE651)*-1</f>
        <v>0.52823011270767806</v>
      </c>
      <c r="Y429" s="121">
        <f>(VLOOKUP($A429,Pitchers!$A1:$S251,7,FALSE)-AVERAGE(Rankings!AF2:AF651))/STDEV(Rankings!AF2:AF651)</f>
        <v>1.161736032898234</v>
      </c>
      <c r="Z429" s="121">
        <f>(VLOOKUP($A429,Pitchers!$A1:$S251,8,FALSE)-AVERAGE(Rankings!AG2:AG651))/STDEV(Rankings!AG2:AG651)</f>
        <v>2.1955210307302466</v>
      </c>
      <c r="AA429" s="121">
        <f>(VLOOKUP($A429,Pitchers!$A1:$S251,9,FALSE)-AVERAGE(Rankings!AH2:AH651))/STDEV(Rankings!AH2:AH651)</f>
        <v>-0.46414446215037364</v>
      </c>
      <c r="AB429" s="121">
        <f>(VLOOKUP($A429,Pitchers!$A1:$S251,10,FALSE)-AVERAGE(Rankings!AI2:AI651))/STDEV(Rankings!AI2:AI651)*-1</f>
        <v>-0.86461046384171103</v>
      </c>
      <c r="AC429" s="121">
        <f>(VLOOKUP($A429,Pitchers!$A1:$S251,11,FALSE)-AVERAGE(Rankings!AJ2:AJ651))/STDEV(Rankings!AJ2:AJ651)*-1</f>
        <v>-1.4509359767831633</v>
      </c>
      <c r="AD429" s="121">
        <f>(VLOOKUP($A429,Pitchers!$A1:$S251,12,FALSE)-AVERAGE(Rankings!AK2:AK651))/STDEV(Rankings!AK2:AK651)*-1</f>
        <v>-0.47176065284388391</v>
      </c>
      <c r="AE429" s="121">
        <f>IFERROR((VLOOKUP($A429,Pitchers!$A1:$S251,13,FALSE)-AVERAGE(Rankings!AL2:AL651))/STDEV(Rankings!AL2:AL651)*-1,0)</f>
        <v>-0.63151587024496925</v>
      </c>
      <c r="AF429" s="121">
        <f>(VLOOKUP($A429,Pitchers!$A1:$S251,14,FALSE)-AVERAGE(Rankings!AM2:AM651))/STDEV(Rankings!AM2:AM651)</f>
        <v>-0.609506510248502</v>
      </c>
      <c r="AG429" s="121">
        <f>(VLOOKUP($A429,Pitchers!$A1:$S251,15,FALSE)-AVERAGE(Rankings!AN2:AN651))/STDEV(Rankings!AN2:AN651)</f>
        <v>1.0929322338175724</v>
      </c>
      <c r="AH429" s="121">
        <f>(VLOOKUP($A429,Pitchers!$A1:$S251,16,FALSE)-AVERAGE(Rankings!AO2:AO651))/STDEV(Rankings!AO2:AO651)*-1</f>
        <v>-0.44311155242212225</v>
      </c>
      <c r="AI429" s="121">
        <f>IFERROR((VLOOKUP($A429,Pitchers!$A1:$S251,17,FALSE)-AVERAGE(Rankings!AP2:AP651))/STDEV(Rankings!AP2:AP651),0)</f>
        <v>1.5960727165979791</v>
      </c>
      <c r="AJ429" s="121">
        <f>(VLOOKUP($A429,Pitchers!$A1:$S251,18,FALSE)-AVERAGE(Rankings!AQ2:AQ651))/STDEV(Rankings!AQ2:AQ651)</f>
        <v>-0.68467156957913733</v>
      </c>
      <c r="AK429" s="121">
        <f>IFERROR((VLOOKUP($A429,Pitchers!$A1:$S251,19,FALSE)-AVERAGE(Rankings!AR2:AR651))/STDEV(Rankings!AR2:AR651)*-1,0)</f>
        <v>0.47041511698728217</v>
      </c>
    </row>
    <row r="430" spans="1:37" ht="18.600000000000001" customHeight="1">
      <c r="A430" s="25" t="s">
        <v>172</v>
      </c>
      <c r="B430" s="26" t="s">
        <v>69</v>
      </c>
      <c r="C430" s="130" t="s">
        <v>31</v>
      </c>
      <c r="D430" s="67">
        <f>(V430*Settings!$G$2)+(Y430*Settings!$G$5)+(Z430*Settings!$G$6)+(AA430*Settings!$G$7)+(AB430*Settings!$G$8)+(AC430*Settings!$G$9)+(AD430*Settings!$G$10)+(AE430*Settings!$G$11)+(AF430*Settings!$G$12)+(AG430*Settings!$G$13)+(AH430*Settings!$G$14)+(AI430*Settings!$G$15)+(AJ430*Settings!$G$16)+(AK430*Settings!$G$17)+(W430*Settings!$G$3)+(X430*Settings!$G$4)</f>
        <v>3.7392159070546627</v>
      </c>
      <c r="E430" s="67"/>
      <c r="F430" s="67"/>
      <c r="G430" s="67"/>
      <c r="H430" s="67"/>
      <c r="I430" s="67"/>
      <c r="J430" s="67"/>
      <c r="K430" s="73"/>
      <c r="L430" s="73"/>
      <c r="M430" s="67"/>
      <c r="N430" s="67"/>
      <c r="O430" s="67"/>
      <c r="P430" s="67"/>
      <c r="Q430" s="67"/>
      <c r="R430" s="73"/>
      <c r="S430" s="73"/>
      <c r="T430" s="67"/>
      <c r="U430" s="67"/>
      <c r="V430" s="121">
        <f>(VLOOKUP($A430,Pitchers!$A1:$S251,4,FALSE)-AVERAGE(Rankings!AC2:AC651))/STDEV(Rankings!AC2:AC651)</f>
        <v>1.1903999154638745</v>
      </c>
      <c r="W430" s="121">
        <f>(VLOOKUP($A430,Pitchers!$A1:$S251,5,FALSE)-AVERAGE(Rankings!AD2:AD651))/STDEV(Rankings!AD2:AD651)*-1</f>
        <v>0.43956905141882918</v>
      </c>
      <c r="X430" s="121">
        <f>(VLOOKUP($A430,Pitchers!$A1:$S251,6,FALSE)-AVERAGE(Rankings!AE2:AE651))/STDEV(Rankings!AE2:AE651)*-1</f>
        <v>1.0784991586030923</v>
      </c>
      <c r="Y430" s="121">
        <f>(VLOOKUP($A430,Pitchers!$A1:$S251,7,FALSE)-AVERAGE(Rankings!AF2:AF651))/STDEV(Rankings!AF2:AF651)</f>
        <v>1.3454390334572788</v>
      </c>
      <c r="Z430" s="121">
        <f>(VLOOKUP($A430,Pitchers!$A1:$S251,8,FALSE)-AVERAGE(Rankings!AG2:AG651))/STDEV(Rankings!AG2:AG651)</f>
        <v>1.3398531257258359</v>
      </c>
      <c r="AA430" s="121">
        <f>(VLOOKUP($A430,Pitchers!$A1:$S251,9,FALSE)-AVERAGE(Rankings!AH2:AH651))/STDEV(Rankings!AH2:AH651)</f>
        <v>-0.46414446215037364</v>
      </c>
      <c r="AB430" s="121">
        <f>(VLOOKUP($A430,Pitchers!$A1:$S251,10,FALSE)-AVERAGE(Rankings!AI2:AI651))/STDEV(Rankings!AI2:AI651)*-1</f>
        <v>-0.81643706791458293</v>
      </c>
      <c r="AC430" s="121">
        <f>(VLOOKUP($A430,Pitchers!$A1:$S251,11,FALSE)-AVERAGE(Rankings!AJ2:AJ651))/STDEV(Rankings!AJ2:AJ651)*-1</f>
        <v>-0.84239477303377486</v>
      </c>
      <c r="AD430" s="121">
        <f>(VLOOKUP($A430,Pitchers!$A1:$S251,12,FALSE)-AVERAGE(Rankings!AK2:AK651))/STDEV(Rankings!AK2:AK651)*-1</f>
        <v>-0.76464264978354457</v>
      </c>
      <c r="AE430" s="121">
        <f>IFERROR((VLOOKUP($A430,Pitchers!$A1:$S251,13,FALSE)-AVERAGE(Rankings!AL2:AL651))/STDEV(Rankings!AL2:AL651)*-1,0)</f>
        <v>-1.429556144354029</v>
      </c>
      <c r="AF430" s="121">
        <f>(VLOOKUP($A430,Pitchers!$A1:$S251,14,FALSE)-AVERAGE(Rankings!AM2:AM651))/STDEV(Rankings!AM2:AM651)</f>
        <v>-0.67491234512156595</v>
      </c>
      <c r="AG430" s="121">
        <f>(VLOOKUP($A430,Pitchers!$A1:$S251,15,FALSE)-AVERAGE(Rankings!AN2:AN651))/STDEV(Rankings!AN2:AN651)</f>
        <v>1.015015690687944</v>
      </c>
      <c r="AH430" s="121">
        <f>(VLOOKUP($A430,Pitchers!$A1:$S251,16,FALSE)-AVERAGE(Rankings!AO2:AO651))/STDEV(Rankings!AO2:AO651)*-1</f>
        <v>-0.2802765744289184</v>
      </c>
      <c r="AI430" s="121">
        <f>IFERROR((VLOOKUP($A430,Pitchers!$A1:$S251,17,FALSE)-AVERAGE(Rankings!AP2:AP651))/STDEV(Rankings!AP2:AP651),0)</f>
        <v>0.87970255654502605</v>
      </c>
      <c r="AJ430" s="121">
        <f>(VLOOKUP($A430,Pitchers!$A1:$S251,18,FALSE)-AVERAGE(Rankings!AQ2:AQ651))/STDEV(Rankings!AQ2:AQ651)</f>
        <v>-0.68467156957913733</v>
      </c>
      <c r="AK430" s="121">
        <f>IFERROR((VLOOKUP($A430,Pitchers!$A1:$S251,19,FALSE)-AVERAGE(Rankings!AR2:AR651))/STDEV(Rankings!AR2:AR651)*-1,0)</f>
        <v>0.47041511698728217</v>
      </c>
    </row>
    <row r="431" spans="1:37" ht="18.600000000000001" customHeight="1">
      <c r="A431" s="25" t="s">
        <v>169</v>
      </c>
      <c r="B431" s="26" t="s">
        <v>103</v>
      </c>
      <c r="C431" s="130" t="s">
        <v>31</v>
      </c>
      <c r="D431" s="67">
        <f>(V431*Settings!$G$2)+(Y431*Settings!$G$5)+(Z431*Settings!$G$6)+(AA431*Settings!$G$7)+(AB431*Settings!$G$8)+(AC431*Settings!$G$9)+(AD431*Settings!$G$10)+(AE431*Settings!$G$11)+(AF431*Settings!$G$12)+(AG431*Settings!$G$13)+(AH431*Settings!$G$14)+(AI431*Settings!$G$15)+(AJ431*Settings!$G$16)+(AK431*Settings!$G$17)+(W431*Settings!$G$3)+(X431*Settings!$G$4)</f>
        <v>3.8307820320338899</v>
      </c>
      <c r="E431" s="67"/>
      <c r="F431" s="67"/>
      <c r="G431" s="67"/>
      <c r="H431" s="67"/>
      <c r="I431" s="67"/>
      <c r="J431" s="67"/>
      <c r="K431" s="73"/>
      <c r="L431" s="73"/>
      <c r="M431" s="67"/>
      <c r="N431" s="67"/>
      <c r="O431" s="67"/>
      <c r="P431" s="67"/>
      <c r="Q431" s="67"/>
      <c r="R431" s="73"/>
      <c r="S431" s="73"/>
      <c r="T431" s="67"/>
      <c r="U431" s="67"/>
      <c r="V431" s="121">
        <f>(VLOOKUP($A431,Pitchers!$A1:$S251,4,FALSE)-AVERAGE(Rankings!AC2:AC651))/STDEV(Rankings!AC2:AC651)</f>
        <v>0.31953274043986629</v>
      </c>
      <c r="W431" s="121">
        <f>(VLOOKUP($A431,Pitchers!$A1:$S251,5,FALSE)-AVERAGE(Rankings!AD2:AD651))/STDEV(Rankings!AD2:AD651)*-1</f>
        <v>1.1609245750554946</v>
      </c>
      <c r="X431" s="121">
        <f>(VLOOKUP($A431,Pitchers!$A1:$S251,6,FALSE)-AVERAGE(Rankings!AE2:AE651))/STDEV(Rankings!AE2:AE651)*-1</f>
        <v>1.4282444559767233</v>
      </c>
      <c r="Y431" s="121">
        <f>(VLOOKUP($A431,Pitchers!$A1:$S251,7,FALSE)-AVERAGE(Rankings!AF2:AF651))/STDEV(Rankings!AF2:AF651)</f>
        <v>1.2517722861366585</v>
      </c>
      <c r="Z431" s="121">
        <f>(VLOOKUP($A431,Pitchers!$A1:$S251,8,FALSE)-AVERAGE(Rankings!AG2:AG651))/STDEV(Rankings!AG2:AG651)</f>
        <v>0.45398517701538704</v>
      </c>
      <c r="AA431" s="121">
        <f>(VLOOKUP($A431,Pitchers!$A1:$S251,9,FALSE)-AVERAGE(Rankings!AH2:AH651))/STDEV(Rankings!AH2:AH651)</f>
        <v>-0.46414446215037364</v>
      </c>
      <c r="AB431" s="121">
        <f>(VLOOKUP($A431,Pitchers!$A1:$S251,10,FALSE)-AVERAGE(Rankings!AI2:AI651))/STDEV(Rankings!AI2:AI651)*-1</f>
        <v>0.14763151641259439</v>
      </c>
      <c r="AC431" s="121">
        <f>(VLOOKUP($A431,Pitchers!$A1:$S251,11,FALSE)-AVERAGE(Rankings!AJ2:AJ651))/STDEV(Rankings!AJ2:AJ651)*-1</f>
        <v>0.12444639180170106</v>
      </c>
      <c r="AD431" s="121">
        <f>(VLOOKUP($A431,Pitchers!$A1:$S251,12,FALSE)-AVERAGE(Rankings!AK2:AK651))/STDEV(Rankings!AK2:AK651)*-1</f>
        <v>-0.420506303379443</v>
      </c>
      <c r="AE431" s="121">
        <f>IFERROR((VLOOKUP($A431,Pitchers!$A1:$S251,13,FALSE)-AVERAGE(Rankings!AL2:AL651))/STDEV(Rankings!AL2:AL651)*-1,0)</f>
        <v>-0.23249573319043931</v>
      </c>
      <c r="AF431" s="121">
        <f>(VLOOKUP($A431,Pitchers!$A1:$S251,14,FALSE)-AVERAGE(Rankings!AM2:AM651))/STDEV(Rankings!AM2:AM651)</f>
        <v>-0.95615743507574047</v>
      </c>
      <c r="AG431" s="121">
        <f>(VLOOKUP($A431,Pitchers!$A1:$S251,15,FALSE)-AVERAGE(Rankings!AN2:AN651))/STDEV(Rankings!AN2:AN651)</f>
        <v>0.67997455523054207</v>
      </c>
      <c r="AH431" s="121">
        <f>(VLOOKUP($A431,Pitchers!$A1:$S251,16,FALSE)-AVERAGE(Rankings!AO2:AO651))/STDEV(Rankings!AO2:AO651)*-1</f>
        <v>0.49632101292328423</v>
      </c>
      <c r="AI431" s="121">
        <f>IFERROR((VLOOKUP($A431,Pitchers!$A1:$S251,17,FALSE)-AVERAGE(Rankings!AP2:AP651))/STDEV(Rankings!AP2:AP651),0)</f>
        <v>1.1662506205662073</v>
      </c>
      <c r="AJ431" s="121">
        <f>(VLOOKUP($A431,Pitchers!$A1:$S251,18,FALSE)-AVERAGE(Rankings!AQ2:AQ651))/STDEV(Rankings!AQ2:AQ651)</f>
        <v>-0.68467156957913733</v>
      </c>
      <c r="AK431" s="121">
        <f>IFERROR((VLOOKUP($A431,Pitchers!$A1:$S251,19,FALSE)-AVERAGE(Rankings!AR2:AR651))/STDEV(Rankings!AR2:AR651)*-1,0)</f>
        <v>0.47041511698728217</v>
      </c>
    </row>
    <row r="432" spans="1:37" ht="18.600000000000001" customHeight="1">
      <c r="A432" s="25" t="s">
        <v>224</v>
      </c>
      <c r="B432" s="26" t="s">
        <v>225</v>
      </c>
      <c r="C432" s="130" t="s">
        <v>31</v>
      </c>
      <c r="D432" s="67">
        <f>(V432*Settings!$G$2)+(Y432*Settings!$G$5)+(Z432*Settings!$G$6)+(AA432*Settings!$G$7)+(AB432*Settings!$G$8)+(AC432*Settings!$G$9)+(AD432*Settings!$G$10)+(AE432*Settings!$G$11)+(AF432*Settings!$G$12)+(AG432*Settings!$G$13)+(AH432*Settings!$G$14)+(AI432*Settings!$G$15)+(AJ432*Settings!$G$16)+(AK432*Settings!$G$17)+(W432*Settings!$G$3)+(X432*Settings!$G$4)</f>
        <v>2.1944077834506333</v>
      </c>
      <c r="E432" s="67"/>
      <c r="F432" s="67"/>
      <c r="G432" s="67"/>
      <c r="H432" s="67"/>
      <c r="I432" s="67"/>
      <c r="J432" s="67"/>
      <c r="K432" s="73"/>
      <c r="L432" s="73"/>
      <c r="M432" s="67"/>
      <c r="N432" s="67"/>
      <c r="O432" s="67"/>
      <c r="P432" s="67"/>
      <c r="Q432" s="67"/>
      <c r="R432" s="73"/>
      <c r="S432" s="73"/>
      <c r="T432" s="67"/>
      <c r="U432" s="67"/>
      <c r="V432" s="121">
        <f>(VLOOKUP($A432,Pitchers!$A1:$S251,4,FALSE)-AVERAGE(Rankings!AC2:AC651))/STDEV(Rankings!AC2:AC651)</f>
        <v>0.98503334501656004</v>
      </c>
      <c r="W432" s="121">
        <f>(VLOOKUP($A432,Pitchers!$A1:$S251,5,FALSE)-AVERAGE(Rankings!AD2:AD651))/STDEV(Rankings!AD2:AD651)*-1</f>
        <v>-0.3367519855086421</v>
      </c>
      <c r="X432" s="121">
        <f>(VLOOKUP($A432,Pitchers!$A1:$S251,6,FALSE)-AVERAGE(Rankings!AE2:AE651))/STDEV(Rankings!AE2:AE651)*-1</f>
        <v>0.62522986965795169</v>
      </c>
      <c r="Y432" s="121">
        <f>(VLOOKUP($A432,Pitchers!$A1:$S251,7,FALSE)-AVERAGE(Rankings!AF2:AF651))/STDEV(Rankings!AF2:AF651)</f>
        <v>1.8355557345535425</v>
      </c>
      <c r="Z432" s="121">
        <f>(VLOOKUP($A432,Pitchers!$A1:$S251,8,FALSE)-AVERAGE(Rankings!AG2:AG651))/STDEV(Rankings!AG2:AG651)</f>
        <v>0.53451862689815488</v>
      </c>
      <c r="AA432" s="121">
        <f>(VLOOKUP($A432,Pitchers!$A1:$S251,9,FALSE)-AVERAGE(Rankings!AH2:AH651))/STDEV(Rankings!AH2:AH651)</f>
        <v>-0.46414446215037364</v>
      </c>
      <c r="AB432" s="121">
        <f>(VLOOKUP($A432,Pitchers!$A1:$S251,10,FALSE)-AVERAGE(Rankings!AI2:AI651))/STDEV(Rankings!AI2:AI651)*-1</f>
        <v>-0.96960684299460209</v>
      </c>
      <c r="AC432" s="121">
        <f>(VLOOKUP($A432,Pitchers!$A1:$S251,11,FALSE)-AVERAGE(Rankings!AJ2:AJ651))/STDEV(Rankings!AJ2:AJ651)*-1</f>
        <v>-0.57295888959800634</v>
      </c>
      <c r="AD432" s="121">
        <f>(VLOOKUP($A432,Pitchers!$A1:$S251,12,FALSE)-AVERAGE(Rankings!AK2:AK651))/STDEV(Rankings!AK2:AK651)*-1</f>
        <v>-1.4236271428977822</v>
      </c>
      <c r="AE432" s="121">
        <f>IFERROR((VLOOKUP($A432,Pitchers!$A1:$S251,13,FALSE)-AVERAGE(Rankings!AL2:AL651))/STDEV(Rankings!AL2:AL651)*-1,0)</f>
        <v>-1.296549432002519</v>
      </c>
      <c r="AF432" s="121">
        <f>(VLOOKUP($A432,Pitchers!$A1:$S251,14,FALSE)-AVERAGE(Rankings!AM2:AM651))/STDEV(Rankings!AM2:AM651)</f>
        <v>-0.64438962218080265</v>
      </c>
      <c r="AG432" s="121">
        <f>(VLOOKUP($A432,Pitchers!$A1:$S251,15,FALSE)-AVERAGE(Rankings!AN2:AN651))/STDEV(Rankings!AN2:AN651)</f>
        <v>1.0513767441484374</v>
      </c>
      <c r="AH432" s="121">
        <f>(VLOOKUP($A432,Pitchers!$A1:$S251,16,FALSE)-AVERAGE(Rankings!AO2:AO651))/STDEV(Rankings!AO2:AO651)*-1</f>
        <v>-1.4952760256089774</v>
      </c>
      <c r="AI432" s="121">
        <f>IFERROR((VLOOKUP($A432,Pitchers!$A1:$S251,17,FALSE)-AVERAGE(Rankings!AP2:AP651))/STDEV(Rankings!AP2:AP651),0)</f>
        <v>1.0229765885556166</v>
      </c>
      <c r="AJ432" s="121">
        <f>(VLOOKUP($A432,Pitchers!$A1:$S251,18,FALSE)-AVERAGE(Rankings!AQ2:AQ651))/STDEV(Rankings!AQ2:AQ651)</f>
        <v>-0.68467156957913733</v>
      </c>
      <c r="AK432" s="121">
        <f>IFERROR((VLOOKUP($A432,Pitchers!$A1:$S251,19,FALSE)-AVERAGE(Rankings!AR2:AR651))/STDEV(Rankings!AR2:AR651)*-1,0)</f>
        <v>0.47041511698728217</v>
      </c>
    </row>
    <row r="433" spans="1:37" ht="18.600000000000001" customHeight="1">
      <c r="A433" s="25" t="s">
        <v>233</v>
      </c>
      <c r="B433" s="26" t="s">
        <v>225</v>
      </c>
      <c r="C433" s="130" t="s">
        <v>31</v>
      </c>
      <c r="D433" s="67">
        <f>(V433*Settings!$G$2)+(Y433*Settings!$G$5)+(Z433*Settings!$G$6)+(AA433*Settings!$G$7)+(AB433*Settings!$G$8)+(AC433*Settings!$G$9)+(AD433*Settings!$G$10)+(AE433*Settings!$G$11)+(AF433*Settings!$G$12)+(AG433*Settings!$G$13)+(AH433*Settings!$G$14)+(AI433*Settings!$G$15)+(AJ433*Settings!$G$16)+(AK433*Settings!$G$17)+(W433*Settings!$G$3)+(X433*Settings!$G$4)</f>
        <v>2.0168519251974701</v>
      </c>
      <c r="E433" s="67"/>
      <c r="F433" s="67"/>
      <c r="G433" s="67"/>
      <c r="H433" s="67"/>
      <c r="I433" s="67"/>
      <c r="J433" s="67"/>
      <c r="K433" s="73"/>
      <c r="L433" s="73"/>
      <c r="M433" s="67"/>
      <c r="N433" s="67"/>
      <c r="O433" s="67"/>
      <c r="P433" s="67"/>
      <c r="Q433" s="67"/>
      <c r="R433" s="73"/>
      <c r="S433" s="73"/>
      <c r="T433" s="67"/>
      <c r="U433" s="67"/>
      <c r="V433" s="121">
        <f>(VLOOKUP($A433,Pitchers!$A1:$S251,4,FALSE)-AVERAGE(Rankings!AC2:AC651))/STDEV(Rankings!AC2:AC651)</f>
        <v>0.92081218381138541</v>
      </c>
      <c r="W433" s="121">
        <f>(VLOOKUP($A433,Pitchers!$A1:$S251,5,FALSE)-AVERAGE(Rankings!AD2:AD651))/STDEV(Rankings!AD2:AD651)*-1</f>
        <v>0.17520172727304972</v>
      </c>
      <c r="X433" s="121">
        <f>(VLOOKUP($A433,Pitchers!$A1:$S251,6,FALSE)-AVERAGE(Rankings!AE2:AE651))/STDEV(Rankings!AE2:AE651)*-1</f>
        <v>0.28151240434851238</v>
      </c>
      <c r="Y433" s="121">
        <f>(VLOOKUP($A433,Pitchers!$A1:$S251,7,FALSE)-AVERAGE(Rankings!AF2:AF651))/STDEV(Rankings!AF2:AF651)</f>
        <v>1.6206304848876252</v>
      </c>
      <c r="Z433" s="121">
        <f>(VLOOKUP($A433,Pitchers!$A1:$S251,8,FALSE)-AVERAGE(Rankings!AG2:AG651))/STDEV(Rankings!AG2:AG651)</f>
        <v>0.40365177083865661</v>
      </c>
      <c r="AA433" s="121">
        <f>(VLOOKUP($A433,Pitchers!$A1:$S251,9,FALSE)-AVERAGE(Rankings!AH2:AH651))/STDEV(Rankings!AH2:AH651)</f>
        <v>-0.46414446215037364</v>
      </c>
      <c r="AB433" s="121">
        <f>(VLOOKUP($A433,Pitchers!$A1:$S251,10,FALSE)-AVERAGE(Rankings!AI2:AI651))/STDEV(Rankings!AI2:AI651)*-1</f>
        <v>-0.70080890437378485</v>
      </c>
      <c r="AC433" s="121">
        <f>(VLOOKUP($A433,Pitchers!$A1:$S251,11,FALSE)-AVERAGE(Rankings!AJ2:AJ651))/STDEV(Rankings!AJ2:AJ651)*-1</f>
        <v>-0.63836285074864141</v>
      </c>
      <c r="AD433" s="121">
        <f>(VLOOKUP($A433,Pitchers!$A1:$S251,12,FALSE)-AVERAGE(Rankings!AK2:AK651))/STDEV(Rankings!AK2:AK651)*-1</f>
        <v>-1.3308811772002236</v>
      </c>
      <c r="AE433" s="121">
        <f>IFERROR((VLOOKUP($A433,Pitchers!$A1:$S251,13,FALSE)-AVERAGE(Rankings!AL2:AL651))/STDEV(Rankings!AL2:AL651)*-1,0)</f>
        <v>-0.76452258259647921</v>
      </c>
      <c r="AF433" s="121">
        <f>(VLOOKUP($A433,Pitchers!$A1:$S251,14,FALSE)-AVERAGE(Rankings!AM2:AM651))/STDEV(Rankings!AM2:AM651)</f>
        <v>-0.7533993469692426</v>
      </c>
      <c r="AG433" s="121">
        <f>(VLOOKUP($A433,Pitchers!$A1:$S251,15,FALSE)-AVERAGE(Rankings!AN2:AN651))/STDEV(Rankings!AN2:AN651)</f>
        <v>0.89554365788918056</v>
      </c>
      <c r="AH433" s="121">
        <f>(VLOOKUP($A433,Pitchers!$A1:$S251,16,FALSE)-AVERAGE(Rankings!AO2:AO651))/STDEV(Rankings!AO2:AO651)*-1</f>
        <v>-0.86898764871203937</v>
      </c>
      <c r="AI433" s="121">
        <f>IFERROR((VLOOKUP($A433,Pitchers!$A1:$S251,17,FALSE)-AVERAGE(Rankings!AP2:AP651))/STDEV(Rankings!AP2:AP651),0)</f>
        <v>1.3095246525767978</v>
      </c>
      <c r="AJ433" s="121">
        <f>(VLOOKUP($A433,Pitchers!$A1:$S251,18,FALSE)-AVERAGE(Rankings!AQ2:AQ651))/STDEV(Rankings!AQ2:AQ651)</f>
        <v>-0.68467156957913733</v>
      </c>
      <c r="AK433" s="121">
        <f>IFERROR((VLOOKUP($A433,Pitchers!$A1:$S251,19,FALSE)-AVERAGE(Rankings!AR2:AR651))/STDEV(Rankings!AR2:AR651)*-1,0)</f>
        <v>0.47041511698728217</v>
      </c>
    </row>
    <row r="434" spans="1:37" ht="18.600000000000001" customHeight="1">
      <c r="A434" s="25" t="s">
        <v>156</v>
      </c>
      <c r="B434" s="26" t="s">
        <v>82</v>
      </c>
      <c r="C434" s="130" t="s">
        <v>31</v>
      </c>
      <c r="D434" s="67">
        <f>(V434*Settings!$G$2)+(Y434*Settings!$G$5)+(Z434*Settings!$G$6)+(AA434*Settings!$G$7)+(AB434*Settings!$G$8)+(AC434*Settings!$G$9)+(AD434*Settings!$G$10)+(AE434*Settings!$G$11)+(AF434*Settings!$G$12)+(AG434*Settings!$G$13)+(AH434*Settings!$G$14)+(AI434*Settings!$G$15)+(AJ434*Settings!$G$16)+(AK434*Settings!$G$17)+(W434*Settings!$G$3)+(X434*Settings!$G$4)</f>
        <v>4.1571580327367759</v>
      </c>
      <c r="E434" s="67"/>
      <c r="F434" s="67"/>
      <c r="G434" s="67"/>
      <c r="H434" s="67"/>
      <c r="I434" s="67"/>
      <c r="J434" s="67"/>
      <c r="K434" s="73"/>
      <c r="L434" s="73"/>
      <c r="M434" s="67"/>
      <c r="N434" s="67"/>
      <c r="O434" s="67"/>
      <c r="P434" s="67"/>
      <c r="Q434" s="67"/>
      <c r="R434" s="73"/>
      <c r="S434" s="73"/>
      <c r="T434" s="67"/>
      <c r="U434" s="67"/>
      <c r="V434" s="121">
        <f>(VLOOKUP($A434,Pitchers!$A1:$S251,4,FALSE)-AVERAGE(Rankings!AC2:AC651))/STDEV(Rankings!AC2:AC651)</f>
        <v>0.46491251195927169</v>
      </c>
      <c r="W434" s="121">
        <f>(VLOOKUP($A434,Pitchers!$A1:$S251,5,FALSE)-AVERAGE(Rankings!AD2:AD651))/STDEV(Rankings!AD2:AD651)*-1</f>
        <v>1.2278440922473024</v>
      </c>
      <c r="X434" s="121">
        <f>(VLOOKUP($A434,Pitchers!$A1:$S251,6,FALSE)-AVERAGE(Rankings!AE2:AE651))/STDEV(Rankings!AE2:AE651)*-1</f>
        <v>1.4366759441874042</v>
      </c>
      <c r="Y434" s="121">
        <f>(VLOOKUP($A434,Pitchers!$A1:$S251,7,FALSE)-AVERAGE(Rankings!AF2:AF651))/STDEV(Rankings!AF2:AF651)</f>
        <v>0.66726273890333709</v>
      </c>
      <c r="Z434" s="121">
        <f>(VLOOKUP($A434,Pitchers!$A1:$S251,8,FALSE)-AVERAGE(Rankings!AG2:AG651))/STDEV(Rankings!AG2:AG651)</f>
        <v>1.2895197195491055</v>
      </c>
      <c r="AA434" s="121">
        <f>(VLOOKUP($A434,Pitchers!$A1:$S251,9,FALSE)-AVERAGE(Rankings!AH2:AH651))/STDEV(Rankings!AH2:AH651)</f>
        <v>-0.46414446215037364</v>
      </c>
      <c r="AB434" s="121">
        <f>(VLOOKUP($A434,Pitchers!$A1:$S251,10,FALSE)-AVERAGE(Rankings!AI2:AI651))/STDEV(Rankings!AI2:AI651)*-1</f>
        <v>6.3538306564740868E-2</v>
      </c>
      <c r="AC434" s="121">
        <f>(VLOOKUP($A434,Pitchers!$A1:$S251,11,FALSE)-AVERAGE(Rankings!AJ2:AJ651))/STDEV(Rankings!AJ2:AJ651)*-1</f>
        <v>-0.33267042363154248</v>
      </c>
      <c r="AD434" s="121">
        <f>(VLOOKUP($A434,Pitchers!$A1:$S251,12,FALSE)-AVERAGE(Rankings!AK2:AK651))/STDEV(Rankings!AK2:AK651)*-1</f>
        <v>0.61678410244852377</v>
      </c>
      <c r="AE434" s="121">
        <f>IFERROR((VLOOKUP($A434,Pitchers!$A1:$S251,13,FALSE)-AVERAGE(Rankings!AL2:AL651))/STDEV(Rankings!AL2:AL651)*-1,0)</f>
        <v>-0.89752929494798916</v>
      </c>
      <c r="AF434" s="121">
        <f>(VLOOKUP($A434,Pitchers!$A1:$S251,14,FALSE)-AVERAGE(Rankings!AM2:AM651))/STDEV(Rankings!AM2:AM651)</f>
        <v>-1.0128424919657295</v>
      </c>
      <c r="AG434" s="121">
        <f>(VLOOKUP($A434,Pitchers!$A1:$S251,15,FALSE)-AVERAGE(Rankings!AN2:AN651))/STDEV(Rankings!AN2:AN651)</f>
        <v>0.61244688451819707</v>
      </c>
      <c r="AH434" s="121">
        <f>(VLOOKUP($A434,Pitchers!$A1:$S251,16,FALSE)-AVERAGE(Rankings!AO2:AO651))/STDEV(Rankings!AO2:AO651)*-1</f>
        <v>4.5393381557489051E-2</v>
      </c>
      <c r="AI434" s="121">
        <f>IFERROR((VLOOKUP($A434,Pitchers!$A1:$S251,17,FALSE)-AVERAGE(Rankings!AP2:AP651))/STDEV(Rankings!AP2:AP651),0)</f>
        <v>1.3095246525767978</v>
      </c>
      <c r="AJ434" s="121">
        <f>(VLOOKUP($A434,Pitchers!$A1:$S251,18,FALSE)-AVERAGE(Rankings!AQ2:AQ651))/STDEV(Rankings!AQ2:AQ651)</f>
        <v>-0.68467156957913733</v>
      </c>
      <c r="AK434" s="121">
        <f>IFERROR((VLOOKUP($A434,Pitchers!$A1:$S251,19,FALSE)-AVERAGE(Rankings!AR2:AR651))/STDEV(Rankings!AR2:AR651)*-1,0)</f>
        <v>0.47041511698728217</v>
      </c>
    </row>
    <row r="435" spans="1:37" ht="18.600000000000001" customHeight="1">
      <c r="A435" s="25" t="s">
        <v>226</v>
      </c>
      <c r="B435" s="26" t="s">
        <v>64</v>
      </c>
      <c r="C435" s="130" t="s">
        <v>31</v>
      </c>
      <c r="D435" s="67">
        <f>(V435*Settings!$G$2)+(Y435*Settings!$G$5)+(Z435*Settings!$G$6)+(AA435*Settings!$G$7)+(AB435*Settings!$G$8)+(AC435*Settings!$G$9)+(AD435*Settings!$G$10)+(AE435*Settings!$G$11)+(AF435*Settings!$G$12)+(AG435*Settings!$G$13)+(AH435*Settings!$G$14)+(AI435*Settings!$G$15)+(AJ435*Settings!$G$16)+(AK435*Settings!$G$17)+(W435*Settings!$G$3)+(X435*Settings!$G$4)</f>
        <v>2.1873406780819118</v>
      </c>
      <c r="E435" s="67"/>
      <c r="F435" s="67"/>
      <c r="G435" s="67"/>
      <c r="H435" s="67"/>
      <c r="I435" s="67"/>
      <c r="J435" s="67"/>
      <c r="K435" s="73"/>
      <c r="L435" s="73"/>
      <c r="M435" s="67"/>
      <c r="N435" s="67"/>
      <c r="O435" s="67"/>
      <c r="P435" s="67"/>
      <c r="Q435" s="67"/>
      <c r="R435" s="73"/>
      <c r="S435" s="73"/>
      <c r="T435" s="67"/>
      <c r="U435" s="67"/>
      <c r="V435" s="121">
        <f>(VLOOKUP($A435,Pitchers!$A1:$S251,4,FALSE)-AVERAGE(Rankings!AC2:AC651))/STDEV(Rankings!AC2:AC651)</f>
        <v>0.61452664575594074</v>
      </c>
      <c r="W435" s="121">
        <f>(VLOOKUP($A435,Pitchers!$A1:$S251,5,FALSE)-AVERAGE(Rankings!AD2:AD651))/STDEV(Rankings!AD2:AD651)*-1</f>
        <v>0.41020869291170187</v>
      </c>
      <c r="X435" s="121">
        <f>(VLOOKUP($A435,Pitchers!$A1:$S251,6,FALSE)-AVERAGE(Rankings!AE2:AE651))/STDEV(Rankings!AE2:AE651)*-1</f>
        <v>-7.4615122357232833E-2</v>
      </c>
      <c r="Y435" s="121">
        <f>(VLOOKUP($A435,Pitchers!$A1:$S251,7,FALSE)-AVERAGE(Rankings!AF2:AF651))/STDEV(Rankings!AF2:AF651)</f>
        <v>1.4391057807778975</v>
      </c>
      <c r="Z435" s="121">
        <f>(VLOOKUP($A435,Pitchers!$A1:$S251,8,FALSE)-AVERAGE(Rankings!AG2:AG651))/STDEV(Rankings!AG2:AG651)</f>
        <v>0.87678578889991898</v>
      </c>
      <c r="AA435" s="121">
        <f>(VLOOKUP($A435,Pitchers!$A1:$S251,9,FALSE)-AVERAGE(Rankings!AH2:AH651))/STDEV(Rankings!AH2:AH651)</f>
        <v>-0.46414446215037364</v>
      </c>
      <c r="AB435" s="121">
        <f>(VLOOKUP($A435,Pitchers!$A1:$S251,10,FALSE)-AVERAGE(Rankings!AI2:AI651))/STDEV(Rankings!AI2:AI651)*-1</f>
        <v>-0.3494194203666825</v>
      </c>
      <c r="AC435" s="121">
        <f>(VLOOKUP($A435,Pitchers!$A1:$S251,11,FALSE)-AVERAGE(Rankings!AJ2:AJ651))/STDEV(Rankings!AJ2:AJ651)*-1</f>
        <v>-0.29285931684419919</v>
      </c>
      <c r="AD435" s="121">
        <f>(VLOOKUP($A435,Pitchers!$A1:$S251,12,FALSE)-AVERAGE(Rankings!AK2:AK651))/STDEV(Rankings!AK2:AK651)*-1</f>
        <v>-1.6237631741398846</v>
      </c>
      <c r="AE435" s="121">
        <f>IFERROR((VLOOKUP($A435,Pitchers!$A1:$S251,13,FALSE)-AVERAGE(Rankings!AL2:AL651))/STDEV(Rankings!AL2:AL651)*-1,0)</f>
        <v>-0.49850915789345923</v>
      </c>
      <c r="AF435" s="121">
        <f>(VLOOKUP($A435,Pitchers!$A1:$S251,14,FALSE)-AVERAGE(Rankings!AM2:AM651))/STDEV(Rankings!AM2:AM651)</f>
        <v>-0.79046265339731214</v>
      </c>
      <c r="AG435" s="121">
        <f>(VLOOKUP($A435,Pitchers!$A1:$S251,15,FALSE)-AVERAGE(Rankings!AN2:AN651))/STDEV(Rankings!AN2:AN651)</f>
        <v>0.85139095011572441</v>
      </c>
      <c r="AH435" s="121">
        <f>(VLOOKUP($A435,Pitchers!$A1:$S251,16,FALSE)-AVERAGE(Rankings!AO2:AO651))/STDEV(Rankings!AO2:AO651)*-1</f>
        <v>-0.39300848227036744</v>
      </c>
      <c r="AI435" s="121">
        <f>IFERROR((VLOOKUP($A435,Pitchers!$A1:$S251,17,FALSE)-AVERAGE(Rankings!AP2:AP651))/STDEV(Rankings!AP2:AP651),0)</f>
        <v>1.0229765885556166</v>
      </c>
      <c r="AJ435" s="121">
        <f>(VLOOKUP($A435,Pitchers!$A1:$S251,18,FALSE)-AVERAGE(Rankings!AQ2:AQ651))/STDEV(Rankings!AQ2:AQ651)</f>
        <v>-0.68467156957913733</v>
      </c>
      <c r="AK435" s="121">
        <f>IFERROR((VLOOKUP($A435,Pitchers!$A1:$S251,19,FALSE)-AVERAGE(Rankings!AR2:AR651))/STDEV(Rankings!AR2:AR651)*-1,0)</f>
        <v>0.47041511698728217</v>
      </c>
    </row>
    <row r="436" spans="1:37" ht="18.600000000000001" customHeight="1">
      <c r="A436" s="25" t="s">
        <v>195</v>
      </c>
      <c r="B436" s="26" t="s">
        <v>103</v>
      </c>
      <c r="C436" s="130" t="s">
        <v>31</v>
      </c>
      <c r="D436" s="67">
        <f>(V436*Settings!$G$2)+(Y436*Settings!$G$5)+(Z436*Settings!$G$6)+(AA436*Settings!$G$7)+(AB436*Settings!$G$8)+(AC436*Settings!$G$9)+(AD436*Settings!$G$10)+(AE436*Settings!$G$11)+(AF436*Settings!$G$12)+(AG436*Settings!$G$13)+(AH436*Settings!$G$14)+(AI436*Settings!$G$15)+(AJ436*Settings!$G$16)+(AK436*Settings!$G$17)+(W436*Settings!$G$3)+(X436*Settings!$G$4)</f>
        <v>3.059603201514645</v>
      </c>
      <c r="E436" s="67"/>
      <c r="F436" s="67"/>
      <c r="G436" s="67"/>
      <c r="H436" s="67"/>
      <c r="I436" s="67"/>
      <c r="J436" s="67"/>
      <c r="K436" s="73"/>
      <c r="L436" s="73"/>
      <c r="M436" s="67"/>
      <c r="N436" s="67"/>
      <c r="O436" s="67"/>
      <c r="P436" s="67"/>
      <c r="Q436" s="67"/>
      <c r="R436" s="73"/>
      <c r="S436" s="73"/>
      <c r="T436" s="67"/>
      <c r="U436" s="67"/>
      <c r="V436" s="121">
        <f>(VLOOKUP($A436,Pitchers!$A1:$S251,4,FALSE)-AVERAGE(Rankings!AC2:AC651))/STDEV(Rankings!AC2:AC651)</f>
        <v>0.78390113684650953</v>
      </c>
      <c r="W436" s="121">
        <f>(VLOOKUP($A436,Pitchers!$A1:$S251,5,FALSE)-AVERAGE(Rankings!AD2:AD651))/STDEV(Rankings!AD2:AD651)*-1</f>
        <v>0.95043367426243219</v>
      </c>
      <c r="X436" s="121">
        <f>(VLOOKUP($A436,Pitchers!$A1:$S251,6,FALSE)-AVERAGE(Rankings!AE2:AE651))/STDEV(Rankings!AE2:AE651)*-1</f>
        <v>0.81276097681663362</v>
      </c>
      <c r="Y436" s="121">
        <f>(VLOOKUP($A436,Pitchers!$A1:$S251,7,FALSE)-AVERAGE(Rankings!AF2:AF651))/STDEV(Rankings!AF2:AF651)</f>
        <v>1.0448341234515701</v>
      </c>
      <c r="Z436" s="121">
        <f>(VLOOKUP($A436,Pitchers!$A1:$S251,8,FALSE)-AVERAGE(Rankings!AG2:AG651))/STDEV(Rankings!AG2:AG651)</f>
        <v>0.71571888913438286</v>
      </c>
      <c r="AA436" s="121">
        <f>(VLOOKUP($A436,Pitchers!$A1:$S251,9,FALSE)-AVERAGE(Rankings!AH2:AH651))/STDEV(Rankings!AH2:AH651)</f>
        <v>-0.46414446215037364</v>
      </c>
      <c r="AB436" s="121">
        <f>(VLOOKUP($A436,Pitchers!$A1:$S251,10,FALSE)-AVERAGE(Rankings!AI2:AI651))/STDEV(Rankings!AI2:AI651)*-1</f>
        <v>-0.27884119067294849</v>
      </c>
      <c r="AC436" s="121">
        <f>(VLOOKUP($A436,Pitchers!$A1:$S251,11,FALSE)-AVERAGE(Rankings!AJ2:AJ651))/STDEV(Rankings!AJ2:AJ651)*-1</f>
        <v>-0.6006844818249063</v>
      </c>
      <c r="AD436" s="121">
        <f>(VLOOKUP($A436,Pitchers!$A1:$S251,12,FALSE)-AVERAGE(Rankings!AK2:AK651))/STDEV(Rankings!AK2:AK651)*-1</f>
        <v>-0.32287897106622243</v>
      </c>
      <c r="AE436" s="121">
        <f>IFERROR((VLOOKUP($A436,Pitchers!$A1:$S251,13,FALSE)-AVERAGE(Rankings!AL2:AL651))/STDEV(Rankings!AL2:AL651)*-1,0)</f>
        <v>-0.49850915789345923</v>
      </c>
      <c r="AF436" s="121">
        <f>(VLOOKUP($A436,Pitchers!$A1:$S251,14,FALSE)-AVERAGE(Rankings!AM2:AM651))/STDEV(Rankings!AM2:AM651)</f>
        <v>-0.80354382037192484</v>
      </c>
      <c r="AG436" s="121">
        <f>(VLOOKUP($A436,Pitchers!$A1:$S251,15,FALSE)-AVERAGE(Rankings!AN2:AN651))/STDEV(Rankings!AN2:AN651)</f>
        <v>0.8358076414897988</v>
      </c>
      <c r="AH436" s="121">
        <f>(VLOOKUP($A436,Pitchers!$A1:$S251,16,FALSE)-AVERAGE(Rankings!AO2:AO651))/STDEV(Rankings!AO2:AO651)*-1</f>
        <v>-0.55584346026357068</v>
      </c>
      <c r="AI436" s="121">
        <f>IFERROR((VLOOKUP($A436,Pitchers!$A1:$S251,17,FALSE)-AVERAGE(Rankings!AP2:AP651))/STDEV(Rankings!AP2:AP651),0)</f>
        <v>0.59315449252384489</v>
      </c>
      <c r="AJ436" s="121">
        <f>(VLOOKUP($A436,Pitchers!$A1:$S251,18,FALSE)-AVERAGE(Rankings!AQ2:AQ651))/STDEV(Rankings!AQ2:AQ651)</f>
        <v>-0.68467156957913733</v>
      </c>
      <c r="AK436" s="121">
        <f>IFERROR((VLOOKUP($A436,Pitchers!$A1:$S251,19,FALSE)-AVERAGE(Rankings!AR2:AR651))/STDEV(Rankings!AR2:AR651)*-1,0)</f>
        <v>0.47041511698728217</v>
      </c>
    </row>
    <row r="437" spans="1:37" ht="18.600000000000001" customHeight="1">
      <c r="A437" s="25" t="s">
        <v>203</v>
      </c>
      <c r="B437" s="26" t="s">
        <v>158</v>
      </c>
      <c r="C437" s="130" t="s">
        <v>31</v>
      </c>
      <c r="D437" s="67">
        <f>(V437*Settings!$G$2)+(Y437*Settings!$G$5)+(Z437*Settings!$G$6)+(AA437*Settings!$G$7)+(AB437*Settings!$G$8)+(AC437*Settings!$G$9)+(AD437*Settings!$G$10)+(AE437*Settings!$G$11)+(AF437*Settings!$G$12)+(AG437*Settings!$G$13)+(AH437*Settings!$G$14)+(AI437*Settings!$G$15)+(AJ437*Settings!$G$16)+(AK437*Settings!$G$17)+(W437*Settings!$G$3)+(X437*Settings!$G$4)</f>
        <v>2.7229029736059438</v>
      </c>
      <c r="E437" s="67"/>
      <c r="F437" s="67"/>
      <c r="G437" s="67"/>
      <c r="H437" s="67"/>
      <c r="I437" s="67"/>
      <c r="J437" s="67"/>
      <c r="K437" s="73"/>
      <c r="L437" s="73"/>
      <c r="M437" s="67"/>
      <c r="N437" s="67"/>
      <c r="O437" s="67"/>
      <c r="P437" s="67"/>
      <c r="Q437" s="67"/>
      <c r="R437" s="73"/>
      <c r="S437" s="73"/>
      <c r="T437" s="67"/>
      <c r="U437" s="67"/>
      <c r="V437" s="121">
        <f>(VLOOKUP($A437,Pitchers!$A1:$S251,4,FALSE)-AVERAGE(Rankings!AC2:AC651))/STDEV(Rankings!AC2:AC651)</f>
        <v>1.0372571464361515</v>
      </c>
      <c r="W437" s="121">
        <f>(VLOOKUP($A437,Pitchers!$A1:$S251,5,FALSE)-AVERAGE(Rankings!AD2:AD651))/STDEV(Rankings!AD2:AD651)*-1</f>
        <v>-0.32540396641467589</v>
      </c>
      <c r="X437" s="121">
        <f>(VLOOKUP($A437,Pitchers!$A1:$S251,6,FALSE)-AVERAGE(Rankings!AE2:AE651))/STDEV(Rankings!AE2:AE651)*-1</f>
        <v>0.9016796497857934</v>
      </c>
      <c r="Y437" s="121">
        <f>(VLOOKUP($A437,Pitchers!$A1:$S251,7,FALSE)-AVERAGE(Rankings!AF2:AF651))/STDEV(Rankings!AF2:AF651)</f>
        <v>1.1501184518352121</v>
      </c>
      <c r="Z437" s="121">
        <f>(VLOOKUP($A437,Pitchers!$A1:$S251,8,FALSE)-AVERAGE(Rankings!AG2:AG651))/STDEV(Rankings!AG2:AG651)</f>
        <v>1.4606533005499878</v>
      </c>
      <c r="AA437" s="121">
        <f>(VLOOKUP($A437,Pitchers!$A1:$S251,9,FALSE)-AVERAGE(Rankings!AH2:AH651))/STDEV(Rankings!AH2:AH651)</f>
        <v>-0.46414446215037364</v>
      </c>
      <c r="AB437" s="121">
        <f>(VLOOKUP($A437,Pitchers!$A1:$S251,10,FALSE)-AVERAGE(Rankings!AI2:AI651))/STDEV(Rankings!AI2:AI651)*-1</f>
        <v>-1.0131551123800977</v>
      </c>
      <c r="AC437" s="121">
        <f>(VLOOKUP($A437,Pitchers!$A1:$S251,11,FALSE)-AVERAGE(Rankings!AJ2:AJ651))/STDEV(Rankings!AJ2:AJ651)*-1</f>
        <v>-0.70092316141446642</v>
      </c>
      <c r="AD437" s="121">
        <f>(VLOOKUP($A437,Pitchers!$A1:$S251,12,FALSE)-AVERAGE(Rankings!AK2:AK651))/STDEV(Rankings!AK2:AK651)*-1</f>
        <v>-0.86959203202025681</v>
      </c>
      <c r="AE437" s="121">
        <f>IFERROR((VLOOKUP($A437,Pitchers!$A1:$S251,13,FALSE)-AVERAGE(Rankings!AL2:AL651))/STDEV(Rankings!AL2:AL651)*-1,0)</f>
        <v>-1.429556144354029</v>
      </c>
      <c r="AF437" s="121">
        <f>(VLOOKUP($A437,Pitchers!$A1:$S251,14,FALSE)-AVERAGE(Rankings!AM2:AM651))/STDEV(Rankings!AM2:AM651)</f>
        <v>-0.63130845520618994</v>
      </c>
      <c r="AG437" s="121">
        <f>(VLOOKUP($A437,Pitchers!$A1:$S251,15,FALSE)-AVERAGE(Rankings!AN2:AN651))/STDEV(Rankings!AN2:AN651)</f>
        <v>1.066960052774363</v>
      </c>
      <c r="AH437" s="121">
        <f>(VLOOKUP($A437,Pitchers!$A1:$S251,16,FALSE)-AVERAGE(Rankings!AO2:AO651))/STDEV(Rankings!AO2:AO651)*-1</f>
        <v>-0.86898764871203937</v>
      </c>
      <c r="AI437" s="121">
        <f>IFERROR((VLOOKUP($A437,Pitchers!$A1:$S251,17,FALSE)-AVERAGE(Rankings!AP2:AP651))/STDEV(Rankings!AP2:AP651),0)</f>
        <v>0.87970255654502605</v>
      </c>
      <c r="AJ437" s="121">
        <f>(VLOOKUP($A437,Pitchers!$A1:$S251,18,FALSE)-AVERAGE(Rankings!AQ2:AQ651))/STDEV(Rankings!AQ2:AQ651)</f>
        <v>-0.68467156957913733</v>
      </c>
      <c r="AK437" s="121">
        <f>IFERROR((VLOOKUP($A437,Pitchers!$A1:$S251,19,FALSE)-AVERAGE(Rankings!AR2:AR651))/STDEV(Rankings!AR2:AR651)*-1,0)</f>
        <v>0.47041511698728217</v>
      </c>
    </row>
    <row r="438" spans="1:37" ht="18.600000000000001" customHeight="1">
      <c r="A438" s="25" t="s">
        <v>242</v>
      </c>
      <c r="B438" s="26" t="s">
        <v>74</v>
      </c>
      <c r="C438" s="130" t="s">
        <v>31</v>
      </c>
      <c r="D438" s="67">
        <f>(V438*Settings!$G$2)+(Y438*Settings!$G$5)+(Z438*Settings!$G$6)+(AA438*Settings!$G$7)+(AB438*Settings!$G$8)+(AC438*Settings!$G$9)+(AD438*Settings!$G$10)+(AE438*Settings!$G$11)+(AF438*Settings!$G$12)+(AG438*Settings!$G$13)+(AH438*Settings!$G$14)+(AI438*Settings!$G$15)+(AJ438*Settings!$G$16)+(AK438*Settings!$G$17)+(W438*Settings!$G$3)+(X438*Settings!$G$4)</f>
        <v>1.76489745638155</v>
      </c>
      <c r="E438" s="67"/>
      <c r="F438" s="67"/>
      <c r="G438" s="67"/>
      <c r="H438" s="67"/>
      <c r="I438" s="67"/>
      <c r="J438" s="67"/>
      <c r="K438" s="73"/>
      <c r="L438" s="73"/>
      <c r="M438" s="67"/>
      <c r="N438" s="67"/>
      <c r="O438" s="67"/>
      <c r="P438" s="67"/>
      <c r="Q438" s="67"/>
      <c r="R438" s="73"/>
      <c r="S438" s="73"/>
      <c r="T438" s="67"/>
      <c r="U438" s="67"/>
      <c r="V438" s="121">
        <f>(VLOOKUP($A438,Pitchers!$A1:$S251,4,FALSE)-AVERAGE(Rankings!AC2:AC651))/STDEV(Rankings!AC2:AC651)</f>
        <v>1.0478430521293127</v>
      </c>
      <c r="W438" s="121">
        <f>(VLOOKUP($A438,Pitchers!$A1:$S251,5,FALSE)-AVERAGE(Rankings!AD2:AD651))/STDEV(Rankings!AD2:AD651)*-1</f>
        <v>-0.40845480904343562</v>
      </c>
      <c r="X438" s="121">
        <f>(VLOOKUP($A438,Pitchers!$A1:$S251,6,FALSE)-AVERAGE(Rankings!AE2:AE651))/STDEV(Rankings!AE2:AE651)*-1</f>
        <v>-6.2035465173954068E-3</v>
      </c>
      <c r="Y438" s="121">
        <f>(VLOOKUP($A438,Pitchers!$A1:$S251,7,FALSE)-AVERAGE(Rankings!AF2:AF651))/STDEV(Rankings!AF2:AF651)</f>
        <v>1.5051807730738389</v>
      </c>
      <c r="Z438" s="121">
        <f>(VLOOKUP($A438,Pitchers!$A1:$S251,8,FALSE)-AVERAGE(Rankings!AG2:AG651))/STDEV(Rankings!AG2:AG651)</f>
        <v>1.1385195010189155</v>
      </c>
      <c r="AA438" s="121">
        <f>(VLOOKUP($A438,Pitchers!$A1:$S251,9,FALSE)-AVERAGE(Rankings!AH2:AH651))/STDEV(Rankings!AH2:AH651)</f>
        <v>-0.46414446215037364</v>
      </c>
      <c r="AB438" s="121">
        <f>(VLOOKUP($A438,Pitchers!$A1:$S251,10,FALSE)-AVERAGE(Rankings!AI2:AI651))/STDEV(Rankings!AI2:AI651)*-1</f>
        <v>-1.0582050462271622</v>
      </c>
      <c r="AC438" s="121">
        <f>(VLOOKUP($A438,Pitchers!$A1:$S251,11,FALSE)-AVERAGE(Rankings!AJ2:AJ651))/STDEV(Rankings!AJ2:AJ651)*-1</f>
        <v>-0.87651857885149809</v>
      </c>
      <c r="AD438" s="121">
        <f>(VLOOKUP($A438,Pitchers!$A1:$S251,12,FALSE)-AVERAGE(Rankings!AK2:AK651))/STDEV(Rankings!AK2:AK651)*-1</f>
        <v>-1.3723727934333418</v>
      </c>
      <c r="AE438" s="121">
        <f>IFERROR((VLOOKUP($A438,Pitchers!$A1:$S251,13,FALSE)-AVERAGE(Rankings!AL2:AL651))/STDEV(Rankings!AL2:AL651)*-1,0)</f>
        <v>-0.49850915789345923</v>
      </c>
      <c r="AF438" s="121">
        <f>(VLOOKUP($A438,Pitchers!$A1:$S251,14,FALSE)-AVERAGE(Rankings!AM2:AM651))/STDEV(Rankings!AM2:AM651)</f>
        <v>-0.67491234512156595</v>
      </c>
      <c r="AG438" s="121">
        <f>(VLOOKUP($A438,Pitchers!$A1:$S251,15,FALSE)-AVERAGE(Rankings!AN2:AN651))/STDEV(Rankings!AN2:AN651)</f>
        <v>1.015015690687944</v>
      </c>
      <c r="AH438" s="121">
        <f>(VLOOKUP($A438,Pitchers!$A1:$S251,16,FALSE)-AVERAGE(Rankings!AO2:AO651))/STDEV(Rankings!AO2:AO651)*-1</f>
        <v>-0.30532810950479583</v>
      </c>
      <c r="AI438" s="121">
        <f>IFERROR((VLOOKUP($A438,Pitchers!$A1:$S251,17,FALSE)-AVERAGE(Rankings!AP2:AP651))/STDEV(Rankings!AP2:AP651),0)</f>
        <v>1.0229765885556166</v>
      </c>
      <c r="AJ438" s="121">
        <f>(VLOOKUP($A438,Pitchers!$A1:$S251,18,FALSE)-AVERAGE(Rankings!AQ2:AQ651))/STDEV(Rankings!AQ2:AQ651)</f>
        <v>-0.68467156957913733</v>
      </c>
      <c r="AK438" s="121">
        <f>IFERROR((VLOOKUP($A438,Pitchers!$A1:$S251,19,FALSE)-AVERAGE(Rankings!AR2:AR651))/STDEV(Rankings!AR2:AR651)*-1,0)</f>
        <v>0.47041511698728217</v>
      </c>
    </row>
    <row r="439" spans="1:37" ht="18.600000000000001" customHeight="1">
      <c r="A439" s="25" t="s">
        <v>227</v>
      </c>
      <c r="B439" s="26" t="s">
        <v>72</v>
      </c>
      <c r="C439" s="130" t="s">
        <v>31</v>
      </c>
      <c r="D439" s="67">
        <f>(V439*Settings!$G$2)+(Y439*Settings!$G$5)+(Z439*Settings!$G$6)+(AA439*Settings!$G$7)+(AB439*Settings!$G$8)+(AC439*Settings!$G$9)+(AD439*Settings!$G$10)+(AE439*Settings!$G$11)+(AF439*Settings!$G$12)+(AG439*Settings!$G$13)+(AH439*Settings!$G$14)+(AI439*Settings!$G$15)+(AJ439*Settings!$G$16)+(AK439*Settings!$G$17)+(W439*Settings!$G$3)+(X439*Settings!$G$4)</f>
        <v>2.1569443109271829</v>
      </c>
      <c r="E439" s="67"/>
      <c r="F439" s="67"/>
      <c r="G439" s="67"/>
      <c r="H439" s="67"/>
      <c r="I439" s="67"/>
      <c r="J439" s="67"/>
      <c r="K439" s="73"/>
      <c r="L439" s="73"/>
      <c r="M439" s="67"/>
      <c r="N439" s="67"/>
      <c r="O439" s="67"/>
      <c r="P439" s="67"/>
      <c r="Q439" s="67"/>
      <c r="R439" s="73"/>
      <c r="S439" s="73"/>
      <c r="T439" s="67"/>
      <c r="U439" s="67"/>
      <c r="V439" s="121">
        <f>(VLOOKUP($A439,Pitchers!$A1:$S251,4,FALSE)-AVERAGE(Rankings!AC2:AC651))/STDEV(Rankings!AC2:AC651)</f>
        <v>1.4084695727429815</v>
      </c>
      <c r="W439" s="121">
        <f>(VLOOKUP($A439,Pitchers!$A1:$S251,5,FALSE)-AVERAGE(Rankings!AD2:AD651))/STDEV(Rankings!AD2:AD651)*-1</f>
        <v>-0.21073996047204477</v>
      </c>
      <c r="X439" s="121">
        <f>(VLOOKUP($A439,Pitchers!$A1:$S251,6,FALSE)-AVERAGE(Rankings!AE2:AE651))/STDEV(Rankings!AE2:AE651)*-1</f>
        <v>0.29043802566903754</v>
      </c>
      <c r="Y439" s="121">
        <f>(VLOOKUP($A439,Pitchers!$A1:$S251,7,FALSE)-AVERAGE(Rankings!AF2:AF651))/STDEV(Rankings!AF2:AF651)</f>
        <v>1.2619376695668039</v>
      </c>
      <c r="Z439" s="121">
        <f>(VLOOKUP($A439,Pitchers!$A1:$S251,8,FALSE)-AVERAGE(Rankings!AG2:AG651))/STDEV(Rankings!AG2:AG651)</f>
        <v>1.2794530383137597</v>
      </c>
      <c r="AA439" s="121">
        <f>(VLOOKUP($A439,Pitchers!$A1:$S251,9,FALSE)-AVERAGE(Rankings!AH2:AH651))/STDEV(Rankings!AH2:AH651)</f>
        <v>-0.46414446215037364</v>
      </c>
      <c r="AB439" s="121">
        <f>(VLOOKUP($A439,Pitchers!$A1:$S251,10,FALSE)-AVERAGE(Rankings!AI2:AI651))/STDEV(Rankings!AI2:AI651)*-1</f>
        <v>-1.3025258541244078</v>
      </c>
      <c r="AC439" s="121">
        <f>(VLOOKUP($A439,Pitchers!$A1:$S251,11,FALSE)-AVERAGE(Rankings!AJ2:AJ651))/STDEV(Rankings!AJ2:AJ651)*-1</f>
        <v>-1.3748683263144894</v>
      </c>
      <c r="AD439" s="121">
        <f>(VLOOKUP($A439,Pitchers!$A1:$S251,12,FALSE)-AVERAGE(Rankings!AK2:AK651))/STDEV(Rankings!AK2:AK651)*-1</f>
        <v>-0.79393084947751114</v>
      </c>
      <c r="AE439" s="121">
        <f>IFERROR((VLOOKUP($A439,Pitchers!$A1:$S251,13,FALSE)-AVERAGE(Rankings!AL2:AL651))/STDEV(Rankings!AL2:AL651)*-1,0)</f>
        <v>-1.1635427196510091</v>
      </c>
      <c r="AF439" s="121">
        <f>(VLOOKUP($A439,Pitchers!$A1:$S251,14,FALSE)-AVERAGE(Rankings!AM2:AM651))/STDEV(Rankings!AM2:AM651)</f>
        <v>-0.58770456529081416</v>
      </c>
      <c r="AG439" s="121">
        <f>(VLOOKUP($A439,Pitchers!$A1:$S251,15,FALSE)-AVERAGE(Rankings!AN2:AN651))/STDEV(Rankings!AN2:AN651)</f>
        <v>1.1189044148607816</v>
      </c>
      <c r="AH439" s="121">
        <f>(VLOOKUP($A439,Pitchers!$A1:$S251,16,FALSE)-AVERAGE(Rankings!AO2:AO651))/STDEV(Rankings!AO2:AO651)*-1</f>
        <v>-0.80635881102234586</v>
      </c>
      <c r="AI439" s="121">
        <f>IFERROR((VLOOKUP($A439,Pitchers!$A1:$S251,17,FALSE)-AVERAGE(Rankings!AP2:AP651))/STDEV(Rankings!AP2:AP651),0)</f>
        <v>1.1662506205662073</v>
      </c>
      <c r="AJ439" s="121">
        <f>(VLOOKUP($A439,Pitchers!$A1:$S251,18,FALSE)-AVERAGE(Rankings!AQ2:AQ651))/STDEV(Rankings!AQ2:AQ651)</f>
        <v>-0.68467156957913733</v>
      </c>
      <c r="AK439" s="121">
        <f>IFERROR((VLOOKUP($A439,Pitchers!$A1:$S251,19,FALSE)-AVERAGE(Rankings!AR2:AR651))/STDEV(Rankings!AR2:AR651)*-1,0)</f>
        <v>0.47041511698728217</v>
      </c>
    </row>
    <row r="440" spans="1:37" ht="18.600000000000001" customHeight="1">
      <c r="A440" s="25" t="s">
        <v>216</v>
      </c>
      <c r="B440" s="26" t="s">
        <v>116</v>
      </c>
      <c r="C440" s="130" t="s">
        <v>31</v>
      </c>
      <c r="D440" s="67">
        <f>(V440*Settings!$G$2)+(Y440*Settings!$G$5)+(Z440*Settings!$G$6)+(AA440*Settings!$G$7)+(AB440*Settings!$G$8)+(AC440*Settings!$G$9)+(AD440*Settings!$G$10)+(AE440*Settings!$G$11)+(AF440*Settings!$G$12)+(AG440*Settings!$G$13)+(AH440*Settings!$G$14)+(AI440*Settings!$G$15)+(AJ440*Settings!$G$16)+(AK440*Settings!$G$17)+(W440*Settings!$G$3)+(X440*Settings!$G$4)</f>
        <v>2.366784870060314</v>
      </c>
      <c r="E440" s="67"/>
      <c r="F440" s="67"/>
      <c r="G440" s="67"/>
      <c r="H440" s="67"/>
      <c r="I440" s="67"/>
      <c r="J440" s="67"/>
      <c r="K440" s="73"/>
      <c r="L440" s="73"/>
      <c r="M440" s="67"/>
      <c r="N440" s="67"/>
      <c r="O440" s="67"/>
      <c r="P440" s="67"/>
      <c r="Q440" s="67"/>
      <c r="R440" s="73"/>
      <c r="S440" s="73"/>
      <c r="T440" s="67"/>
      <c r="U440" s="67"/>
      <c r="V440" s="121">
        <f>(VLOOKUP($A440,Pitchers!$A1:$S251,4,FALSE)-AVERAGE(Rankings!AC2:AC651))/STDEV(Rankings!AC2:AC651)</f>
        <v>1.1219443919814365</v>
      </c>
      <c r="W440" s="121">
        <f>(VLOOKUP($A440,Pitchers!$A1:$S251,5,FALSE)-AVERAGE(Rankings!AD2:AD651))/STDEV(Rankings!AD2:AD651)*-1</f>
        <v>-4.7981146185267672E-2</v>
      </c>
      <c r="X440" s="121">
        <f>(VLOOKUP($A440,Pitchers!$A1:$S251,6,FALSE)-AVERAGE(Rankings!AE2:AE651))/STDEV(Rankings!AE2:AE651)*-1</f>
        <v>0.61268288665663484</v>
      </c>
      <c r="Y440" s="121">
        <f>(VLOOKUP($A440,Pitchers!$A1:$S251,7,FALSE)-AVERAGE(Rankings!AF2:AF651))/STDEV(Rankings!AF2:AF651)</f>
        <v>1.1377747719557507</v>
      </c>
      <c r="Z440" s="121">
        <f>(VLOOKUP($A440,Pitchers!$A1:$S251,8,FALSE)-AVERAGE(Rankings!AG2:AG651))/STDEV(Rankings!AG2:AG651)</f>
        <v>1.1284528197835695</v>
      </c>
      <c r="AA440" s="121">
        <f>(VLOOKUP($A440,Pitchers!$A1:$S251,9,FALSE)-AVERAGE(Rankings!AH2:AH651))/STDEV(Rankings!AH2:AH651)</f>
        <v>-0.46414446215037364</v>
      </c>
      <c r="AB440" s="121">
        <f>(VLOOKUP($A440,Pitchers!$A1:$S251,10,FALSE)-AVERAGE(Rankings!AI2:AI651))/STDEV(Rankings!AI2:AI651)*-1</f>
        <v>-0.97110850745617083</v>
      </c>
      <c r="AC440" s="121">
        <f>(VLOOKUP($A440,Pitchers!$A1:$S251,11,FALSE)-AVERAGE(Rankings!AJ2:AJ651))/STDEV(Rankings!AJ2:AJ651)*-1</f>
        <v>-1.0741522875458083</v>
      </c>
      <c r="AD440" s="121">
        <f>(VLOOKUP($A440,Pitchers!$A1:$S251,12,FALSE)-AVERAGE(Rankings!AK2:AK651))/STDEV(Rankings!AK2:AK651)*-1</f>
        <v>-0.26430257167829041</v>
      </c>
      <c r="AE440" s="121">
        <f>IFERROR((VLOOKUP($A440,Pitchers!$A1:$S251,13,FALSE)-AVERAGE(Rankings!AL2:AL651))/STDEV(Rankings!AL2:AL651)*-1,0)</f>
        <v>-1.429556144354029</v>
      </c>
      <c r="AF440" s="121">
        <f>(VLOOKUP($A440,Pitchers!$A1:$S251,14,FALSE)-AVERAGE(Rankings!AM2:AM651))/STDEV(Rankings!AM2:AM651)</f>
        <v>-0.69671429007925378</v>
      </c>
      <c r="AG440" s="121">
        <f>(VLOOKUP($A440,Pitchers!$A1:$S251,15,FALSE)-AVERAGE(Rankings!AN2:AN651))/STDEV(Rankings!AN2:AN651)</f>
        <v>0.98904350964473453</v>
      </c>
      <c r="AH440" s="121">
        <f>(VLOOKUP($A440,Pitchers!$A1:$S251,16,FALSE)-AVERAGE(Rankings!AO2:AO651))/STDEV(Rankings!AO2:AO651)*-1</f>
        <v>-0.95666802147761099</v>
      </c>
      <c r="AI440" s="121">
        <f>IFERROR((VLOOKUP($A440,Pitchers!$A1:$S251,17,FALSE)-AVERAGE(Rankings!AP2:AP651))/STDEV(Rankings!AP2:AP651),0)</f>
        <v>1.1662506205662073</v>
      </c>
      <c r="AJ440" s="121">
        <f>(VLOOKUP($A440,Pitchers!$A1:$S251,18,FALSE)-AVERAGE(Rankings!AQ2:AQ651))/STDEV(Rankings!AQ2:AQ651)</f>
        <v>-0.68467156957913733</v>
      </c>
      <c r="AK440" s="121">
        <f>IFERROR((VLOOKUP($A440,Pitchers!$A1:$S251,19,FALSE)-AVERAGE(Rankings!AR2:AR651))/STDEV(Rankings!AR2:AR651)*-1,0)</f>
        <v>0.47041511698728217</v>
      </c>
    </row>
    <row r="441" spans="1:37" ht="18.600000000000001" customHeight="1">
      <c r="A441" s="25" t="s">
        <v>212</v>
      </c>
      <c r="B441" s="26" t="s">
        <v>72</v>
      </c>
      <c r="C441" s="130" t="s">
        <v>31</v>
      </c>
      <c r="D441" s="67">
        <f>(V441*Settings!$G$2)+(Y441*Settings!$G$5)+(Z441*Settings!$G$6)+(AA441*Settings!$G$7)+(AB441*Settings!$G$8)+(AC441*Settings!$G$9)+(AD441*Settings!$G$10)+(AE441*Settings!$G$11)+(AF441*Settings!$G$12)+(AG441*Settings!$G$13)+(AH441*Settings!$G$14)+(AI441*Settings!$G$15)+(AJ441*Settings!$G$16)+(AK441*Settings!$G$17)+(W441*Settings!$G$3)+(X441*Settings!$G$4)</f>
        <v>2.4336448183898383</v>
      </c>
      <c r="E441" s="67"/>
      <c r="F441" s="67"/>
      <c r="G441" s="67"/>
      <c r="H441" s="67"/>
      <c r="I441" s="67"/>
      <c r="J441" s="67"/>
      <c r="K441" s="73"/>
      <c r="L441" s="73"/>
      <c r="M441" s="67"/>
      <c r="N441" s="67"/>
      <c r="O441" s="67"/>
      <c r="P441" s="67"/>
      <c r="Q441" s="67"/>
      <c r="R441" s="73"/>
      <c r="S441" s="73"/>
      <c r="T441" s="67"/>
      <c r="U441" s="67"/>
      <c r="V441" s="121">
        <f>(VLOOKUP($A441,Pitchers!$A1:$S251,4,FALSE)-AVERAGE(Rankings!AC2:AC651))/STDEV(Rankings!AC2:AC651)</f>
        <v>1.1332360247208071</v>
      </c>
      <c r="W441" s="121">
        <f>(VLOOKUP($A441,Pitchers!$A1:$S251,5,FALSE)-AVERAGE(Rankings!AD2:AD651))/STDEV(Rankings!AD2:AD651)*-1</f>
        <v>0.39370256246881957</v>
      </c>
      <c r="X441" s="121">
        <f>(VLOOKUP($A441,Pitchers!$A1:$S251,6,FALSE)-AVERAGE(Rankings!AE2:AE651))/STDEV(Rankings!AE2:AE651)*-1</f>
        <v>0.52021971189575456</v>
      </c>
      <c r="Y441" s="121">
        <f>(VLOOKUP($A441,Pitchers!$A1:$S251,7,FALSE)-AVERAGE(Rankings!AF2:AF651))/STDEV(Rankings!AF2:AF651)</f>
        <v>1.0869478548050269</v>
      </c>
      <c r="Z441" s="121">
        <f>(VLOOKUP($A441,Pitchers!$A1:$S251,8,FALSE)-AVERAGE(Rankings!AG2:AG651))/STDEV(Rankings!AG2:AG651)</f>
        <v>0.89691915137061096</v>
      </c>
      <c r="AA441" s="121">
        <f>(VLOOKUP($A441,Pitchers!$A1:$S251,9,FALSE)-AVERAGE(Rankings!AH2:AH651))/STDEV(Rankings!AH2:AH651)</f>
        <v>-0.46414446215037364</v>
      </c>
      <c r="AB441" s="121">
        <f>(VLOOKUP($A441,Pitchers!$A1:$S251,10,FALSE)-AVERAGE(Rankings!AI2:AI651))/STDEV(Rankings!AI2:AI651)*-1</f>
        <v>-0.78895660826787439</v>
      </c>
      <c r="AC441" s="121">
        <f>(VLOOKUP($A441,Pitchers!$A1:$S251,11,FALSE)-AVERAGE(Rankings!AJ2:AJ651))/STDEV(Rankings!AJ2:AJ651)*-1</f>
        <v>-1.2412167535284091</v>
      </c>
      <c r="AD441" s="121">
        <f>(VLOOKUP($A441,Pitchers!$A1:$S251,12,FALSE)-AVERAGE(Rankings!AK2:AK651))/STDEV(Rankings!AK2:AK651)*-1</f>
        <v>0.15305427396072699</v>
      </c>
      <c r="AE441" s="121">
        <f>IFERROR((VLOOKUP($A441,Pitchers!$A1:$S251,13,FALSE)-AVERAGE(Rankings!AL2:AL651))/STDEV(Rankings!AL2:AL651)*-1,0)</f>
        <v>-0.23249573319043931</v>
      </c>
      <c r="AF441" s="121">
        <f>(VLOOKUP($A441,Pitchers!$A1:$S251,14,FALSE)-AVERAGE(Rankings!AM2:AM651))/STDEV(Rankings!AM2:AM651)</f>
        <v>-0.64438962218080265</v>
      </c>
      <c r="AG441" s="121">
        <f>(VLOOKUP($A441,Pitchers!$A1:$S251,15,FALSE)-AVERAGE(Rankings!AN2:AN651))/STDEV(Rankings!AN2:AN651)</f>
        <v>1.0513767441484374</v>
      </c>
      <c r="AH441" s="121">
        <f>(VLOOKUP($A441,Pitchers!$A1:$S251,16,FALSE)-AVERAGE(Rankings!AO2:AO651))/STDEV(Rankings!AO2:AO651)*-1</f>
        <v>-0.46816308749799967</v>
      </c>
      <c r="AI441" s="121">
        <f>IFERROR((VLOOKUP($A441,Pitchers!$A1:$S251,17,FALSE)-AVERAGE(Rankings!AP2:AP651))/STDEV(Rankings!AP2:AP651),0)</f>
        <v>0.73642852453443552</v>
      </c>
      <c r="AJ441" s="121">
        <f>(VLOOKUP($A441,Pitchers!$A1:$S251,18,FALSE)-AVERAGE(Rankings!AQ2:AQ651))/STDEV(Rankings!AQ2:AQ651)</f>
        <v>-0.68467156957913733</v>
      </c>
      <c r="AK441" s="121">
        <f>IFERROR((VLOOKUP($A441,Pitchers!$A1:$S251,19,FALSE)-AVERAGE(Rankings!AR2:AR651))/STDEV(Rankings!AR2:AR651)*-1,0)</f>
        <v>0.47041511698728217</v>
      </c>
    </row>
    <row r="442" spans="1:37" ht="18.600000000000001" customHeight="1">
      <c r="A442" s="25" t="s">
        <v>209</v>
      </c>
      <c r="B442" s="26" t="s">
        <v>95</v>
      </c>
      <c r="C442" s="130" t="s">
        <v>31</v>
      </c>
      <c r="D442" s="67">
        <f>(V442*Settings!$G$2)+(Y442*Settings!$G$5)+(Z442*Settings!$G$6)+(AA442*Settings!$G$7)+(AB442*Settings!$G$8)+(AC442*Settings!$G$9)+(AD442*Settings!$G$10)+(AE442*Settings!$G$11)+(AF442*Settings!$G$12)+(AG442*Settings!$G$13)+(AH442*Settings!$G$14)+(AI442*Settings!$G$15)+(AJ442*Settings!$G$16)+(AK442*Settings!$G$17)+(W442*Settings!$G$3)+(X442*Settings!$G$4)</f>
        <v>2.5163700625055552</v>
      </c>
      <c r="E442" s="67"/>
      <c r="F442" s="67"/>
      <c r="G442" s="67"/>
      <c r="H442" s="67"/>
      <c r="I442" s="67"/>
      <c r="J442" s="67"/>
      <c r="K442" s="73"/>
      <c r="L442" s="73"/>
      <c r="M442" s="67"/>
      <c r="N442" s="67"/>
      <c r="O442" s="67"/>
      <c r="P442" s="67"/>
      <c r="Q442" s="67"/>
      <c r="R442" s="73"/>
      <c r="S442" s="73"/>
      <c r="T442" s="67"/>
      <c r="U442" s="67"/>
      <c r="V442" s="121">
        <f>(VLOOKUP($A442,Pitchers!$A1:$S251,4,FALSE)-AVERAGE(Rankings!AC2:AC651))/STDEV(Rankings!AC2:AC651)</f>
        <v>1.3851805802180284</v>
      </c>
      <c r="W442" s="121">
        <f>(VLOOKUP($A442,Pitchers!$A1:$S251,5,FALSE)-AVERAGE(Rankings!AD2:AD651))/STDEV(Rankings!AD2:AD651)*-1</f>
        <v>-1.3646372869243289E-2</v>
      </c>
      <c r="X442" s="121">
        <f>(VLOOKUP($A442,Pitchers!$A1:$S251,6,FALSE)-AVERAGE(Rankings!AE2:AE651))/STDEV(Rankings!AE2:AE651)*-1</f>
        <v>0.18396604558707588</v>
      </c>
      <c r="Y442" s="121">
        <f>(VLOOKUP($A442,Pitchers!$A1:$S251,7,FALSE)-AVERAGE(Rankings!AF2:AF651))/STDEV(Rankings!AF2:AF651)</f>
        <v>1.0274077518570359</v>
      </c>
      <c r="Z442" s="121">
        <f>(VLOOKUP($A442,Pitchers!$A1:$S251,8,FALSE)-AVERAGE(Rankings!AG2:AG651))/STDEV(Rankings!AG2:AG651)</f>
        <v>1.78278710008106</v>
      </c>
      <c r="AA442" s="121">
        <f>(VLOOKUP($A442,Pitchers!$A1:$S251,9,FALSE)-AVERAGE(Rankings!AH2:AH651))/STDEV(Rankings!AH2:AH651)</f>
        <v>-0.46414446215037364</v>
      </c>
      <c r="AB442" s="121">
        <f>(VLOOKUP($A442,Pitchers!$A1:$S251,10,FALSE)-AVERAGE(Rankings!AI2:AI651))/STDEV(Rankings!AI2:AI651)*-1</f>
        <v>-1.189420486879045</v>
      </c>
      <c r="AC442" s="121">
        <f>(VLOOKUP($A442,Pitchers!$A1:$S251,11,FALSE)-AVERAGE(Rankings!AJ2:AJ651))/STDEV(Rankings!AJ2:AJ651)*-1</f>
        <v>-1.3421663457391717</v>
      </c>
      <c r="AD442" s="121">
        <f>(VLOOKUP($A442,Pitchers!$A1:$S251,12,FALSE)-AVERAGE(Rankings!AK2:AK651))/STDEV(Rankings!AK2:AK651)*-1</f>
        <v>-0.9476938978708328</v>
      </c>
      <c r="AE442" s="121">
        <f>IFERROR((VLOOKUP($A442,Pitchers!$A1:$S251,13,FALSE)-AVERAGE(Rankings!AL2:AL651))/STDEV(Rankings!AL2:AL651)*-1,0)</f>
        <v>-1.296549432002519</v>
      </c>
      <c r="AF442" s="121">
        <f>(VLOOKUP($A442,Pitchers!$A1:$S251,14,FALSE)-AVERAGE(Rankings!AM2:AM651))/STDEV(Rankings!AM2:AM651)</f>
        <v>-0.63130845520618994</v>
      </c>
      <c r="AG442" s="121">
        <f>(VLOOKUP($A442,Pitchers!$A1:$S251,15,FALSE)-AVERAGE(Rankings!AN2:AN651))/STDEV(Rankings!AN2:AN651)</f>
        <v>1.066960052774363</v>
      </c>
      <c r="AH442" s="121">
        <f>(VLOOKUP($A442,Pitchers!$A1:$S251,16,FALSE)-AVERAGE(Rankings!AO2:AO651))/STDEV(Rankings!AO2:AO651)*-1</f>
        <v>-0.89403918378791747</v>
      </c>
      <c r="AI442" s="121">
        <f>IFERROR((VLOOKUP($A442,Pitchers!$A1:$S251,17,FALSE)-AVERAGE(Rankings!AP2:AP651))/STDEV(Rankings!AP2:AP651),0)</f>
        <v>1.0229765885556166</v>
      </c>
      <c r="AJ442" s="121">
        <f>(VLOOKUP($A442,Pitchers!$A1:$S251,18,FALSE)-AVERAGE(Rankings!AQ2:AQ651))/STDEV(Rankings!AQ2:AQ651)</f>
        <v>-0.68467156957913733</v>
      </c>
      <c r="AK442" s="121">
        <f>IFERROR((VLOOKUP($A442,Pitchers!$A1:$S251,19,FALSE)-AVERAGE(Rankings!AR2:AR651))/STDEV(Rankings!AR2:AR651)*-1,0)</f>
        <v>0.47041511698728217</v>
      </c>
    </row>
    <row r="443" spans="1:37" ht="18.600000000000001" customHeight="1">
      <c r="A443" s="25" t="s">
        <v>221</v>
      </c>
      <c r="B443" s="26" t="s">
        <v>219</v>
      </c>
      <c r="C443" s="130" t="s">
        <v>31</v>
      </c>
      <c r="D443" s="67">
        <f>(V443*Settings!$G$2)+(Y443*Settings!$G$5)+(Z443*Settings!$G$6)+(AA443*Settings!$G$7)+(AB443*Settings!$G$8)+(AC443*Settings!$G$9)+(AD443*Settings!$G$10)+(AE443*Settings!$G$11)+(AF443*Settings!$G$12)+(AG443*Settings!$G$13)+(AH443*Settings!$G$14)+(AI443*Settings!$G$15)+(AJ443*Settings!$G$16)+(AK443*Settings!$G$17)+(W443*Settings!$G$3)+(X443*Settings!$G$4)</f>
        <v>2.3426729049821424</v>
      </c>
      <c r="E443" s="67"/>
      <c r="F443" s="67"/>
      <c r="G443" s="67"/>
      <c r="H443" s="67"/>
      <c r="I443" s="67"/>
      <c r="J443" s="67"/>
      <c r="K443" s="73"/>
      <c r="L443" s="73"/>
      <c r="M443" s="67"/>
      <c r="N443" s="67"/>
      <c r="O443" s="67"/>
      <c r="P443" s="67"/>
      <c r="Q443" s="67"/>
      <c r="R443" s="73"/>
      <c r="S443" s="73"/>
      <c r="T443" s="67"/>
      <c r="U443" s="67"/>
      <c r="V443" s="121">
        <f>(VLOOKUP($A443,Pitchers!$A1:$S251,4,FALSE)-AVERAGE(Rankings!AC2:AC651))/STDEV(Rankings!AC2:AC651)</f>
        <v>1.4366986545914098</v>
      </c>
      <c r="W443" s="121">
        <f>(VLOOKUP($A443,Pitchers!$A1:$S251,5,FALSE)-AVERAGE(Rankings!AD2:AD651))/STDEV(Rankings!AD2:AD651)*-1</f>
        <v>0.27670629111502304</v>
      </c>
      <c r="X443" s="121">
        <f>(VLOOKUP($A443,Pitchers!$A1:$S251,6,FALSE)-AVERAGE(Rankings!AE2:AE651))/STDEV(Rankings!AE2:AE651)*-1</f>
        <v>-0.29962492522250267</v>
      </c>
      <c r="Y443" s="121">
        <f>(VLOOKUP($A443,Pitchers!$A1:$S251,7,FALSE)-AVERAGE(Rankings!AF2:AF651))/STDEV(Rankings!AF2:AF651)</f>
        <v>0.96641545127616801</v>
      </c>
      <c r="Z443" s="121">
        <f>(VLOOKUP($A443,Pitchers!$A1:$S251,8,FALSE)-AVERAGE(Rankings!AG2:AG651))/STDEV(Rankings!AG2:AG651)</f>
        <v>1.8633205499638277</v>
      </c>
      <c r="AA443" s="121">
        <f>(VLOOKUP($A443,Pitchers!$A1:$S251,9,FALSE)-AVERAGE(Rankings!AH2:AH651))/STDEV(Rankings!AH2:AH651)</f>
        <v>-0.46414446215037364</v>
      </c>
      <c r="AB443" s="121">
        <f>(VLOOKUP($A443,Pitchers!$A1:$S251,10,FALSE)-AVERAGE(Rankings!AI2:AI651))/STDEV(Rankings!AI2:AI651)*-1</f>
        <v>-1.0978189547233475</v>
      </c>
      <c r="AC443" s="121">
        <f>(VLOOKUP($A443,Pitchers!$A1:$S251,11,FALSE)-AVERAGE(Rankings!AJ2:AJ651))/STDEV(Rankings!AJ2:AJ651)*-1</f>
        <v>-1.558994695205951</v>
      </c>
      <c r="AD443" s="121">
        <f>(VLOOKUP($A443,Pitchers!$A1:$S251,12,FALSE)-AVERAGE(Rankings!AK2:AK651))/STDEV(Rankings!AK2:AK651)*-1</f>
        <v>-1.0477619134918843</v>
      </c>
      <c r="AE443" s="121">
        <f>IFERROR((VLOOKUP($A443,Pitchers!$A1:$S251,13,FALSE)-AVERAGE(Rankings!AL2:AL651))/STDEV(Rankings!AL2:AL651)*-1,0)</f>
        <v>-0.23249573319043931</v>
      </c>
      <c r="AF443" s="121">
        <f>(VLOOKUP($A443,Pitchers!$A1:$S251,14,FALSE)-AVERAGE(Rankings!AM2:AM651))/STDEV(Rankings!AM2:AM651)</f>
        <v>-0.54410067537543816</v>
      </c>
      <c r="AG443" s="121">
        <f>(VLOOKUP($A443,Pitchers!$A1:$S251,15,FALSE)-AVERAGE(Rankings!AN2:AN651))/STDEV(Rankings!AN2:AN651)</f>
        <v>1.1189044148607816</v>
      </c>
      <c r="AH443" s="121">
        <f>(VLOOKUP($A443,Pitchers!$A1:$S251,16,FALSE)-AVERAGE(Rankings!AO2:AO651))/STDEV(Rankings!AO2:AO651)*-1</f>
        <v>-1.157080302084631</v>
      </c>
      <c r="AI443" s="121">
        <f>IFERROR((VLOOKUP($A443,Pitchers!$A1:$S251,17,FALSE)-AVERAGE(Rankings!AP2:AP651))/STDEV(Rankings!AP2:AP651),0)</f>
        <v>1.4527986845873886</v>
      </c>
      <c r="AJ443" s="121">
        <f>(VLOOKUP($A443,Pitchers!$A1:$S251,18,FALSE)-AVERAGE(Rankings!AQ2:AQ651))/STDEV(Rankings!AQ2:AQ651)</f>
        <v>-0.68467156957913733</v>
      </c>
      <c r="AK443" s="121">
        <f>IFERROR((VLOOKUP($A443,Pitchers!$A1:$S251,19,FALSE)-AVERAGE(Rankings!AR2:AR651))/STDEV(Rankings!AR2:AR651)*-1,0)</f>
        <v>0.47041511698728217</v>
      </c>
    </row>
    <row r="444" spans="1:37" ht="18.600000000000001" customHeight="1">
      <c r="A444" s="25" t="s">
        <v>280</v>
      </c>
      <c r="B444" s="26" t="s">
        <v>116</v>
      </c>
      <c r="C444" s="130" t="s">
        <v>31</v>
      </c>
      <c r="D444" s="67">
        <f>(V444*Settings!$G$2)+(Y444*Settings!$G$5)+(Z444*Settings!$G$6)+(AA444*Settings!$G$7)+(AB444*Settings!$G$8)+(AC444*Settings!$G$9)+(AD444*Settings!$G$10)+(AE444*Settings!$G$11)+(AF444*Settings!$G$12)+(AG444*Settings!$G$13)+(AH444*Settings!$G$14)+(AI444*Settings!$G$15)+(AJ444*Settings!$G$16)+(AK444*Settings!$G$17)+(W444*Settings!$G$3)+(X444*Settings!$G$4)</f>
        <v>0.97517709127815566</v>
      </c>
      <c r="E444" s="67"/>
      <c r="F444" s="67"/>
      <c r="G444" s="67"/>
      <c r="H444" s="67"/>
      <c r="I444" s="67"/>
      <c r="J444" s="67"/>
      <c r="K444" s="73"/>
      <c r="L444" s="73"/>
      <c r="M444" s="67"/>
      <c r="N444" s="67"/>
      <c r="O444" s="67"/>
      <c r="P444" s="67"/>
      <c r="Q444" s="67"/>
      <c r="R444" s="73"/>
      <c r="S444" s="73"/>
      <c r="T444" s="67"/>
      <c r="U444" s="67"/>
      <c r="V444" s="121">
        <f>(VLOOKUP($A444,Pitchers!$A1:$S251,4,FALSE)-AVERAGE(Rankings!AC2:AC651))/STDEV(Rankings!AC2:AC651)</f>
        <v>1.2002800941108243</v>
      </c>
      <c r="W444" s="121">
        <f>(VLOOKUP($A444,Pitchers!$A1:$S251,5,FALSE)-AVERAGE(Rankings!AD2:AD651))/STDEV(Rankings!AD2:AD651)*-1</f>
        <v>-0.81181616235359133</v>
      </c>
      <c r="X444" s="121">
        <f>(VLOOKUP($A444,Pitchers!$A1:$S251,6,FALSE)-AVERAGE(Rankings!AE2:AE651))/STDEV(Rankings!AE2:AE651)*-1</f>
        <v>-0.47725519670243782</v>
      </c>
      <c r="Y444" s="121">
        <f>(VLOOKUP($A444,Pitchers!$A1:$S251,7,FALSE)-AVERAGE(Rankings!AF2:AF651))/STDEV(Rankings!AF2:AF651)</f>
        <v>1.4892065991121826</v>
      </c>
      <c r="Z444" s="121">
        <f>(VLOOKUP($A444,Pitchers!$A1:$S251,8,FALSE)-AVERAGE(Rankings!AG2:AG651))/STDEV(Rankings!AG2:AG651)</f>
        <v>1.2391863133723757</v>
      </c>
      <c r="AA444" s="121">
        <f>(VLOOKUP($A444,Pitchers!$A1:$S251,9,FALSE)-AVERAGE(Rankings!AH2:AH651))/STDEV(Rankings!AH2:AH651)</f>
        <v>-0.46414446215037364</v>
      </c>
      <c r="AB444" s="121">
        <f>(VLOOKUP($A444,Pitchers!$A1:$S251,10,FALSE)-AVERAGE(Rankings!AI2:AI651))/STDEV(Rankings!AI2:AI651)*-1</f>
        <v>-1.3795612410028877</v>
      </c>
      <c r="AC444" s="121">
        <f>(VLOOKUP($A444,Pitchers!$A1:$S251,11,FALSE)-AVERAGE(Rankings!AJ2:AJ651))/STDEV(Rankings!AJ2:AJ651)*-1</f>
        <v>-1.1786564428625841</v>
      </c>
      <c r="AD444" s="121">
        <f>(VLOOKUP($A444,Pitchers!$A1:$S251,12,FALSE)-AVERAGE(Rankings!AK2:AK651))/STDEV(Rankings!AK2:AK651)*-1</f>
        <v>-1.5529833582127996</v>
      </c>
      <c r="AE444" s="121">
        <f>IFERROR((VLOOKUP($A444,Pitchers!$A1:$S251,13,FALSE)-AVERAGE(Rankings!AL2:AL651))/STDEV(Rankings!AL2:AL651)*-1,0)</f>
        <v>-1.562562856705539</v>
      </c>
      <c r="AF444" s="121">
        <f>(VLOOKUP($A444,Pitchers!$A1:$S251,14,FALSE)-AVERAGE(Rankings!AM2:AM651))/STDEV(Rankings!AM2:AM651)</f>
        <v>-0.56590262033312599</v>
      </c>
      <c r="AG444" s="121">
        <f>(VLOOKUP($A444,Pitchers!$A1:$S251,15,FALSE)-AVERAGE(Rankings!AN2:AN651))/STDEV(Rankings!AN2:AN651)</f>
        <v>1.1189044148607816</v>
      </c>
      <c r="AH444" s="121">
        <f>(VLOOKUP($A444,Pitchers!$A1:$S251,16,FALSE)-AVERAGE(Rankings!AO2:AO651))/STDEV(Rankings!AO2:AO651)*-1</f>
        <v>-1.1069772319328761</v>
      </c>
      <c r="AI444" s="121">
        <f>IFERROR((VLOOKUP($A444,Pitchers!$A1:$S251,17,FALSE)-AVERAGE(Rankings!AP2:AP651))/STDEV(Rankings!AP2:AP651),0)</f>
        <v>1.0229765885556166</v>
      </c>
      <c r="AJ444" s="121">
        <f>(VLOOKUP($A444,Pitchers!$A1:$S251,18,FALSE)-AVERAGE(Rankings!AQ2:AQ651))/STDEV(Rankings!AQ2:AQ651)</f>
        <v>-0.68467156957913733</v>
      </c>
      <c r="AK444" s="121">
        <f>IFERROR((VLOOKUP($A444,Pitchers!$A1:$S251,19,FALSE)-AVERAGE(Rankings!AR2:AR651))/STDEV(Rankings!AR2:AR651)*-1,0)</f>
        <v>0.47041511698728217</v>
      </c>
    </row>
    <row r="445" spans="1:37" ht="18.600000000000001" customHeight="1">
      <c r="A445" s="25" t="s">
        <v>238</v>
      </c>
      <c r="B445" s="26" t="s">
        <v>74</v>
      </c>
      <c r="C445" s="130" t="s">
        <v>31</v>
      </c>
      <c r="D445" s="67">
        <f>(V445*Settings!$G$2)+(Y445*Settings!$G$5)+(Z445*Settings!$G$6)+(AA445*Settings!$G$7)+(AB445*Settings!$G$8)+(AC445*Settings!$G$9)+(AD445*Settings!$G$10)+(AE445*Settings!$G$11)+(AF445*Settings!$G$12)+(AG445*Settings!$G$13)+(AH445*Settings!$G$14)+(AI445*Settings!$G$15)+(AJ445*Settings!$G$16)+(AK445*Settings!$G$17)+(W445*Settings!$G$3)+(X445*Settings!$G$4)</f>
        <v>1.8758262264350001</v>
      </c>
      <c r="E445" s="67"/>
      <c r="F445" s="67"/>
      <c r="G445" s="67"/>
      <c r="H445" s="67"/>
      <c r="I445" s="67"/>
      <c r="J445" s="67"/>
      <c r="K445" s="73"/>
      <c r="L445" s="73"/>
      <c r="M445" s="67"/>
      <c r="N445" s="67"/>
      <c r="O445" s="67"/>
      <c r="P445" s="67"/>
      <c r="Q445" s="67"/>
      <c r="R445" s="73"/>
      <c r="S445" s="73"/>
      <c r="T445" s="67"/>
      <c r="U445" s="67"/>
      <c r="V445" s="121">
        <f>(VLOOKUP($A445,Pitchers!$A1:$S251,4,FALSE)-AVERAGE(Rankings!AC2:AC651))/STDEV(Rankings!AC2:AC651)</f>
        <v>1.3075506051348511</v>
      </c>
      <c r="W445" s="121">
        <f>(VLOOKUP($A445,Pitchers!$A1:$S251,5,FALSE)-AVERAGE(Rankings!AD2:AD651))/STDEV(Rankings!AD2:AD651)*-1</f>
        <v>-5.8226144503687918E-2</v>
      </c>
      <c r="X445" s="121">
        <f>(VLOOKUP($A445,Pitchers!$A1:$S251,6,FALSE)-AVERAGE(Rankings!AE2:AE651))/STDEV(Rankings!AE2:AE651)*-1</f>
        <v>-0.56256824514718273</v>
      </c>
      <c r="Y445" s="121">
        <f>(VLOOKUP($A445,Pitchers!$A1:$S251,7,FALSE)-AVERAGE(Rankings!AF2:AF651))/STDEV(Rankings!AF2:AF651)</f>
        <v>1.0571778033310315</v>
      </c>
      <c r="Z445" s="121">
        <f>(VLOOKUP($A445,Pitchers!$A1:$S251,8,FALSE)-AVERAGE(Rankings!AG2:AG651))/STDEV(Rankings!AG2:AG651)</f>
        <v>1.9035872749052127</v>
      </c>
      <c r="AA445" s="121">
        <f>(VLOOKUP($A445,Pitchers!$A1:$S251,9,FALSE)-AVERAGE(Rankings!AH2:AH651))/STDEV(Rankings!AH2:AH651)</f>
        <v>-0.46414446215037364</v>
      </c>
      <c r="AB445" s="121">
        <f>(VLOOKUP($A445,Pitchers!$A1:$S251,10,FALSE)-AVERAGE(Rankings!AI2:AI651))/STDEV(Rankings!AI2:AI651)*-1</f>
        <v>-1.1410068246380669</v>
      </c>
      <c r="AC445" s="121">
        <f>(VLOOKUP($A445,Pitchers!$A1:$S251,11,FALSE)-AVERAGE(Rankings!AJ2:AJ651))/STDEV(Rankings!AJ2:AJ651)*-1</f>
        <v>-1.3393226952543618</v>
      </c>
      <c r="AD445" s="121">
        <f>(VLOOKUP($A445,Pitchers!$A1:$S251,12,FALSE)-AVERAGE(Rankings!AK2:AK651))/STDEV(Rankings!AK2:AK651)*-1</f>
        <v>-1.577390191291105</v>
      </c>
      <c r="AE445" s="121">
        <f>IFERROR((VLOOKUP($A445,Pitchers!$A1:$S251,13,FALSE)-AVERAGE(Rankings!AL2:AL651))/STDEV(Rankings!AL2:AL651)*-1,0)</f>
        <v>-0.63151587024496925</v>
      </c>
      <c r="AF445" s="121">
        <f>(VLOOKUP($A445,Pitchers!$A1:$S251,14,FALSE)-AVERAGE(Rankings!AM2:AM651))/STDEV(Rankings!AM2:AM651)</f>
        <v>-0.67491234512156595</v>
      </c>
      <c r="AG445" s="121">
        <f>(VLOOKUP($A445,Pitchers!$A1:$S251,15,FALSE)-AVERAGE(Rankings!AN2:AN651))/STDEV(Rankings!AN2:AN651)</f>
        <v>1.015015690687944</v>
      </c>
      <c r="AH445" s="121">
        <f>(VLOOKUP($A445,Pitchers!$A1:$S251,16,FALSE)-AVERAGE(Rankings!AO2:AO651))/STDEV(Rankings!AO2:AO651)*-1</f>
        <v>-0.756255740870591</v>
      </c>
      <c r="AI445" s="121">
        <f>IFERROR((VLOOKUP($A445,Pitchers!$A1:$S251,17,FALSE)-AVERAGE(Rankings!AP2:AP651))/STDEV(Rankings!AP2:AP651),0)</f>
        <v>1.3095246525767978</v>
      </c>
      <c r="AJ445" s="121">
        <f>(VLOOKUP($A445,Pitchers!$A1:$S251,18,FALSE)-AVERAGE(Rankings!AQ2:AQ651))/STDEV(Rankings!AQ2:AQ651)</f>
        <v>-0.68467156957913733</v>
      </c>
      <c r="AK445" s="121">
        <f>IFERROR((VLOOKUP($A445,Pitchers!$A1:$S251,19,FALSE)-AVERAGE(Rankings!AR2:AR651))/STDEV(Rankings!AR2:AR651)*-1,0)</f>
        <v>0.47041511698728217</v>
      </c>
    </row>
    <row r="446" spans="1:37" ht="18.600000000000001" customHeight="1">
      <c r="A446" s="25" t="s">
        <v>246</v>
      </c>
      <c r="B446" s="26" t="s">
        <v>158</v>
      </c>
      <c r="C446" s="130" t="s">
        <v>31</v>
      </c>
      <c r="D446" s="67">
        <f>(V446*Settings!$G$2)+(Y446*Settings!$G$5)+(Z446*Settings!$G$6)+(AA446*Settings!$G$7)+(AB446*Settings!$G$8)+(AC446*Settings!$G$9)+(AD446*Settings!$G$10)+(AE446*Settings!$G$11)+(AF446*Settings!$G$12)+(AG446*Settings!$G$13)+(AH446*Settings!$G$14)+(AI446*Settings!$G$15)+(AJ446*Settings!$G$16)+(AK446*Settings!$G$17)+(W446*Settings!$G$3)+(X446*Settings!$G$4)</f>
        <v>1.7141792825766409</v>
      </c>
      <c r="E446" s="67"/>
      <c r="F446" s="67"/>
      <c r="G446" s="67"/>
      <c r="H446" s="67"/>
      <c r="I446" s="67"/>
      <c r="J446" s="67"/>
      <c r="K446" s="73"/>
      <c r="L446" s="73"/>
      <c r="M446" s="67"/>
      <c r="N446" s="67"/>
      <c r="O446" s="67"/>
      <c r="P446" s="67"/>
      <c r="Q446" s="67"/>
      <c r="R446" s="73"/>
      <c r="S446" s="73"/>
      <c r="T446" s="67"/>
      <c r="U446" s="67"/>
      <c r="V446" s="121">
        <f>(VLOOKUP($A446,Pitchers!$A1:$S251,4,FALSE)-AVERAGE(Rankings!AC2:AC651))/STDEV(Rankings!AC2:AC651)</f>
        <v>1.1325302976745963</v>
      </c>
      <c r="W446" s="121">
        <f>(VLOOKUP($A446,Pitchers!$A1:$S251,5,FALSE)-AVERAGE(Rankings!AD2:AD651))/STDEV(Rankings!AD2:AD651)*-1</f>
        <v>-1.7624527594566293E-2</v>
      </c>
      <c r="X446" s="121">
        <f>(VLOOKUP($A446,Pitchers!$A1:$S251,6,FALSE)-AVERAGE(Rankings!AE2:AE651))/STDEV(Rankings!AE2:AE651)*-1</f>
        <v>0.11557364230151909</v>
      </c>
      <c r="Y446" s="121">
        <f>(VLOOKUP($A446,Pitchers!$A1:$S251,7,FALSE)-AVERAGE(Rankings!AF2:AF651))/STDEV(Rankings!AF2:AF651)</f>
        <v>1.1029220287666825</v>
      </c>
      <c r="Z446" s="121">
        <f>(VLOOKUP($A446,Pitchers!$A1:$S251,8,FALSE)-AVERAGE(Rankings!AG2:AG651))/STDEV(Rankings!AG2:AG651)</f>
        <v>0.97745260125337929</v>
      </c>
      <c r="AA446" s="121">
        <f>(VLOOKUP($A446,Pitchers!$A1:$S251,9,FALSE)-AVERAGE(Rankings!AH2:AH651))/STDEV(Rankings!AH2:AH651)</f>
        <v>-0.46414446215037364</v>
      </c>
      <c r="AB446" s="121">
        <f>(VLOOKUP($A446,Pitchers!$A1:$S251,10,FALSE)-AVERAGE(Rankings!AI2:AI651))/STDEV(Rankings!AI2:AI651)*-1</f>
        <v>-0.96732431301301725</v>
      </c>
      <c r="AC446" s="121">
        <f>(VLOOKUP($A446,Pitchers!$A1:$S251,11,FALSE)-AVERAGE(Rankings!AJ2:AJ651))/STDEV(Rankings!AJ2:AJ651)*-1</f>
        <v>-1.082683239000239</v>
      </c>
      <c r="AD446" s="121">
        <f>(VLOOKUP($A446,Pitchers!$A1:$S251,12,FALSE)-AVERAGE(Rankings!AK2:AK651))/STDEV(Rankings!AK2:AK651)*-1</f>
        <v>-0.87447339863591755</v>
      </c>
      <c r="AE446" s="121">
        <f>IFERROR((VLOOKUP($A446,Pitchers!$A1:$S251,13,FALSE)-AVERAGE(Rankings!AL2:AL651))/STDEV(Rankings!AL2:AL651)*-1,0)</f>
        <v>-0.76452258259647921</v>
      </c>
      <c r="AF446" s="121">
        <f>(VLOOKUP($A446,Pitchers!$A1:$S251,14,FALSE)-AVERAGE(Rankings!AM2:AM651))/STDEV(Rankings!AM2:AM651)</f>
        <v>-0.64438962218080265</v>
      </c>
      <c r="AG446" s="121">
        <f>(VLOOKUP($A446,Pitchers!$A1:$S251,15,FALSE)-AVERAGE(Rankings!AN2:AN651))/STDEV(Rankings!AN2:AN651)</f>
        <v>1.0513767441484374</v>
      </c>
      <c r="AH446" s="121">
        <f>(VLOOKUP($A446,Pitchers!$A1:$S251,16,FALSE)-AVERAGE(Rankings!AO2:AO651))/STDEV(Rankings!AO2:AO651)*-1</f>
        <v>-1.0568741617811206</v>
      </c>
      <c r="AI446" s="121">
        <f>IFERROR((VLOOKUP($A446,Pitchers!$A1:$S251,17,FALSE)-AVERAGE(Rankings!AP2:AP651))/STDEV(Rankings!AP2:AP651),0)</f>
        <v>1.1662506205662073</v>
      </c>
      <c r="AJ446" s="121">
        <f>(VLOOKUP($A446,Pitchers!$A1:$S251,18,FALSE)-AVERAGE(Rankings!AQ2:AQ651))/STDEV(Rankings!AQ2:AQ651)</f>
        <v>-0.68467156957913733</v>
      </c>
      <c r="AK446" s="121">
        <f>IFERROR((VLOOKUP($A446,Pitchers!$A1:$S251,19,FALSE)-AVERAGE(Rankings!AR2:AR651))/STDEV(Rankings!AR2:AR651)*-1,0)</f>
        <v>0.47041511698728217</v>
      </c>
    </row>
    <row r="447" spans="1:37" ht="18.600000000000001" customHeight="1">
      <c r="A447" s="25" t="s">
        <v>234</v>
      </c>
      <c r="B447" s="26" t="s">
        <v>125</v>
      </c>
      <c r="C447" s="130" t="s">
        <v>31</v>
      </c>
      <c r="D447" s="67">
        <f>(V447*Settings!$G$2)+(Y447*Settings!$G$5)+(Z447*Settings!$G$6)+(AA447*Settings!$G$7)+(AB447*Settings!$G$8)+(AC447*Settings!$G$9)+(AD447*Settings!$G$10)+(AE447*Settings!$G$11)+(AF447*Settings!$G$12)+(AG447*Settings!$G$13)+(AH447*Settings!$G$14)+(AI447*Settings!$G$15)+(AJ447*Settings!$G$16)+(AK447*Settings!$G$17)+(W447*Settings!$G$3)+(X447*Settings!$G$4)</f>
        <v>2.0104252749271767</v>
      </c>
      <c r="E447" s="67"/>
      <c r="F447" s="67"/>
      <c r="G447" s="67"/>
      <c r="H447" s="67"/>
      <c r="I447" s="67"/>
      <c r="J447" s="67"/>
      <c r="K447" s="73"/>
      <c r="L447" s="73"/>
      <c r="M447" s="67"/>
      <c r="N447" s="67"/>
      <c r="O447" s="67"/>
      <c r="P447" s="67"/>
      <c r="Q447" s="67"/>
      <c r="R447" s="73"/>
      <c r="S447" s="73"/>
      <c r="T447" s="67"/>
      <c r="U447" s="67"/>
      <c r="V447" s="121">
        <f>(VLOOKUP($A447,Pitchers!$A1:$S251,4,FALSE)-AVERAGE(Rankings!AC2:AC651))/STDEV(Rankings!AC2:AC651)</f>
        <v>1.2532096225766265</v>
      </c>
      <c r="W447" s="121">
        <f>(VLOOKUP($A447,Pitchers!$A1:$S251,5,FALSE)-AVERAGE(Rankings!AD2:AD651))/STDEV(Rankings!AD2:AD651)*-1</f>
        <v>0.15201680987052801</v>
      </c>
      <c r="X447" s="121">
        <f>(VLOOKUP($A447,Pitchers!$A1:$S251,6,FALSE)-AVERAGE(Rankings!AE2:AE651))/STDEV(Rankings!AE2:AE651)*-1</f>
        <v>0.33343416021581745</v>
      </c>
      <c r="Y447" s="121">
        <f>(VLOOKUP($A447,Pitchers!$A1:$S251,7,FALSE)-AVERAGE(Rankings!AF2:AF651))/STDEV(Rankings!AF2:AF651)</f>
        <v>0.96133275956109532</v>
      </c>
      <c r="Z447" s="121">
        <f>(VLOOKUP($A447,Pitchers!$A1:$S251,8,FALSE)-AVERAGE(Rankings!AG2:AG651))/STDEV(Rankings!AG2:AG651)</f>
        <v>1.0277860074301093</v>
      </c>
      <c r="AA447" s="121">
        <f>(VLOOKUP($A447,Pitchers!$A1:$S251,9,FALSE)-AVERAGE(Rankings!AH2:AH651))/STDEV(Rankings!AH2:AH651)</f>
        <v>-0.46414446215037364</v>
      </c>
      <c r="AB447" s="121">
        <f>(VLOOKUP($A447,Pitchers!$A1:$S251,10,FALSE)-AVERAGE(Rankings!AI2:AI651))/STDEV(Rankings!AI2:AI651)*-1</f>
        <v>-0.99795826802902132</v>
      </c>
      <c r="AC447" s="121">
        <f>(VLOOKUP($A447,Pitchers!$A1:$S251,11,FALSE)-AVERAGE(Rankings!AJ2:AJ651))/STDEV(Rankings!AJ2:AJ651)*-1</f>
        <v>-1.254013180710055</v>
      </c>
      <c r="AD447" s="121">
        <f>(VLOOKUP($A447,Pitchers!$A1:$S251,12,FALSE)-AVERAGE(Rankings!AK2:AK651))/STDEV(Rankings!AK2:AK651)*-1</f>
        <v>-0.51813363569266357</v>
      </c>
      <c r="AE447" s="121">
        <f>IFERROR((VLOOKUP($A447,Pitchers!$A1:$S251,13,FALSE)-AVERAGE(Rankings!AL2:AL651))/STDEV(Rankings!AL2:AL651)*-1,0)</f>
        <v>-0.63151587024496925</v>
      </c>
      <c r="AF447" s="121">
        <f>(VLOOKUP($A447,Pitchers!$A1:$S251,14,FALSE)-AVERAGE(Rankings!AM2:AM651))/STDEV(Rankings!AM2:AM651)</f>
        <v>-0.56590262033312599</v>
      </c>
      <c r="AG447" s="121">
        <f>(VLOOKUP($A447,Pitchers!$A1:$S251,15,FALSE)-AVERAGE(Rankings!AN2:AN651))/STDEV(Rankings!AN2:AN651)</f>
        <v>1.1448765959039913</v>
      </c>
      <c r="AH447" s="121">
        <f>(VLOOKUP($A447,Pitchers!$A1:$S251,16,FALSE)-AVERAGE(Rankings!AO2:AO651))/STDEV(Rankings!AO2:AO651)*-1</f>
        <v>-0.63099806549120363</v>
      </c>
      <c r="AI447" s="121">
        <f>IFERROR((VLOOKUP($A447,Pitchers!$A1:$S251,17,FALSE)-AVERAGE(Rankings!AP2:AP651))/STDEV(Rankings!AP2:AP651),0)</f>
        <v>1.1662506205662073</v>
      </c>
      <c r="AJ447" s="121">
        <f>(VLOOKUP($A447,Pitchers!$A1:$S251,18,FALSE)-AVERAGE(Rankings!AQ2:AQ651))/STDEV(Rankings!AQ2:AQ651)</f>
        <v>-0.68467156957913733</v>
      </c>
      <c r="AK447" s="121">
        <f>IFERROR((VLOOKUP($A447,Pitchers!$A1:$S251,19,FALSE)-AVERAGE(Rankings!AR2:AR651))/STDEV(Rankings!AR2:AR651)*-1,0)</f>
        <v>0.47041511698728217</v>
      </c>
    </row>
    <row r="448" spans="1:37" ht="18.600000000000001" customHeight="1">
      <c r="A448" s="25" t="s">
        <v>240</v>
      </c>
      <c r="B448" s="26" t="s">
        <v>105</v>
      </c>
      <c r="C448" s="130" t="s">
        <v>31</v>
      </c>
      <c r="D448" s="67">
        <f>(V448*Settings!$G$2)+(Y448*Settings!$G$5)+(Z448*Settings!$G$6)+(AA448*Settings!$G$7)+(AB448*Settings!$G$8)+(AC448*Settings!$G$9)+(AD448*Settings!$G$10)+(AE448*Settings!$G$11)+(AF448*Settings!$G$12)+(AG448*Settings!$G$13)+(AH448*Settings!$G$14)+(AI448*Settings!$G$15)+(AJ448*Settings!$G$16)+(AK448*Settings!$G$17)+(W448*Settings!$G$3)+(X448*Settings!$G$4)</f>
        <v>1.8242049921583388</v>
      </c>
      <c r="E448" s="67"/>
      <c r="F448" s="67"/>
      <c r="G448" s="67"/>
      <c r="H448" s="67"/>
      <c r="I448" s="67"/>
      <c r="J448" s="67"/>
      <c r="K448" s="73"/>
      <c r="L448" s="73"/>
      <c r="M448" s="67"/>
      <c r="N448" s="67"/>
      <c r="O448" s="67"/>
      <c r="P448" s="67"/>
      <c r="Q448" s="67"/>
      <c r="R448" s="73"/>
      <c r="S448" s="73"/>
      <c r="T448" s="67"/>
      <c r="U448" s="67"/>
      <c r="V448" s="121">
        <f>(VLOOKUP($A448,Pitchers!$A1:$S251,4,FALSE)-AVERAGE(Rankings!AC2:AC651))/STDEV(Rankings!AC2:AC651)</f>
        <v>0.3371759165951338</v>
      </c>
      <c r="W448" s="121">
        <f>(VLOOKUP($A448,Pitchers!$A1:$S251,5,FALSE)-AVERAGE(Rankings!AD2:AD651))/STDEV(Rankings!AD2:AD651)*-1</f>
        <v>6.7080641537630367E-2</v>
      </c>
      <c r="X448" s="121">
        <f>(VLOOKUP($A448,Pitchers!$A1:$S251,6,FALSE)-AVERAGE(Rankings!AE2:AE651))/STDEV(Rankings!AE2:AE651)*-1</f>
        <v>0.98952683926974228</v>
      </c>
      <c r="Y448" s="121">
        <f>(VLOOKUP($A448,Pitchers!$A1:$S251,7,FALSE)-AVERAGE(Rankings!AF2:AF651))/STDEV(Rankings!AF2:AF651)</f>
        <v>0.93882369625148909</v>
      </c>
      <c r="Z448" s="121">
        <f>(VLOOKUP($A448,Pitchers!$A1:$S251,8,FALSE)-AVERAGE(Rankings!AG2:AG651))/STDEV(Rankings!AG2:AG651)</f>
        <v>0.29291827724985064</v>
      </c>
      <c r="AA448" s="121">
        <f>(VLOOKUP($A448,Pitchers!$A1:$S251,9,FALSE)-AVERAGE(Rankings!AH2:AH651))/STDEV(Rankings!AH2:AH651)</f>
        <v>-0.46414446215037364</v>
      </c>
      <c r="AB448" s="121">
        <f>(VLOOKUP($A448,Pitchers!$A1:$S251,10,FALSE)-AVERAGE(Rankings!AI2:AI651))/STDEV(Rankings!AI2:AI651)*-1</f>
        <v>-0.23379125682588411</v>
      </c>
      <c r="AC448" s="121">
        <f>(VLOOKUP($A448,Pitchers!$A1:$S251,11,FALSE)-AVERAGE(Rankings!AJ2:AJ651))/STDEV(Rankings!AJ2:AJ651)*-1</f>
        <v>-0.16631687027014413</v>
      </c>
      <c r="AD448" s="121">
        <f>(VLOOKUP($A448,Pitchers!$A1:$S251,12,FALSE)-AVERAGE(Rankings!AK2:AK651))/STDEV(Rankings!AK2:AK651)*-1</f>
        <v>0.10424060780411644</v>
      </c>
      <c r="AE448" s="121">
        <f>IFERROR((VLOOKUP($A448,Pitchers!$A1:$S251,13,FALSE)-AVERAGE(Rankings!AL2:AL651))/STDEV(Rankings!AL2:AL651)*-1,0)</f>
        <v>-0.23249573319043931</v>
      </c>
      <c r="AF448" s="121">
        <f>(VLOOKUP($A448,Pitchers!$A1:$S251,14,FALSE)-AVERAGE(Rankings!AM2:AM651))/STDEV(Rankings!AM2:AM651)</f>
        <v>-0.9692386020503535</v>
      </c>
      <c r="AG448" s="121">
        <f>(VLOOKUP($A448,Pitchers!$A1:$S251,15,FALSE)-AVERAGE(Rankings!AN2:AN651))/STDEV(Rankings!AN2:AN651)</f>
        <v>0.66439124660461613</v>
      </c>
      <c r="AH448" s="121">
        <f>(VLOOKUP($A448,Pitchers!$A1:$S251,16,FALSE)-AVERAGE(Rankings!AO2:AO651))/STDEV(Rankings!AO2:AO651)*-1</f>
        <v>-0.46816308749799967</v>
      </c>
      <c r="AI448" s="121">
        <f>IFERROR((VLOOKUP($A448,Pitchers!$A1:$S251,17,FALSE)-AVERAGE(Rankings!AP2:AP651))/STDEV(Rankings!AP2:AP651),0)</f>
        <v>0.87970255654502605</v>
      </c>
      <c r="AJ448" s="121">
        <f>(VLOOKUP($A448,Pitchers!$A1:$S251,18,FALSE)-AVERAGE(Rankings!AQ2:AQ651))/STDEV(Rankings!AQ2:AQ651)</f>
        <v>-0.68467156957913733</v>
      </c>
      <c r="AK448" s="121">
        <f>IFERROR((VLOOKUP($A448,Pitchers!$A1:$S251,19,FALSE)-AVERAGE(Rankings!AR2:AR651))/STDEV(Rankings!AR2:AR651)*-1,0)</f>
        <v>0.47041511698728217</v>
      </c>
    </row>
    <row r="449" spans="1:37" ht="18.600000000000001" customHeight="1">
      <c r="A449" s="25" t="s">
        <v>271</v>
      </c>
      <c r="B449" s="26" t="s">
        <v>119</v>
      </c>
      <c r="C449" s="130" t="s">
        <v>31</v>
      </c>
      <c r="D449" s="67">
        <f>(V449*Settings!$G$2)+(Y449*Settings!$G$5)+(Z449*Settings!$G$6)+(AA449*Settings!$G$7)+(AB449*Settings!$G$8)+(AC449*Settings!$G$9)+(AD449*Settings!$G$10)+(AE449*Settings!$G$11)+(AF449*Settings!$G$12)+(AG449*Settings!$G$13)+(AH449*Settings!$G$14)+(AI449*Settings!$G$15)+(AJ449*Settings!$G$16)+(AK449*Settings!$G$17)+(W449*Settings!$G$3)+(X449*Settings!$G$4)</f>
        <v>1.1541908467785056</v>
      </c>
      <c r="E449" s="67"/>
      <c r="F449" s="67"/>
      <c r="G449" s="67"/>
      <c r="H449" s="67"/>
      <c r="I449" s="67"/>
      <c r="J449" s="67"/>
      <c r="K449" s="73"/>
      <c r="L449" s="73"/>
      <c r="M449" s="67"/>
      <c r="N449" s="67"/>
      <c r="O449" s="67"/>
      <c r="P449" s="67"/>
      <c r="Q449" s="67"/>
      <c r="R449" s="73"/>
      <c r="S449" s="73"/>
      <c r="T449" s="67"/>
      <c r="U449" s="67"/>
      <c r="V449" s="121">
        <f>(VLOOKUP($A449,Pitchers!$A1:$S251,4,FALSE)-AVERAGE(Rankings!AC2:AC651))/STDEV(Rankings!AC2:AC651)</f>
        <v>1.2828501585174767</v>
      </c>
      <c r="W449" s="121">
        <f>(VLOOKUP($A449,Pitchers!$A1:$S251,5,FALSE)-AVERAGE(Rankings!AD2:AD651))/STDEV(Rankings!AD2:AD651)*-1</f>
        <v>-0.15813558780689604</v>
      </c>
      <c r="X449" s="121">
        <f>(VLOOKUP($A449,Pitchers!$A1:$S251,6,FALSE)-AVERAGE(Rankings!AE2:AE651))/STDEV(Rankings!AE2:AE651)*-1</f>
        <v>-0.35892502239689422</v>
      </c>
      <c r="Y449" s="121">
        <f>(VLOOKUP($A449,Pitchers!$A1:$S251,7,FALSE)-AVERAGE(Rankings!AF2:AF651))/STDEV(Rankings!AF2:AF651)</f>
        <v>1.0673431867611762</v>
      </c>
      <c r="Z449" s="121">
        <f>(VLOOKUP($A449,Pitchers!$A1:$S251,8,FALSE)-AVERAGE(Rankings!AG2:AG651))/STDEV(Rankings!AG2:AG651)</f>
        <v>1.068052732371493</v>
      </c>
      <c r="AA449" s="121">
        <f>(VLOOKUP($A449,Pitchers!$A1:$S251,9,FALSE)-AVERAGE(Rankings!AH2:AH651))/STDEV(Rankings!AH2:AH651)</f>
        <v>-0.46414446215037364</v>
      </c>
      <c r="AB449" s="121">
        <f>(VLOOKUP($A449,Pitchers!$A1:$S251,10,FALSE)-AVERAGE(Rankings!AI2:AI651))/STDEV(Rankings!AI2:AI651)*-1</f>
        <v>-1.1643126570816145</v>
      </c>
      <c r="AC449" s="121">
        <f>(VLOOKUP($A449,Pitchers!$A1:$S251,11,FALSE)-AVERAGE(Rankings!AJ2:AJ651))/STDEV(Rankings!AJ2:AJ651)*-1</f>
        <v>-1.3727355884508818</v>
      </c>
      <c r="AD449" s="121">
        <f>(VLOOKUP($A449,Pitchers!$A1:$S251,12,FALSE)-AVERAGE(Rankings!AK2:AK651))/STDEV(Rankings!AK2:AK651)*-1</f>
        <v>-1.0990162629563252</v>
      </c>
      <c r="AE449" s="121">
        <f>IFERROR((VLOOKUP($A449,Pitchers!$A1:$S251,13,FALSE)-AVERAGE(Rankings!AL2:AL651))/STDEV(Rankings!AL2:AL651)*-1,0)</f>
        <v>-0.49850915789345923</v>
      </c>
      <c r="AF449" s="121">
        <f>(VLOOKUP($A449,Pitchers!$A1:$S251,14,FALSE)-AVERAGE(Rankings!AM2:AM651))/STDEV(Rankings!AM2:AM651)</f>
        <v>-0.653110400163878</v>
      </c>
      <c r="AG449" s="121">
        <f>(VLOOKUP($A449,Pitchers!$A1:$S251,15,FALSE)-AVERAGE(Rankings!AN2:AN651))/STDEV(Rankings!AN2:AN651)</f>
        <v>1.0409878717311534</v>
      </c>
      <c r="AH449" s="121">
        <f>(VLOOKUP($A449,Pitchers!$A1:$S251,16,FALSE)-AVERAGE(Rankings!AO2:AO651))/STDEV(Rankings!AO2:AO651)*-1</f>
        <v>-1.1445545345466923</v>
      </c>
      <c r="AI449" s="121">
        <f>IFERROR((VLOOKUP($A449,Pitchers!$A1:$S251,17,FALSE)-AVERAGE(Rankings!AP2:AP651))/STDEV(Rankings!AP2:AP651),0)</f>
        <v>1.3095246525767978</v>
      </c>
      <c r="AJ449" s="121">
        <f>(VLOOKUP($A449,Pitchers!$A1:$S251,18,FALSE)-AVERAGE(Rankings!AQ2:AQ651))/STDEV(Rankings!AQ2:AQ651)</f>
        <v>-0.68467156957913733</v>
      </c>
      <c r="AK449" s="121">
        <f>IFERROR((VLOOKUP($A449,Pitchers!$A1:$S251,19,FALSE)-AVERAGE(Rankings!AR2:AR651))/STDEV(Rankings!AR2:AR651)*-1,0)</f>
        <v>0.47041511698728217</v>
      </c>
    </row>
    <row r="450" spans="1:37" ht="18.600000000000001" customHeight="1">
      <c r="A450" s="25" t="s">
        <v>256</v>
      </c>
      <c r="B450" s="26" t="s">
        <v>219</v>
      </c>
      <c r="C450" s="130" t="s">
        <v>31</v>
      </c>
      <c r="D450" s="67">
        <f>(V450*Settings!$G$2)+(Y450*Settings!$G$5)+(Z450*Settings!$G$6)+(AA450*Settings!$G$7)+(AB450*Settings!$G$8)+(AC450*Settings!$G$9)+(AD450*Settings!$G$10)+(AE450*Settings!$G$11)+(AF450*Settings!$G$12)+(AG450*Settings!$G$13)+(AH450*Settings!$G$14)+(AI450*Settings!$G$15)+(AJ450*Settings!$G$16)+(AK450*Settings!$G$17)+(W450*Settings!$G$3)+(X450*Settings!$G$4)</f>
        <v>1.390885208006998</v>
      </c>
      <c r="E450" s="67"/>
      <c r="F450" s="67"/>
      <c r="G450" s="67"/>
      <c r="H450" s="67"/>
      <c r="I450" s="67"/>
      <c r="J450" s="67"/>
      <c r="K450" s="73"/>
      <c r="L450" s="73"/>
      <c r="M450" s="67"/>
      <c r="N450" s="67"/>
      <c r="O450" s="67"/>
      <c r="P450" s="67"/>
      <c r="Q450" s="67"/>
      <c r="R450" s="73"/>
      <c r="S450" s="73"/>
      <c r="T450" s="67"/>
      <c r="U450" s="67"/>
      <c r="V450" s="121">
        <f>(VLOOKUP($A450,Pitchers!$A1:$S251,4,FALSE)-AVERAGE(Rankings!AC2:AC651))/STDEV(Rankings!AC2:AC651)</f>
        <v>1.0316113300664662</v>
      </c>
      <c r="W450" s="121">
        <f>(VLOOKUP($A450,Pitchers!$A1:$S251,5,FALSE)-AVERAGE(Rankings!AD2:AD651))/STDEV(Rankings!AD2:AD651)*-1</f>
        <v>0.34421675334026708</v>
      </c>
      <c r="X450" s="121">
        <f>(VLOOKUP($A450,Pitchers!$A1:$S251,6,FALSE)-AVERAGE(Rankings!AE2:AE651))/STDEV(Rankings!AE2:AE651)*-1</f>
        <v>-0.13792087803725597</v>
      </c>
      <c r="Y450" s="121">
        <f>(VLOOKUP($A450,Pitchers!$A1:$S251,7,FALSE)-AVERAGE(Rankings!AF2:AF651))/STDEV(Rankings!AF2:AF651)</f>
        <v>0.93301490571997758</v>
      </c>
      <c r="Z450" s="121">
        <f>(VLOOKUP($A450,Pitchers!$A1:$S251,8,FALSE)-AVERAGE(Rankings!AG2:AG651))/STDEV(Rankings!AG2:AG651)</f>
        <v>0.71571888913438286</v>
      </c>
      <c r="AA450" s="121">
        <f>(VLOOKUP($A450,Pitchers!$A1:$S251,9,FALSE)-AVERAGE(Rankings!AH2:AH651))/STDEV(Rankings!AH2:AH651)</f>
        <v>-0.46414446215037364</v>
      </c>
      <c r="AB450" s="121">
        <f>(VLOOKUP($A450,Pitchers!$A1:$S251,10,FALSE)-AVERAGE(Rankings!AI2:AI651))/STDEV(Rankings!AI2:AI651)*-1</f>
        <v>-0.72495566891581142</v>
      </c>
      <c r="AC450" s="121">
        <f>(VLOOKUP($A450,Pitchers!$A1:$S251,11,FALSE)-AVERAGE(Rankings!AJ2:AJ651))/STDEV(Rankings!AJ2:AJ651)*-1</f>
        <v>-1.0549576467733393</v>
      </c>
      <c r="AD450" s="121">
        <f>(VLOOKUP($A450,Pitchers!$A1:$S251,12,FALSE)-AVERAGE(Rankings!AK2:AK651))/STDEV(Rankings!AK2:AK651)*-1</f>
        <v>-0.8451851989419521</v>
      </c>
      <c r="AE450" s="121">
        <f>IFERROR((VLOOKUP($A450,Pitchers!$A1:$S251,13,FALSE)-AVERAGE(Rankings!AL2:AL651))/STDEV(Rankings!AL2:AL651)*-1,0)</f>
        <v>0.16652440386409056</v>
      </c>
      <c r="AF450" s="121">
        <f>(VLOOKUP($A450,Pitchers!$A1:$S251,14,FALSE)-AVERAGE(Rankings!AM2:AM651))/STDEV(Rankings!AM2:AM651)</f>
        <v>-0.7097954570538666</v>
      </c>
      <c r="AG450" s="121">
        <f>(VLOOKUP($A450,Pitchers!$A1:$S251,15,FALSE)-AVERAGE(Rankings!AN2:AN651))/STDEV(Rankings!AN2:AN651)</f>
        <v>0.97346020101880892</v>
      </c>
      <c r="AH450" s="121">
        <f>(VLOOKUP($A450,Pitchers!$A1:$S251,16,FALSE)-AVERAGE(Rankings!AO2:AO651))/STDEV(Rankings!AO2:AO651)*-1</f>
        <v>-0.74372997333265201</v>
      </c>
      <c r="AI450" s="121">
        <f>IFERROR((VLOOKUP($A450,Pitchers!$A1:$S251,17,FALSE)-AVERAGE(Rankings!AP2:AP651))/STDEV(Rankings!AP2:AP651),0)</f>
        <v>1.1662506205662073</v>
      </c>
      <c r="AJ450" s="121">
        <f>(VLOOKUP($A450,Pitchers!$A1:$S251,18,FALSE)-AVERAGE(Rankings!AQ2:AQ651))/STDEV(Rankings!AQ2:AQ651)</f>
        <v>-0.68467156957913733</v>
      </c>
      <c r="AK450" s="121">
        <f>IFERROR((VLOOKUP($A450,Pitchers!$A1:$S251,19,FALSE)-AVERAGE(Rankings!AR2:AR651))/STDEV(Rankings!AR2:AR651)*-1,0)</f>
        <v>0.47041511698728217</v>
      </c>
    </row>
    <row r="451" spans="1:37" ht="18.600000000000001" customHeight="1">
      <c r="A451" s="25" t="s">
        <v>276</v>
      </c>
      <c r="B451" s="26" t="s">
        <v>87</v>
      </c>
      <c r="C451" s="130" t="s">
        <v>31</v>
      </c>
      <c r="D451" s="67">
        <f>(V451*Settings!$G$2)+(Y451*Settings!$G$5)+(Z451*Settings!$G$6)+(AA451*Settings!$G$7)+(AB451*Settings!$G$8)+(AC451*Settings!$G$9)+(AD451*Settings!$G$10)+(AE451*Settings!$G$11)+(AF451*Settings!$G$12)+(AG451*Settings!$G$13)+(AH451*Settings!$G$14)+(AI451*Settings!$G$15)+(AJ451*Settings!$G$16)+(AK451*Settings!$G$17)+(W451*Settings!$G$3)+(X451*Settings!$G$4)</f>
        <v>1.0865861342668588</v>
      </c>
      <c r="E451" s="67"/>
      <c r="F451" s="67"/>
      <c r="G451" s="67"/>
      <c r="H451" s="67"/>
      <c r="I451" s="67"/>
      <c r="J451" s="67"/>
      <c r="K451" s="73"/>
      <c r="L451" s="73"/>
      <c r="M451" s="67"/>
      <c r="N451" s="67"/>
      <c r="O451" s="67"/>
      <c r="P451" s="67"/>
      <c r="Q451" s="67"/>
      <c r="R451" s="73"/>
      <c r="S451" s="73"/>
      <c r="T451" s="67"/>
      <c r="U451" s="67"/>
      <c r="V451" s="121">
        <f>(VLOOKUP($A451,Pitchers!$A1:$S251,4,FALSE)-AVERAGE(Rankings!AC2:AC651))/STDEV(Rankings!AC2:AC651)</f>
        <v>0.40210280484651845</v>
      </c>
      <c r="W451" s="121">
        <f>(VLOOKUP($A451,Pitchers!$A1:$S251,5,FALSE)-AVERAGE(Rankings!AD2:AD651))/STDEV(Rankings!AD2:AD651)*-1</f>
        <v>-0.18173515798240109</v>
      </c>
      <c r="X451" s="121">
        <f>(VLOOKUP($A451,Pitchers!$A1:$S251,6,FALSE)-AVERAGE(Rankings!AE2:AE651))/STDEV(Rankings!AE2:AE651)*-1</f>
        <v>0.55584377220570036</v>
      </c>
      <c r="Y451" s="121">
        <f>(VLOOKUP($A451,Pitchers!$A1:$S251,7,FALSE)-AVERAGE(Rankings!AF2:AF651))/STDEV(Rankings!AF2:AF651)</f>
        <v>0.9642371548268508</v>
      </c>
      <c r="Z451" s="121">
        <f>(VLOOKUP($A451,Pitchers!$A1:$S251,8,FALSE)-AVERAGE(Rankings!AG2:AG651))/STDEV(Rankings!AG2:AG651)</f>
        <v>0.21238482736708231</v>
      </c>
      <c r="AA451" s="121">
        <f>(VLOOKUP($A451,Pitchers!$A1:$S251,9,FALSE)-AVERAGE(Rankings!AH2:AH651))/STDEV(Rankings!AH2:AH651)</f>
        <v>-0.46414446215037364</v>
      </c>
      <c r="AB451" s="121">
        <f>(VLOOKUP($A451,Pitchers!$A1:$S251,10,FALSE)-AVERAGE(Rankings!AI2:AI651))/STDEV(Rankings!AI2:AI651)*-1</f>
        <v>-0.37644938067492117</v>
      </c>
      <c r="AC451" s="121">
        <f>(VLOOKUP($A451,Pitchers!$A1:$S251,11,FALSE)-AVERAGE(Rankings!AJ2:AJ651))/STDEV(Rankings!AJ2:AJ651)*-1</f>
        <v>-0.31418669548027583</v>
      </c>
      <c r="AD451" s="121">
        <f>(VLOOKUP($A451,Pitchers!$A1:$S251,12,FALSE)-AVERAGE(Rankings!AK2:AK651))/STDEV(Rankings!AK2:AK651)*-1</f>
        <v>-5.1963123897036161E-2</v>
      </c>
      <c r="AE451" s="121">
        <f>IFERROR((VLOOKUP($A451,Pitchers!$A1:$S251,13,FALSE)-AVERAGE(Rankings!AL2:AL651))/STDEV(Rankings!AL2:AL651)*-1,0)</f>
        <v>-0.49850915789345923</v>
      </c>
      <c r="AF451" s="121">
        <f>(VLOOKUP($A451,Pitchers!$A1:$S251,14,FALSE)-AVERAGE(Rankings!AM2:AM651))/STDEV(Rankings!AM2:AM651)</f>
        <v>-0.87767043322806393</v>
      </c>
      <c r="AG451" s="121">
        <f>(VLOOKUP($A451,Pitchers!$A1:$S251,15,FALSE)-AVERAGE(Rankings!AN2:AN651))/STDEV(Rankings!AN2:AN651)</f>
        <v>0.77347440698609604</v>
      </c>
      <c r="AH451" s="121">
        <f>(VLOOKUP($A451,Pitchers!$A1:$S251,16,FALSE)-AVERAGE(Rankings!AO2:AO651))/STDEV(Rankings!AO2:AO651)*-1</f>
        <v>-0.68110113564295838</v>
      </c>
      <c r="AI451" s="121">
        <f>IFERROR((VLOOKUP($A451,Pitchers!$A1:$S251,17,FALSE)-AVERAGE(Rankings!AP2:AP651))/STDEV(Rankings!AP2:AP651),0)</f>
        <v>0.73642852453443552</v>
      </c>
      <c r="AJ451" s="121">
        <f>(VLOOKUP($A451,Pitchers!$A1:$S251,18,FALSE)-AVERAGE(Rankings!AQ2:AQ651))/STDEV(Rankings!AQ2:AQ651)</f>
        <v>-0.68467156957913733</v>
      </c>
      <c r="AK451" s="121">
        <f>IFERROR((VLOOKUP($A451,Pitchers!$A1:$S251,19,FALSE)-AVERAGE(Rankings!AR2:AR651))/STDEV(Rankings!AR2:AR651)*-1,0)</f>
        <v>0.47041511698728217</v>
      </c>
    </row>
    <row r="452" spans="1:37" ht="18.600000000000001" customHeight="1">
      <c r="A452" s="25" t="s">
        <v>301</v>
      </c>
      <c r="B452" s="26" t="s">
        <v>87</v>
      </c>
      <c r="C452" s="130" t="s">
        <v>31</v>
      </c>
      <c r="D452" s="67">
        <f>(V452*Settings!$G$2)+(Y452*Settings!$G$5)+(Z452*Settings!$G$6)+(AA452*Settings!$G$7)+(AB452*Settings!$G$8)+(AC452*Settings!$G$9)+(AD452*Settings!$G$10)+(AE452*Settings!$G$11)+(AF452*Settings!$G$12)+(AG452*Settings!$G$13)+(AH452*Settings!$G$14)+(AI452*Settings!$G$15)+(AJ452*Settings!$G$16)+(AK452*Settings!$G$17)+(W452*Settings!$G$3)+(X452*Settings!$G$4)</f>
        <v>0.57225309068081953</v>
      </c>
      <c r="E452" s="67"/>
      <c r="F452" s="67"/>
      <c r="G452" s="67"/>
      <c r="H452" s="67"/>
      <c r="I452" s="67"/>
      <c r="J452" s="67"/>
      <c r="K452" s="73"/>
      <c r="L452" s="73"/>
      <c r="M452" s="67"/>
      <c r="N452" s="67"/>
      <c r="O452" s="67"/>
      <c r="P452" s="67"/>
      <c r="Q452" s="67"/>
      <c r="R452" s="73"/>
      <c r="S452" s="73"/>
      <c r="T452" s="67"/>
      <c r="U452" s="67"/>
      <c r="V452" s="121">
        <f>(VLOOKUP($A452,Pitchers!$A1:$S251,4,FALSE)-AVERAGE(Rankings!AC2:AC651))/STDEV(Rankings!AC2:AC651)</f>
        <v>1.0097337916339344</v>
      </c>
      <c r="W452" s="121">
        <f>(VLOOKUP($A452,Pitchers!$A1:$S251,5,FALSE)-AVERAGE(Rankings!AD2:AD651))/STDEV(Rankings!AD2:AD651)*-1</f>
        <v>-0.61846019070476821</v>
      </c>
      <c r="X452" s="121">
        <f>(VLOOKUP($A452,Pitchers!$A1:$S251,6,FALSE)-AVERAGE(Rankings!AE2:AE651))/STDEV(Rankings!AE2:AE651)*-1</f>
        <v>7.117818793333063E-3</v>
      </c>
      <c r="Y452" s="121">
        <f>(VLOOKUP($A452,Pitchers!$A1:$S251,7,FALSE)-AVERAGE(Rankings!AF2:AF651))/STDEV(Rankings!AF2:AF651)</f>
        <v>1.0528212104323975</v>
      </c>
      <c r="Z452" s="121">
        <f>(VLOOKUP($A452,Pitchers!$A1:$S251,8,FALSE)-AVERAGE(Rankings!AG2:AG651))/STDEV(Rankings!AG2:AG651)</f>
        <v>0.59491871431023069</v>
      </c>
      <c r="AA452" s="121">
        <f>(VLOOKUP($A452,Pitchers!$A1:$S251,9,FALSE)-AVERAGE(Rankings!AH2:AH651))/STDEV(Rankings!AH2:AH651)</f>
        <v>-0.46414446215037364</v>
      </c>
      <c r="AB452" s="121">
        <f>(VLOOKUP($A452,Pitchers!$A1:$S251,10,FALSE)-AVERAGE(Rankings!AI2:AI651))/STDEV(Rankings!AI2:AI651)*-1</f>
        <v>-1.1107633023820709</v>
      </c>
      <c r="AC452" s="121">
        <f>(VLOOKUP($A452,Pitchers!$A1:$S251,11,FALSE)-AVERAGE(Rankings!AJ2:AJ651))/STDEV(Rankings!AJ2:AJ651)*-1</f>
        <v>-0.89784595748757479</v>
      </c>
      <c r="AD452" s="121">
        <f>(VLOOKUP($A452,Pitchers!$A1:$S251,12,FALSE)-AVERAGE(Rankings!AK2:AK651))/STDEV(Rankings!AK2:AK651)*-1</f>
        <v>-1.1234230960346299</v>
      </c>
      <c r="AE452" s="121">
        <f>IFERROR((VLOOKUP($A452,Pitchers!$A1:$S251,13,FALSE)-AVERAGE(Rankings!AL2:AL651))/STDEV(Rankings!AL2:AL651)*-1,0)</f>
        <v>-0.89752929494798916</v>
      </c>
      <c r="AF452" s="121">
        <f>(VLOOKUP($A452,Pitchers!$A1:$S251,14,FALSE)-AVERAGE(Rankings!AM2:AM651))/STDEV(Rankings!AM2:AM651)</f>
        <v>-0.63130845520618994</v>
      </c>
      <c r="AG452" s="121">
        <f>(VLOOKUP($A452,Pitchers!$A1:$S251,15,FALSE)-AVERAGE(Rankings!AN2:AN651))/STDEV(Rankings!AN2:AN651)</f>
        <v>1.066960052774363</v>
      </c>
      <c r="AH452" s="121">
        <f>(VLOOKUP($A452,Pitchers!$A1:$S251,16,FALSE)-AVERAGE(Rankings!AO2:AO651))/STDEV(Rankings!AO2:AO651)*-1</f>
        <v>-1.5078017931469163</v>
      </c>
      <c r="AI452" s="121">
        <f>IFERROR((VLOOKUP($A452,Pitchers!$A1:$S251,17,FALSE)-AVERAGE(Rankings!AP2:AP651))/STDEV(Rankings!AP2:AP651),0)</f>
        <v>1.0229765885556166</v>
      </c>
      <c r="AJ452" s="121">
        <f>(VLOOKUP($A452,Pitchers!$A1:$S251,18,FALSE)-AVERAGE(Rankings!AQ2:AQ651))/STDEV(Rankings!AQ2:AQ651)</f>
        <v>-0.68467156957913733</v>
      </c>
      <c r="AK452" s="121">
        <f>IFERROR((VLOOKUP($A452,Pitchers!$A1:$S251,19,FALSE)-AVERAGE(Rankings!AR2:AR651))/STDEV(Rankings!AR2:AR651)*-1,0)</f>
        <v>0.47041511698728217</v>
      </c>
    </row>
    <row r="453" spans="1:37" ht="18.600000000000001" customHeight="1">
      <c r="A453" s="25" t="s">
        <v>232</v>
      </c>
      <c r="B453" s="26" t="s">
        <v>82</v>
      </c>
      <c r="C453" s="130" t="s">
        <v>31</v>
      </c>
      <c r="D453" s="67">
        <f>(V453*Settings!$G$2)+(Y453*Settings!$G$5)+(Z453*Settings!$G$6)+(AA453*Settings!$G$7)+(AB453*Settings!$G$8)+(AC453*Settings!$G$9)+(AD453*Settings!$G$10)+(AE453*Settings!$G$11)+(AF453*Settings!$G$12)+(AG453*Settings!$G$13)+(AH453*Settings!$G$14)+(AI453*Settings!$G$15)+(AJ453*Settings!$G$16)+(AK453*Settings!$G$17)+(W453*Settings!$G$3)+(X453*Settings!$G$4)</f>
        <v>2.0271659828211788</v>
      </c>
      <c r="E453" s="67"/>
      <c r="F453" s="67"/>
      <c r="G453" s="67"/>
      <c r="H453" s="67"/>
      <c r="I453" s="67"/>
      <c r="J453" s="67"/>
      <c r="K453" s="73"/>
      <c r="L453" s="73"/>
      <c r="M453" s="67"/>
      <c r="N453" s="67"/>
      <c r="O453" s="67"/>
      <c r="P453" s="67"/>
      <c r="Q453" s="67"/>
      <c r="R453" s="73"/>
      <c r="S453" s="73"/>
      <c r="T453" s="67"/>
      <c r="U453" s="67"/>
      <c r="V453" s="121">
        <f>(VLOOKUP($A453,Pitchers!$A1:$S251,4,FALSE)-AVERAGE(Rankings!AC2:AC651))/STDEV(Rankings!AC2:AC651)</f>
        <v>0.6032350130165689</v>
      </c>
      <c r="W453" s="121">
        <f>(VLOOKUP($A453,Pitchers!$A1:$S251,5,FALSE)-AVERAGE(Rankings!AD2:AD651))/STDEV(Rankings!AD2:AD651)*-1</f>
        <v>0.21469125866585323</v>
      </c>
      <c r="X453" s="121">
        <f>(VLOOKUP($A453,Pitchers!$A1:$S251,6,FALSE)-AVERAGE(Rankings!AE2:AE651))/STDEV(Rankings!AE2:AE651)*-1</f>
        <v>0.59361116510357304</v>
      </c>
      <c r="Y453" s="121">
        <f>(VLOOKUP($A453,Pitchers!$A1:$S251,7,FALSE)-AVERAGE(Rankings!AF2:AF651))/STDEV(Rankings!AF2:AF651)</f>
        <v>0.46395507030044286</v>
      </c>
      <c r="Z453" s="121">
        <f>(VLOOKUP($A453,Pitchers!$A1:$S251,8,FALSE)-AVERAGE(Rankings!AG2:AG651))/STDEV(Rankings!AG2:AG651)</f>
        <v>1.2190529509016832</v>
      </c>
      <c r="AA453" s="121">
        <f>(VLOOKUP($A453,Pitchers!$A1:$S251,9,FALSE)-AVERAGE(Rankings!AH2:AH651))/STDEV(Rankings!AH2:AH651)</f>
        <v>-0.46414446215037364</v>
      </c>
      <c r="AB453" s="121">
        <f>(VLOOKUP($A453,Pitchers!$A1:$S251,10,FALSE)-AVERAGE(Rankings!AI2:AI651))/STDEV(Rankings!AI2:AI651)*-1</f>
        <v>-0.41227909472795299</v>
      </c>
      <c r="AC453" s="121">
        <f>(VLOOKUP($A453,Pitchers!$A1:$S251,11,FALSE)-AVERAGE(Rankings!AJ2:AJ651))/STDEV(Rankings!AJ2:AJ651)*-1</f>
        <v>-0.33267042363154248</v>
      </c>
      <c r="AD453" s="121">
        <f>(VLOOKUP($A453,Pitchers!$A1:$S251,12,FALSE)-AVERAGE(Rankings!AK2:AK651))/STDEV(Rankings!AK2:AK651)*-1</f>
        <v>-0.75732059986005351</v>
      </c>
      <c r="AE453" s="121">
        <f>IFERROR((VLOOKUP($A453,Pitchers!$A1:$S251,13,FALSE)-AVERAGE(Rankings!AL2:AL651))/STDEV(Rankings!AL2:AL651)*-1,0)</f>
        <v>-1.0305360072994991</v>
      </c>
      <c r="AF453" s="121">
        <f>(VLOOKUP($A453,Pitchers!$A1:$S251,14,FALSE)-AVERAGE(Rankings!AM2:AM651))/STDEV(Rankings!AM2:AM651)</f>
        <v>-0.84060712679999439</v>
      </c>
      <c r="AG453" s="121">
        <f>(VLOOKUP($A453,Pitchers!$A1:$S251,15,FALSE)-AVERAGE(Rankings!AN2:AN651))/STDEV(Rankings!AN2:AN651)</f>
        <v>0.81762711475955208</v>
      </c>
      <c r="AH453" s="121">
        <f>(VLOOKUP($A453,Pitchers!$A1:$S251,16,FALSE)-AVERAGE(Rankings!AO2:AO651))/STDEV(Rankings!AO2:AO651)*-1</f>
        <v>5.7919149095428092E-2</v>
      </c>
      <c r="AI453" s="121">
        <f>IFERROR((VLOOKUP($A453,Pitchers!$A1:$S251,17,FALSE)-AVERAGE(Rankings!AP2:AP651))/STDEV(Rankings!AP2:AP651),0)</f>
        <v>0.59315449252384489</v>
      </c>
      <c r="AJ453" s="121">
        <f>(VLOOKUP($A453,Pitchers!$A1:$S251,18,FALSE)-AVERAGE(Rankings!AQ2:AQ651))/STDEV(Rankings!AQ2:AQ651)</f>
        <v>-0.68467156957913733</v>
      </c>
      <c r="AK453" s="121">
        <f>IFERROR((VLOOKUP($A453,Pitchers!$A1:$S251,19,FALSE)-AVERAGE(Rankings!AR2:AR651))/STDEV(Rankings!AR2:AR651)*-1,0)</f>
        <v>0.47041511698728217</v>
      </c>
    </row>
    <row r="454" spans="1:37" ht="18.600000000000001" customHeight="1">
      <c r="A454" s="25" t="s">
        <v>285</v>
      </c>
      <c r="B454" s="26" t="s">
        <v>122</v>
      </c>
      <c r="C454" s="130" t="s">
        <v>31</v>
      </c>
      <c r="D454" s="67">
        <f>(V454*Settings!$G$2)+(Y454*Settings!$G$5)+(Z454*Settings!$G$6)+(AA454*Settings!$G$7)+(AB454*Settings!$G$8)+(AC454*Settings!$G$9)+(AD454*Settings!$G$10)+(AE454*Settings!$G$11)+(AF454*Settings!$G$12)+(AG454*Settings!$G$13)+(AH454*Settings!$G$14)+(AI454*Settings!$G$15)+(AJ454*Settings!$G$16)+(AK454*Settings!$G$17)+(W454*Settings!$G$3)+(X454*Settings!$G$4)</f>
        <v>0.85361277580161121</v>
      </c>
      <c r="E454" s="67"/>
      <c r="F454" s="67"/>
      <c r="G454" s="67"/>
      <c r="H454" s="67"/>
      <c r="I454" s="67"/>
      <c r="J454" s="67"/>
      <c r="K454" s="73"/>
      <c r="L454" s="73"/>
      <c r="M454" s="67"/>
      <c r="N454" s="67"/>
      <c r="O454" s="67"/>
      <c r="P454" s="67"/>
      <c r="Q454" s="67"/>
      <c r="R454" s="73"/>
      <c r="S454" s="73"/>
      <c r="T454" s="67"/>
      <c r="U454" s="67"/>
      <c r="V454" s="121">
        <f>(VLOOKUP($A454,Pitchers!$A1:$S251,4,FALSE)-AVERAGE(Rankings!AC2:AC651))/STDEV(Rankings!AC2:AC651)</f>
        <v>1.4635162823474162</v>
      </c>
      <c r="W454" s="121">
        <f>(VLOOKUP($A454,Pitchers!$A1:$S251,5,FALSE)-AVERAGE(Rankings!AD2:AD651))/STDEV(Rankings!AD2:AD651)*-1</f>
        <v>-0.59919929097262326</v>
      </c>
      <c r="X454" s="121">
        <f>(VLOOKUP($A454,Pitchers!$A1:$S251,6,FALSE)-AVERAGE(Rankings!AE2:AE651))/STDEV(Rankings!AE2:AE651)*-1</f>
        <v>-0.33432594241763502</v>
      </c>
      <c r="Y454" s="121">
        <f>(VLOOKUP($A454,Pitchers!$A1:$S251,7,FALSE)-AVERAGE(Rankings!AF2:AF651))/STDEV(Rankings!AF2:AF651)</f>
        <v>0.93156270808709984</v>
      </c>
      <c r="Z454" s="121">
        <f>(VLOOKUP($A454,Pitchers!$A1:$S251,8,FALSE)-AVERAGE(Rankings!AG2:AG651))/STDEV(Rankings!AG2:AG651)</f>
        <v>1.3197197632551434</v>
      </c>
      <c r="AA454" s="121">
        <f>(VLOOKUP($A454,Pitchers!$A1:$S251,9,FALSE)-AVERAGE(Rankings!AH2:AH651))/STDEV(Rankings!AH2:AH651)</f>
        <v>-0.46414446215037364</v>
      </c>
      <c r="AB454" s="121">
        <f>(VLOOKUP($A454,Pitchers!$A1:$S251,10,FALSE)-AVERAGE(Rankings!AI2:AI651))/STDEV(Rankings!AI2:AI651)*-1</f>
        <v>-1.5375363423599271</v>
      </c>
      <c r="AC454" s="121">
        <f>(VLOOKUP($A454,Pitchers!$A1:$S251,11,FALSE)-AVERAGE(Rankings!AJ2:AJ651))/STDEV(Rankings!AJ2:AJ651)*-1</f>
        <v>-1.5319800156002543</v>
      </c>
      <c r="AD454" s="121">
        <f>(VLOOKUP($A454,Pitchers!$A1:$S251,12,FALSE)-AVERAGE(Rankings!AK2:AK651))/STDEV(Rankings!AK2:AK651)*-1</f>
        <v>-1.3015929775062569</v>
      </c>
      <c r="AE454" s="121">
        <f>IFERROR((VLOOKUP($A454,Pitchers!$A1:$S251,13,FALSE)-AVERAGE(Rankings!AL2:AL651))/STDEV(Rankings!AL2:AL651)*-1,0)</f>
        <v>-1.429556144354029</v>
      </c>
      <c r="AF454" s="121">
        <f>(VLOOKUP($A454,Pitchers!$A1:$S251,14,FALSE)-AVERAGE(Rankings!AM2:AM651))/STDEV(Rankings!AM2:AM651)</f>
        <v>-0.609506510248502</v>
      </c>
      <c r="AG454" s="121">
        <f>(VLOOKUP($A454,Pitchers!$A1:$S251,15,FALSE)-AVERAGE(Rankings!AN2:AN651))/STDEV(Rankings!AN2:AN651)</f>
        <v>1.0929322338175724</v>
      </c>
      <c r="AH454" s="121">
        <f>(VLOOKUP($A454,Pitchers!$A1:$S251,16,FALSE)-AVERAGE(Rankings!AO2:AO651))/STDEV(Rankings!AO2:AO651)*-1</f>
        <v>-1.4451729554572226</v>
      </c>
      <c r="AI454" s="121">
        <f>IFERROR((VLOOKUP($A454,Pitchers!$A1:$S251,17,FALSE)-AVERAGE(Rankings!AP2:AP651))/STDEV(Rankings!AP2:AP651),0)</f>
        <v>1.3095246525767978</v>
      </c>
      <c r="AJ454" s="121">
        <f>(VLOOKUP($A454,Pitchers!$A1:$S251,18,FALSE)-AVERAGE(Rankings!AQ2:AQ651))/STDEV(Rankings!AQ2:AQ651)</f>
        <v>-0.68467156957913733</v>
      </c>
      <c r="AK454" s="121">
        <f>IFERROR((VLOOKUP($A454,Pitchers!$A1:$S251,19,FALSE)-AVERAGE(Rankings!AR2:AR651))/STDEV(Rankings!AR2:AR651)*-1,0)</f>
        <v>0.47041511698728217</v>
      </c>
    </row>
    <row r="455" spans="1:37" ht="18.600000000000001" customHeight="1">
      <c r="A455" s="25" t="s">
        <v>254</v>
      </c>
      <c r="B455" s="26" t="s">
        <v>99</v>
      </c>
      <c r="C455" s="130" t="s">
        <v>31</v>
      </c>
      <c r="D455" s="67">
        <f>(V455*Settings!$G$2)+(Y455*Settings!$G$5)+(Z455*Settings!$G$6)+(AA455*Settings!$G$7)+(AB455*Settings!$G$8)+(AC455*Settings!$G$9)+(AD455*Settings!$G$10)+(AE455*Settings!$G$11)+(AF455*Settings!$G$12)+(AG455*Settings!$G$13)+(AH455*Settings!$G$14)+(AI455*Settings!$G$15)+(AJ455*Settings!$G$16)+(AK455*Settings!$G$17)+(W455*Settings!$G$3)+(X455*Settings!$G$4)</f>
        <v>1.4293617282168147</v>
      </c>
      <c r="E455" s="67"/>
      <c r="F455" s="67"/>
      <c r="G455" s="67"/>
      <c r="H455" s="67"/>
      <c r="I455" s="67"/>
      <c r="J455" s="67"/>
      <c r="K455" s="73"/>
      <c r="L455" s="73"/>
      <c r="M455" s="67"/>
      <c r="N455" s="67"/>
      <c r="O455" s="67"/>
      <c r="P455" s="67"/>
      <c r="Q455" s="67"/>
      <c r="R455" s="73"/>
      <c r="S455" s="73"/>
      <c r="T455" s="67"/>
      <c r="U455" s="67"/>
      <c r="V455" s="121">
        <f>(VLOOKUP($A455,Pitchers!$A1:$S251,4,FALSE)-AVERAGE(Rankings!AC2:AC651))/STDEV(Rankings!AC2:AC651)</f>
        <v>0.316004105208813</v>
      </c>
      <c r="W455" s="121">
        <f>(VLOOKUP($A455,Pitchers!$A1:$S251,5,FALSE)-AVERAGE(Rankings!AD2:AD651))/STDEV(Rankings!AD2:AD651)*-1</f>
        <v>3.8543714880347767E-2</v>
      </c>
      <c r="X455" s="121">
        <f>(VLOOKUP($A455,Pitchers!$A1:$S251,6,FALSE)-AVERAGE(Rankings!AE2:AE651))/STDEV(Rankings!AE2:AE651)*-1</f>
        <v>0.71826908003330203</v>
      </c>
      <c r="Y455" s="121">
        <f>(VLOOKUP($A455,Pitchers!$A1:$S251,7,FALSE)-AVERAGE(Rankings!AF2:AF651))/STDEV(Rankings!AF2:AF651)</f>
        <v>0.70284158090884341</v>
      </c>
      <c r="Z455" s="121">
        <f>(VLOOKUP($A455,Pitchers!$A1:$S251,8,FALSE)-AVERAGE(Rankings!AG2:AG651))/STDEV(Rankings!AG2:AG651)</f>
        <v>0.43385181454469507</v>
      </c>
      <c r="AA455" s="121">
        <f>(VLOOKUP($A455,Pitchers!$A1:$S251,9,FALSE)-AVERAGE(Rankings!AH2:AH651))/STDEV(Rankings!AH2:AH651)</f>
        <v>-0.46414446215037364</v>
      </c>
      <c r="AB455" s="121">
        <f>(VLOOKUP($A455,Pitchers!$A1:$S251,10,FALSE)-AVERAGE(Rankings!AI2:AI651))/STDEV(Rankings!AI2:AI651)*-1</f>
        <v>-0.22478127005647142</v>
      </c>
      <c r="AC455" s="121">
        <f>(VLOOKUP($A455,Pitchers!$A1:$S251,11,FALSE)-AVERAGE(Rankings!AJ2:AJ651))/STDEV(Rankings!AJ2:AJ651)*-1</f>
        <v>6.4729731620686418E-2</v>
      </c>
      <c r="AD455" s="121">
        <f>(VLOOKUP($A455,Pitchers!$A1:$S251,12,FALSE)-AVERAGE(Rankings!AK2:AK651))/STDEV(Rankings!AK2:AK651)*-1</f>
        <v>-0.85738861548110445</v>
      </c>
      <c r="AE455" s="121">
        <f>IFERROR((VLOOKUP($A455,Pitchers!$A1:$S251,13,FALSE)-AVERAGE(Rankings!AL2:AL651))/STDEV(Rankings!AL2:AL651)*-1,0)</f>
        <v>-0.63151587024496925</v>
      </c>
      <c r="AF455" s="121">
        <f>(VLOOKUP($A455,Pitchers!$A1:$S251,14,FALSE)-AVERAGE(Rankings!AM2:AM651))/STDEV(Rankings!AM2:AM651)</f>
        <v>-0.94743665709266556</v>
      </c>
      <c r="AG455" s="121">
        <f>(VLOOKUP($A455,Pitchers!$A1:$S251,15,FALSE)-AVERAGE(Rankings!AN2:AN651))/STDEV(Rankings!AN2:AN651)</f>
        <v>0.69036342764782543</v>
      </c>
      <c r="AH455" s="121">
        <f>(VLOOKUP($A455,Pitchers!$A1:$S251,16,FALSE)-AVERAGE(Rankings!AO2:AO651))/STDEV(Rankings!AO2:AO651)*-1</f>
        <v>-0.1174415964357145</v>
      </c>
      <c r="AI455" s="121">
        <f>IFERROR((VLOOKUP($A455,Pitchers!$A1:$S251,17,FALSE)-AVERAGE(Rankings!AP2:AP651))/STDEV(Rankings!AP2:AP651),0)</f>
        <v>0.44988046051325437</v>
      </c>
      <c r="AJ455" s="121">
        <f>(VLOOKUP($A455,Pitchers!$A1:$S251,18,FALSE)-AVERAGE(Rankings!AQ2:AQ651))/STDEV(Rankings!AQ2:AQ651)</f>
        <v>-0.68467156957913733</v>
      </c>
      <c r="AK455" s="121">
        <f>IFERROR((VLOOKUP($A455,Pitchers!$A1:$S251,19,FALSE)-AVERAGE(Rankings!AR2:AR651))/STDEV(Rankings!AR2:AR651)*-1,0)</f>
        <v>0.47041511698728217</v>
      </c>
    </row>
    <row r="456" spans="1:37" ht="18.600000000000001" customHeight="1">
      <c r="A456" s="25" t="s">
        <v>351</v>
      </c>
      <c r="B456" s="26" t="s">
        <v>79</v>
      </c>
      <c r="C456" s="130" t="s">
        <v>31</v>
      </c>
      <c r="D456" s="67">
        <f>(V456*Settings!$G$2)+(Y456*Settings!$G$5)+(Z456*Settings!$G$6)+(AA456*Settings!$G$7)+(AB456*Settings!$G$8)+(AC456*Settings!$G$9)+(AD456*Settings!$G$10)+(AE456*Settings!$G$11)+(AF456*Settings!$G$12)+(AG456*Settings!$G$13)+(AH456*Settings!$G$14)+(AI456*Settings!$G$15)+(AJ456*Settings!$G$16)+(AK456*Settings!$G$17)+(W456*Settings!$G$3)+(X456*Settings!$G$4)</f>
        <v>1.1538590550364523</v>
      </c>
      <c r="E456" s="67"/>
      <c r="F456" s="67"/>
      <c r="G456" s="67"/>
      <c r="H456" s="67"/>
      <c r="I456" s="67"/>
      <c r="J456" s="67"/>
      <c r="K456" s="73"/>
      <c r="L456" s="73"/>
      <c r="M456" s="67"/>
      <c r="N456" s="67"/>
      <c r="O456" s="67"/>
      <c r="P456" s="67"/>
      <c r="Q456" s="67"/>
      <c r="R456" s="73"/>
      <c r="S456" s="73"/>
      <c r="T456" s="67"/>
      <c r="U456" s="67"/>
      <c r="V456" s="121">
        <f>(VLOOKUP($A456,Pitchers!$A1:$S251,4,FALSE)-AVERAGE(Rankings!AC2:AC651))/STDEV(Rankings!AC2:AC651)</f>
        <v>0.7729623676302434</v>
      </c>
      <c r="W456" s="121">
        <f>(VLOOKUP($A456,Pitchers!$A1:$S251,5,FALSE)-AVERAGE(Rankings!AD2:AD651))/STDEV(Rankings!AD2:AD651)*-1</f>
        <v>-0.36963340430171981</v>
      </c>
      <c r="X456" s="121">
        <f>(VLOOKUP($A456,Pitchers!$A1:$S251,6,FALSE)-AVERAGE(Rankings!AE2:AE651))/STDEV(Rankings!AE2:AE651)*-1</f>
        <v>-1.4101703000732504E-2</v>
      </c>
      <c r="Y456" s="121">
        <f>(VLOOKUP($A456,Pitchers!$A1:$S251,7,FALSE)-AVERAGE(Rankings!AF2:AF651))/STDEV(Rankings!AF2:AF651)</f>
        <v>0.79476569107000994</v>
      </c>
      <c r="Z456" s="121">
        <f>(VLOOKUP($A456,Pitchers!$A1:$S251,8,FALSE)-AVERAGE(Rankings!AG2:AG651))/STDEV(Rankings!AG2:AG651)</f>
        <v>1.2069729334192683</v>
      </c>
      <c r="AA456" s="121">
        <f>(VLOOKUP($A456,Pitchers!$A1:$S251,9,FALSE)-AVERAGE(Rankings!AH2:AH651))/STDEV(Rankings!AH2:AH651)</f>
        <v>-0.46414446215037364</v>
      </c>
      <c r="AB456" s="121">
        <f>(VLOOKUP($A456,Pitchers!$A1:$S251,10,FALSE)-AVERAGE(Rankings!AI2:AI651))/STDEV(Rankings!AI2:AI651)*-1</f>
        <v>-0.78610344579089364</v>
      </c>
      <c r="AC456" s="121">
        <f>(VLOOKUP($A456,Pitchers!$A1:$S251,11,FALSE)-AVERAGE(Rankings!AJ2:AJ651))/STDEV(Rankings!AJ2:AJ651)*-1</f>
        <v>-0.71400395364459368</v>
      </c>
      <c r="AD456" s="121">
        <f>(VLOOKUP($A456,Pitchers!$A1:$S251,12,FALSE)-AVERAGE(Rankings!AK2:AK651))/STDEV(Rankings!AK2:AK651)*-1</f>
        <v>-0.78270370626149055</v>
      </c>
      <c r="AE456" s="121">
        <f>IFERROR((VLOOKUP($A456,Pitchers!$A1:$S251,13,FALSE)-AVERAGE(Rankings!AL2:AL651))/STDEV(Rankings!AL2:AL651)*-1,0)</f>
        <v>-1.0305360072994991</v>
      </c>
      <c r="AF456" s="121">
        <f>(VLOOKUP($A456,Pitchers!$A1:$S251,14,FALSE)-AVERAGE(Rankings!AM2:AM651))/STDEV(Rankings!AM2:AM651)</f>
        <v>-0.76909674733877775</v>
      </c>
      <c r="AG456" s="121">
        <f>(VLOOKUP($A456,Pitchers!$A1:$S251,15,FALSE)-AVERAGE(Rankings!AN2:AN651))/STDEV(Rankings!AN2:AN651)</f>
        <v>0.90281586858127916</v>
      </c>
      <c r="AH456" s="121">
        <f>(VLOOKUP($A456,Pitchers!$A1:$S251,16,FALSE)-AVERAGE(Rankings!AO2:AO651))/STDEV(Rankings!AO2:AO651)*-1</f>
        <v>-0.66231248433605039</v>
      </c>
      <c r="AI456" s="121">
        <f>IFERROR((VLOOKUP($A456,Pitchers!$A1:$S251,17,FALSE)-AVERAGE(Rankings!AP2:AP651))/STDEV(Rankings!AP2:AP651),0)</f>
        <v>0.73642852453443552</v>
      </c>
      <c r="AJ456" s="121">
        <f>(VLOOKUP($A456,Pitchers!$A1:$S251,18,FALSE)-AVERAGE(Rankings!AQ2:AQ651))/STDEV(Rankings!AQ2:AQ651)</f>
        <v>-0.68467156957913733</v>
      </c>
      <c r="AK456" s="121">
        <f>IFERROR((VLOOKUP($A456,Pitchers!$A1:$S251,19,FALSE)-AVERAGE(Rankings!AR2:AR651))/STDEV(Rankings!AR2:AR651)*-1,0)</f>
        <v>0.47041511698728217</v>
      </c>
    </row>
    <row r="457" spans="1:37" ht="18.600000000000001" customHeight="1">
      <c r="A457" s="25" t="s">
        <v>299</v>
      </c>
      <c r="B457" s="26" t="s">
        <v>97</v>
      </c>
      <c r="C457" s="130" t="s">
        <v>31</v>
      </c>
      <c r="D457" s="67">
        <f>(V457*Settings!$G$2)+(Y457*Settings!$G$5)+(Z457*Settings!$G$6)+(AA457*Settings!$G$7)+(AB457*Settings!$G$8)+(AC457*Settings!$G$9)+(AD457*Settings!$G$10)+(AE457*Settings!$G$11)+(AF457*Settings!$G$12)+(AG457*Settings!$G$13)+(AH457*Settings!$G$14)+(AI457*Settings!$G$15)+(AJ457*Settings!$G$16)+(AK457*Settings!$G$17)+(W457*Settings!$G$3)+(X457*Settings!$G$4)</f>
        <v>0.62152577566259282</v>
      </c>
      <c r="E457" s="67"/>
      <c r="F457" s="67"/>
      <c r="G457" s="67"/>
      <c r="H457" s="67"/>
      <c r="I457" s="67"/>
      <c r="J457" s="67"/>
      <c r="K457" s="73"/>
      <c r="L457" s="73"/>
      <c r="M457" s="67"/>
      <c r="N457" s="67"/>
      <c r="O457" s="67"/>
      <c r="P457" s="67"/>
      <c r="Q457" s="67"/>
      <c r="R457" s="73"/>
      <c r="S457" s="73"/>
      <c r="T457" s="67"/>
      <c r="U457" s="67"/>
      <c r="V457" s="121">
        <f>(VLOOKUP($A457,Pitchers!$A1:$S251,4,FALSE)-AVERAGE(Rankings!AC2:AC651))/STDEV(Rankings!AC2:AC651)</f>
        <v>0.64275572760436905</v>
      </c>
      <c r="W457" s="121">
        <f>(VLOOKUP($A457,Pitchers!$A1:$S251,5,FALSE)-AVERAGE(Rankings!AD2:AD651))/STDEV(Rankings!AD2:AD651)*-1</f>
        <v>-0.15445196187679081</v>
      </c>
      <c r="X457" s="121">
        <f>(VLOOKUP($A457,Pitchers!$A1:$S251,6,FALSE)-AVERAGE(Rankings!AE2:AE651))/STDEV(Rankings!AE2:AE651)*-1</f>
        <v>-0.47840161609298615</v>
      </c>
      <c r="Y457" s="121">
        <f>(VLOOKUP($A457,Pitchers!$A1:$S251,7,FALSE)-AVERAGE(Rankings!AF2:AF651))/STDEV(Rankings!AF2:AF651)</f>
        <v>0.93737149861861135</v>
      </c>
      <c r="Z457" s="121">
        <f>(VLOOKUP($A457,Pitchers!$A1:$S251,8,FALSE)-AVERAGE(Rankings!AG2:AG651))/STDEV(Rankings!AG2:AG651)</f>
        <v>0.78115231716413203</v>
      </c>
      <c r="AA457" s="121">
        <f>(VLOOKUP($A457,Pitchers!$A1:$S251,9,FALSE)-AVERAGE(Rankings!AH2:AH651))/STDEV(Rankings!AH2:AH651)</f>
        <v>-0.46414446215037364</v>
      </c>
      <c r="AB457" s="121">
        <f>(VLOOKUP($A457,Pitchers!$A1:$S251,10,FALSE)-AVERAGE(Rankings!AI2:AI651))/STDEV(Rankings!AI2:AI651)*-1</f>
        <v>-0.58442990860220179</v>
      </c>
      <c r="AC457" s="121">
        <f>(VLOOKUP($A457,Pitchers!$A1:$S251,11,FALSE)-AVERAGE(Rankings!AJ2:AJ651))/STDEV(Rankings!AJ2:AJ651)*-1</f>
        <v>-0.50293399640955461</v>
      </c>
      <c r="AD457" s="121">
        <f>(VLOOKUP($A457,Pitchers!$A1:$S251,12,FALSE)-AVERAGE(Rankings!AK2:AK651))/STDEV(Rankings!AK2:AK651)*-1</f>
        <v>-1.4394915843986813</v>
      </c>
      <c r="AE457" s="121">
        <f>IFERROR((VLOOKUP($A457,Pitchers!$A1:$S251,13,FALSE)-AVERAGE(Rankings!AL2:AL651))/STDEV(Rankings!AL2:AL651)*-1,0)</f>
        <v>-0.36550244554194927</v>
      </c>
      <c r="AF457" s="121">
        <f>(VLOOKUP($A457,Pitchers!$A1:$S251,14,FALSE)-AVERAGE(Rankings!AM2:AM651))/STDEV(Rankings!AM2:AM651)</f>
        <v>-0.72832711026790142</v>
      </c>
      <c r="AG457" s="121">
        <f>(VLOOKUP($A457,Pitchers!$A1:$S251,15,FALSE)-AVERAGE(Rankings!AN2:AN651))/STDEV(Rankings!AN2:AN651)</f>
        <v>0.75659248930800971</v>
      </c>
      <c r="AH457" s="121">
        <f>(VLOOKUP($A457,Pitchers!$A1:$S251,16,FALSE)-AVERAGE(Rankings!AO2:AO651))/STDEV(Rankings!AO2:AO651)*-1</f>
        <v>-0.7374670895636829</v>
      </c>
      <c r="AI457" s="121">
        <f>IFERROR((VLOOKUP($A457,Pitchers!$A1:$S251,17,FALSE)-AVERAGE(Rankings!AP2:AP651))/STDEV(Rankings!AP2:AP651),0)</f>
        <v>0.73642852453443552</v>
      </c>
      <c r="AJ457" s="121">
        <f>(VLOOKUP($A457,Pitchers!$A1:$S251,18,FALSE)-AVERAGE(Rankings!AQ2:AQ651))/STDEV(Rankings!AQ2:AQ651)</f>
        <v>-0.68467156957913733</v>
      </c>
      <c r="AK457" s="121">
        <f>IFERROR((VLOOKUP($A457,Pitchers!$A1:$S251,19,FALSE)-AVERAGE(Rankings!AR2:AR651))/STDEV(Rankings!AR2:AR651)*-1,0)</f>
        <v>0.47041511698728217</v>
      </c>
    </row>
    <row r="458" spans="1:37" ht="18.600000000000001" customHeight="1">
      <c r="A458" s="25" t="s">
        <v>263</v>
      </c>
      <c r="B458" s="26" t="s">
        <v>125</v>
      </c>
      <c r="C458" s="130" t="s">
        <v>31</v>
      </c>
      <c r="D458" s="67">
        <f>(V458*Settings!$G$2)+(Y458*Settings!$G$5)+(Z458*Settings!$G$6)+(AA458*Settings!$G$7)+(AB458*Settings!$G$8)+(AC458*Settings!$G$9)+(AD458*Settings!$G$10)+(AE458*Settings!$G$11)+(AF458*Settings!$G$12)+(AG458*Settings!$G$13)+(AH458*Settings!$G$14)+(AI458*Settings!$G$15)+(AJ458*Settings!$G$16)+(AK458*Settings!$G$17)+(W458*Settings!$G$3)+(X458*Settings!$G$4)</f>
        <v>1.3087232565559135</v>
      </c>
      <c r="E458" s="67"/>
      <c r="F458" s="67"/>
      <c r="G458" s="67"/>
      <c r="H458" s="67"/>
      <c r="I458" s="67"/>
      <c r="J458" s="67"/>
      <c r="K458" s="73"/>
      <c r="L458" s="73"/>
      <c r="M458" s="67"/>
      <c r="N458" s="67"/>
      <c r="O458" s="67"/>
      <c r="P458" s="67"/>
      <c r="Q458" s="67"/>
      <c r="R458" s="73"/>
      <c r="S458" s="73"/>
      <c r="T458" s="67"/>
      <c r="U458" s="67"/>
      <c r="V458" s="121">
        <f>(VLOOKUP($A458,Pitchers!$A1:$S251,4,FALSE)-AVERAGE(Rankings!AC2:AC651))/STDEV(Rankings!AC2:AC651)</f>
        <v>1.5651409770017577</v>
      </c>
      <c r="W458" s="121">
        <f>(VLOOKUP($A458,Pitchers!$A1:$S251,5,FALSE)-AVERAGE(Rankings!AD2:AD651))/STDEV(Rankings!AD2:AD651)*-1</f>
        <v>-0.4168279127357209</v>
      </c>
      <c r="X458" s="121">
        <f>(VLOOKUP($A458,Pitchers!$A1:$S251,6,FALSE)-AVERAGE(Rankings!AE2:AE651))/STDEV(Rankings!AE2:AE651)*-1</f>
        <v>0.23703717804575325</v>
      </c>
      <c r="Y458" s="121">
        <f>(VLOOKUP($A458,Pitchers!$A1:$S251,7,FALSE)-AVERAGE(Rankings!AF2:AF651))/STDEV(Rankings!AF2:AF651)</f>
        <v>0.61280532767041884</v>
      </c>
      <c r="Z458" s="121">
        <f>(VLOOKUP($A458,Pitchers!$A1:$S251,8,FALSE)-AVERAGE(Rankings!AG2:AG651))/STDEV(Rankings!AG2:AG651)</f>
        <v>1.3398531257258359</v>
      </c>
      <c r="AA458" s="121">
        <f>(VLOOKUP($A458,Pitchers!$A1:$S251,9,FALSE)-AVERAGE(Rankings!AH2:AH651))/STDEV(Rankings!AH2:AH651)</f>
        <v>-0.46414446215037364</v>
      </c>
      <c r="AB458" s="121">
        <f>(VLOOKUP($A458,Pitchers!$A1:$S251,10,FALSE)-AVERAGE(Rankings!AI2:AI651))/STDEV(Rankings!AI2:AI651)*-1</f>
        <v>-1.5458255301877868</v>
      </c>
      <c r="AC458" s="121">
        <f>(VLOOKUP($A458,Pitchers!$A1:$S251,11,FALSE)-AVERAGE(Rankings!AJ2:AJ651))/STDEV(Rankings!AJ2:AJ651)*-1</f>
        <v>-1.7168172971129187</v>
      </c>
      <c r="AD458" s="121">
        <f>(VLOOKUP($A458,Pitchers!$A1:$S251,12,FALSE)-AVERAGE(Rankings!AK2:AK651))/STDEV(Rankings!AK2:AK651)*-1</f>
        <v>-0.33508238760537534</v>
      </c>
      <c r="AE458" s="121">
        <f>IFERROR((VLOOKUP($A458,Pitchers!$A1:$S251,13,FALSE)-AVERAGE(Rankings!AL2:AL651))/STDEV(Rankings!AL2:AL651)*-1,0)</f>
        <v>-1.296549432002519</v>
      </c>
      <c r="AF458" s="121">
        <f>(VLOOKUP($A458,Pitchers!$A1:$S251,14,FALSE)-AVERAGE(Rankings!AM2:AM651))/STDEV(Rankings!AM2:AM651)</f>
        <v>-0.56590262033312599</v>
      </c>
      <c r="AG458" s="121">
        <f>(VLOOKUP($A458,Pitchers!$A1:$S251,15,FALSE)-AVERAGE(Rankings!AN2:AN651))/STDEV(Rankings!AN2:AN651)</f>
        <v>1.1448765959039913</v>
      </c>
      <c r="AH458" s="121">
        <f>(VLOOKUP($A458,Pitchers!$A1:$S251,16,FALSE)-AVERAGE(Rankings!AO2:AO651))/STDEV(Rankings!AO2:AO651)*-1</f>
        <v>-1.7332656088298137</v>
      </c>
      <c r="AI458" s="121">
        <f>IFERROR((VLOOKUP($A458,Pitchers!$A1:$S251,17,FALSE)-AVERAGE(Rankings!AP2:AP651))/STDEV(Rankings!AP2:AP651),0)</f>
        <v>1.3095246525767978</v>
      </c>
      <c r="AJ458" s="121">
        <f>(VLOOKUP($A458,Pitchers!$A1:$S251,18,FALSE)-AVERAGE(Rankings!AQ2:AQ651))/STDEV(Rankings!AQ2:AQ651)</f>
        <v>-0.68467156957913733</v>
      </c>
      <c r="AK458" s="121">
        <f>IFERROR((VLOOKUP($A458,Pitchers!$A1:$S251,19,FALSE)-AVERAGE(Rankings!AR2:AR651))/STDEV(Rankings!AR2:AR651)*-1,0)</f>
        <v>0.47041511698728217</v>
      </c>
    </row>
    <row r="459" spans="1:37" ht="18.600000000000001" customHeight="1">
      <c r="A459" s="25" t="s">
        <v>316</v>
      </c>
      <c r="B459" s="26" t="s">
        <v>85</v>
      </c>
      <c r="C459" s="130" t="s">
        <v>31</v>
      </c>
      <c r="D459" s="67">
        <f>(V459*Settings!$G$2)+(Y459*Settings!$G$5)+(Z459*Settings!$G$6)+(AA459*Settings!$G$7)+(AB459*Settings!$G$8)+(AC459*Settings!$G$9)+(AD459*Settings!$G$10)+(AE459*Settings!$G$11)+(AF459*Settings!$G$12)+(AG459*Settings!$G$13)+(AH459*Settings!$G$14)+(AI459*Settings!$G$15)+(AJ459*Settings!$G$16)+(AK459*Settings!$G$17)+(W459*Settings!$G$3)+(X459*Settings!$G$4)</f>
        <v>0.36592097805248114</v>
      </c>
      <c r="E459" s="67"/>
      <c r="F459" s="67"/>
      <c r="G459" s="67"/>
      <c r="H459" s="67"/>
      <c r="I459" s="67"/>
      <c r="J459" s="67"/>
      <c r="K459" s="73"/>
      <c r="L459" s="73"/>
      <c r="M459" s="67"/>
      <c r="N459" s="67"/>
      <c r="O459" s="67"/>
      <c r="P459" s="67"/>
      <c r="Q459" s="67"/>
      <c r="R459" s="73"/>
      <c r="S459" s="73"/>
      <c r="T459" s="67"/>
      <c r="U459" s="67"/>
      <c r="V459" s="121">
        <f>(VLOOKUP($A459,Pitchers!$A1:$S251,4,FALSE)-AVERAGE(Rankings!AC2:AC651))/STDEV(Rankings!AC2:AC651)</f>
        <v>0.93845535996665386</v>
      </c>
      <c r="W459" s="121">
        <f>(VLOOKUP($A459,Pitchers!$A1:$S251,5,FALSE)-AVERAGE(Rankings!AD2:AD651))/STDEV(Rankings!AD2:AD651)*-1</f>
        <v>0.25971077232098888</v>
      </c>
      <c r="X459" s="121">
        <f>(VLOOKUP($A459,Pitchers!$A1:$S251,6,FALSE)-AVERAGE(Rankings!AE2:AE651))/STDEV(Rankings!AE2:AE651)*-1</f>
        <v>-0.99857177590616619</v>
      </c>
      <c r="Y459" s="121">
        <f>(VLOOKUP($A459,Pitchers!$A1:$S251,7,FALSE)-AVERAGE(Rankings!AF2:AF651))/STDEV(Rankings!AF2:AF651)</f>
        <v>0.93374100453641706</v>
      </c>
      <c r="Z459" s="121">
        <f>(VLOOKUP($A459,Pitchers!$A1:$S251,8,FALSE)-AVERAGE(Rankings!AG2:AG651))/STDEV(Rankings!AG2:AG651)</f>
        <v>0.63518543925161508</v>
      </c>
      <c r="AA459" s="121">
        <f>(VLOOKUP($A459,Pitchers!$A1:$S251,9,FALSE)-AVERAGE(Rankings!AH2:AH651))/STDEV(Rankings!AH2:AH651)</f>
        <v>-0.46414446215037364</v>
      </c>
      <c r="AB459" s="121">
        <f>(VLOOKUP($A459,Pitchers!$A1:$S251,10,FALSE)-AVERAGE(Rankings!AI2:AI651))/STDEV(Rankings!AI2:AI651)*-1</f>
        <v>-0.6812872663733901</v>
      </c>
      <c r="AC459" s="121">
        <f>(VLOOKUP($A459,Pitchers!$A1:$S251,11,FALSE)-AVERAGE(Rankings!AJ2:AJ651))/STDEV(Rankings!AJ2:AJ651)*-1</f>
        <v>-0.97178087009264003</v>
      </c>
      <c r="AD459" s="121">
        <f>(VLOOKUP($A459,Pitchers!$A1:$S251,12,FALSE)-AVERAGE(Rankings!AK2:AK651))/STDEV(Rankings!AK2:AK651)*-1</f>
        <v>-1.7116277732217826</v>
      </c>
      <c r="AE459" s="121">
        <f>IFERROR((VLOOKUP($A459,Pitchers!$A1:$S251,13,FALSE)-AVERAGE(Rankings!AL2:AL651))/STDEV(Rankings!AL2:AL651)*-1,0)</f>
        <v>-0.49850915789345923</v>
      </c>
      <c r="AF459" s="121">
        <f>(VLOOKUP($A459,Pitchers!$A1:$S251,14,FALSE)-AVERAGE(Rankings!AM2:AM651))/STDEV(Rankings!AM2:AM651)</f>
        <v>-0.71851623503694195</v>
      </c>
      <c r="AG459" s="121">
        <f>(VLOOKUP($A459,Pitchers!$A1:$S251,15,FALSE)-AVERAGE(Rankings!AN2:AN651))/STDEV(Rankings!AN2:AN651)</f>
        <v>0.96307132860152489</v>
      </c>
      <c r="AH459" s="121">
        <f>(VLOOKUP($A459,Pitchers!$A1:$S251,16,FALSE)-AVERAGE(Rankings!AO2:AO651))/STDEV(Rankings!AO2:AO651)*-1</f>
        <v>-0.96919378901554976</v>
      </c>
      <c r="AI459" s="121">
        <f>IFERROR((VLOOKUP($A459,Pitchers!$A1:$S251,17,FALSE)-AVERAGE(Rankings!AP2:AP651))/STDEV(Rankings!AP2:AP651),0)</f>
        <v>1.0229765885556166</v>
      </c>
      <c r="AJ459" s="121">
        <f>(VLOOKUP($A459,Pitchers!$A1:$S251,18,FALSE)-AVERAGE(Rankings!AQ2:AQ651))/STDEV(Rankings!AQ2:AQ651)</f>
        <v>-0.68467156957913733</v>
      </c>
      <c r="AK459" s="121">
        <f>IFERROR((VLOOKUP($A459,Pitchers!$A1:$S251,19,FALSE)-AVERAGE(Rankings!AR2:AR651))/STDEV(Rankings!AR2:AR651)*-1,0)</f>
        <v>0.47041511698728217</v>
      </c>
    </row>
    <row r="460" spans="1:37" ht="18.600000000000001" customHeight="1">
      <c r="A460" s="25" t="s">
        <v>339</v>
      </c>
      <c r="B460" s="26" t="s">
        <v>95</v>
      </c>
      <c r="C460" s="130" t="s">
        <v>31</v>
      </c>
      <c r="D460" s="67">
        <f>(V460*Settings!$G$2)+(Y460*Settings!$G$5)+(Z460*Settings!$G$6)+(AA460*Settings!$G$7)+(AB460*Settings!$G$8)+(AC460*Settings!$G$9)+(AD460*Settings!$G$10)+(AE460*Settings!$G$11)+(AF460*Settings!$G$12)+(AG460*Settings!$G$13)+(AH460*Settings!$G$14)+(AI460*Settings!$G$15)+(AJ460*Settings!$G$16)+(AK460*Settings!$G$17)+(W460*Settings!$G$3)+(X460*Settings!$G$4)</f>
        <v>0.12586747129607545</v>
      </c>
      <c r="E460" s="67"/>
      <c r="F460" s="67"/>
      <c r="G460" s="67"/>
      <c r="H460" s="67"/>
      <c r="I460" s="67"/>
      <c r="J460" s="67"/>
      <c r="K460" s="73"/>
      <c r="L460" s="73"/>
      <c r="M460" s="67"/>
      <c r="N460" s="67"/>
      <c r="O460" s="67"/>
      <c r="P460" s="67"/>
      <c r="Q460" s="67"/>
      <c r="R460" s="73"/>
      <c r="S460" s="73"/>
      <c r="T460" s="67"/>
      <c r="U460" s="67"/>
      <c r="V460" s="121">
        <f>(VLOOKUP($A460,Pitchers!$A1:$S251,4,FALSE)-AVERAGE(Rankings!AC2:AC651))/STDEV(Rankings!AC2:AC651)</f>
        <v>1.2659127094084197</v>
      </c>
      <c r="W460" s="121">
        <f>(VLOOKUP($A460,Pitchers!$A1:$S251,5,FALSE)-AVERAGE(Rankings!AD2:AD651))/STDEV(Rankings!AD2:AD651)*-1</f>
        <v>-1.1116661389652269</v>
      </c>
      <c r="X460" s="121">
        <f>(VLOOKUP($A460,Pitchers!$A1:$S251,6,FALSE)-AVERAGE(Rankings!AE2:AE651))/STDEV(Rankings!AE2:AE651)*-1</f>
        <v>-0.64868512800350331</v>
      </c>
      <c r="Y460" s="121">
        <f>(VLOOKUP($A460,Pitchers!$A1:$S251,7,FALSE)-AVERAGE(Rankings!AF2:AF651))/STDEV(Rankings!AF2:AF651)</f>
        <v>0.99037671221865187</v>
      </c>
      <c r="Z460" s="121">
        <f>(VLOOKUP($A460,Pitchers!$A1:$S251,8,FALSE)-AVERAGE(Rankings!AG2:AG651))/STDEV(Rankings!AG2:AG651)</f>
        <v>1.3599864881965273</v>
      </c>
      <c r="AA460" s="121">
        <f>(VLOOKUP($A460,Pitchers!$A1:$S251,9,FALSE)-AVERAGE(Rankings!AH2:AH651))/STDEV(Rankings!AH2:AH651)</f>
        <v>-0.46414446215037364</v>
      </c>
      <c r="AB460" s="121">
        <f>(VLOOKUP($A460,Pitchers!$A1:$S251,10,FALSE)-AVERAGE(Rankings!AI2:AI651))/STDEV(Rankings!AI2:AI651)*-1</f>
        <v>-1.5795829472838534</v>
      </c>
      <c r="AC460" s="121">
        <f>(VLOOKUP($A460,Pitchers!$A1:$S251,11,FALSE)-AVERAGE(Rankings!AJ2:AJ651))/STDEV(Rankings!AJ2:AJ651)*-1</f>
        <v>-1.5618383456907619</v>
      </c>
      <c r="AD460" s="121">
        <f>(VLOOKUP($A460,Pitchers!$A1:$S251,12,FALSE)-AVERAGE(Rankings!AK2:AK651))/STDEV(Rankings!AK2:AK651)*-1</f>
        <v>-0.73779513339740943</v>
      </c>
      <c r="AE460" s="121">
        <f>IFERROR((VLOOKUP($A460,Pitchers!$A1:$S251,13,FALSE)-AVERAGE(Rankings!AL2:AL651))/STDEV(Rankings!AL2:AL651)*-1,0)</f>
        <v>-1.562562856705539</v>
      </c>
      <c r="AF460" s="121">
        <f>(VLOOKUP($A460,Pitchers!$A1:$S251,14,FALSE)-AVERAGE(Rankings!AM2:AM651))/STDEV(Rankings!AM2:AM651)</f>
        <v>-0.56590262033312599</v>
      </c>
      <c r="AG460" s="121">
        <f>(VLOOKUP($A460,Pitchers!$A1:$S251,15,FALSE)-AVERAGE(Rankings!AN2:AN651))/STDEV(Rankings!AN2:AN651)</f>
        <v>1.1448765959039913</v>
      </c>
      <c r="AH460" s="121">
        <f>(VLOOKUP($A460,Pitchers!$A1:$S251,16,FALSE)-AVERAGE(Rankings!AO2:AO651))/STDEV(Rankings!AO2:AO651)*-1</f>
        <v>-0.90656495132585613</v>
      </c>
      <c r="AI460" s="121">
        <f>IFERROR((VLOOKUP($A460,Pitchers!$A1:$S251,17,FALSE)-AVERAGE(Rankings!AP2:AP651))/STDEV(Rankings!AP2:AP651),0)</f>
        <v>0.87970255654502605</v>
      </c>
      <c r="AJ460" s="121">
        <f>(VLOOKUP($A460,Pitchers!$A1:$S251,18,FALSE)-AVERAGE(Rankings!AQ2:AQ651))/STDEV(Rankings!AQ2:AQ651)</f>
        <v>-0.68467156957913733</v>
      </c>
      <c r="AK460" s="121">
        <f>IFERROR((VLOOKUP($A460,Pitchers!$A1:$S251,19,FALSE)-AVERAGE(Rankings!AR2:AR651))/STDEV(Rankings!AR2:AR651)*-1,0)</f>
        <v>0.47041511698728217</v>
      </c>
    </row>
    <row r="461" spans="1:37" ht="18.600000000000001" customHeight="1">
      <c r="A461" s="25" t="s">
        <v>255</v>
      </c>
      <c r="B461" s="26" t="s">
        <v>82</v>
      </c>
      <c r="C461" s="130" t="s">
        <v>31</v>
      </c>
      <c r="D461" s="67">
        <f>(V461*Settings!$G$2)+(Y461*Settings!$G$5)+(Z461*Settings!$G$6)+(AA461*Settings!$G$7)+(AB461*Settings!$G$8)+(AC461*Settings!$G$9)+(AD461*Settings!$G$10)+(AE461*Settings!$G$11)+(AF461*Settings!$G$12)+(AG461*Settings!$G$13)+(AH461*Settings!$G$14)+(AI461*Settings!$G$15)+(AJ461*Settings!$G$16)+(AK461*Settings!$G$17)+(W461*Settings!$G$3)+(X461*Settings!$G$4)</f>
        <v>1.4149465038094913</v>
      </c>
      <c r="E461" s="67"/>
      <c r="F461" s="67"/>
      <c r="G461" s="67"/>
      <c r="H461" s="67"/>
      <c r="I461" s="67"/>
      <c r="J461" s="67"/>
      <c r="K461" s="73"/>
      <c r="L461" s="73"/>
      <c r="M461" s="67"/>
      <c r="N461" s="67"/>
      <c r="O461" s="67"/>
      <c r="P461" s="67"/>
      <c r="Q461" s="67"/>
      <c r="R461" s="73"/>
      <c r="S461" s="73"/>
      <c r="T461" s="67"/>
      <c r="U461" s="67"/>
      <c r="V461" s="121">
        <f>(VLOOKUP($A461,Pitchers!$A1:$S251,4,FALSE)-AVERAGE(Rankings!AC2:AC651))/STDEV(Rankings!AC2:AC651)</f>
        <v>0.24684285468016409</v>
      </c>
      <c r="W461" s="121">
        <f>(VLOOKUP($A461,Pitchers!$A1:$S251,5,FALSE)-AVERAGE(Rankings!AD2:AD651))/STDEV(Rankings!AD2:AD651)*-1</f>
        <v>0.42133361072991199</v>
      </c>
      <c r="X461" s="121">
        <f>(VLOOKUP($A461,Pitchers!$A1:$S251,6,FALSE)-AVERAGE(Rankings!AE2:AE651))/STDEV(Rankings!AE2:AE651)*-1</f>
        <v>0.39199875294980463</v>
      </c>
      <c r="Y461" s="121">
        <f>(VLOOKUP($A461,Pitchers!$A1:$S251,7,FALSE)-AVERAGE(Rankings!AF2:AF651))/STDEV(Rankings!AF2:AF651)</f>
        <v>0.42873927770315562</v>
      </c>
      <c r="Z461" s="121">
        <f>(VLOOKUP($A461,Pitchers!$A1:$S251,8,FALSE)-AVERAGE(Rankings!AG2:AG651))/STDEV(Rankings!AG2:AG651)</f>
        <v>0.56975201122186603</v>
      </c>
      <c r="AA461" s="121">
        <f>(VLOOKUP($A461,Pitchers!$A1:$S251,9,FALSE)-AVERAGE(Rankings!AH2:AH651))/STDEV(Rankings!AH2:AH651)</f>
        <v>-0.39687714879524705</v>
      </c>
      <c r="AB461" s="121">
        <f>(VLOOKUP($A461,Pitchers!$A1:$S251,10,FALSE)-AVERAGE(Rankings!AI2:AI651))/STDEV(Rankings!AI2:AI651)*-1</f>
        <v>-3.9325709052722715E-2</v>
      </c>
      <c r="AC461" s="121">
        <f>(VLOOKUP($A461,Pitchers!$A1:$S251,11,FALSE)-AVERAGE(Rankings!AJ2:AJ651))/STDEV(Rankings!AJ2:AJ651)*-1</f>
        <v>-0.14356766639166274</v>
      </c>
      <c r="AD461" s="121">
        <f>(VLOOKUP($A461,Pitchers!$A1:$S251,12,FALSE)-AVERAGE(Rankings!AK2:AK651))/STDEV(Rankings!AK2:AK651)*-1</f>
        <v>-0.1617938727494091</v>
      </c>
      <c r="AE461" s="121">
        <f>IFERROR((VLOOKUP($A461,Pitchers!$A1:$S251,13,FALSE)-AVERAGE(Rankings!AL2:AL651))/STDEV(Rankings!AL2:AL651)*-1,0)</f>
        <v>0.16652440386409056</v>
      </c>
      <c r="AF461" s="121">
        <f>(VLOOKUP($A461,Pitchers!$A1:$S251,14,FALSE)-AVERAGE(Rankings!AM2:AM651))/STDEV(Rankings!AM2:AM651)</f>
        <v>-0.72832711026790142</v>
      </c>
      <c r="AG461" s="121">
        <f>(VLOOKUP($A461,Pitchers!$A1:$S251,15,FALSE)-AVERAGE(Rankings!AN2:AN651))/STDEV(Rankings!AN2:AN651)</f>
        <v>0.60075940304875297</v>
      </c>
      <c r="AH461" s="121">
        <f>(VLOOKUP($A461,Pitchers!$A1:$S251,16,FALSE)-AVERAGE(Rankings!AO2:AO651))/STDEV(Rankings!AO2:AO651)*-1</f>
        <v>3.2867614019550337E-2</v>
      </c>
      <c r="AI461" s="121">
        <f>IFERROR((VLOOKUP($A461,Pitchers!$A1:$S251,17,FALSE)-AVERAGE(Rankings!AP2:AP651))/STDEV(Rankings!AP2:AP651),0)</f>
        <v>0.16333239649207321</v>
      </c>
      <c r="AJ461" s="121">
        <f>(VLOOKUP($A461,Pitchers!$A1:$S251,18,FALSE)-AVERAGE(Rankings!AQ2:AQ651))/STDEV(Rankings!AQ2:AQ651)</f>
        <v>-0.68467156957913733</v>
      </c>
      <c r="AK461" s="121">
        <f>IFERROR((VLOOKUP($A461,Pitchers!$A1:$S251,19,FALSE)-AVERAGE(Rankings!AR2:AR651))/STDEV(Rankings!AR2:AR651)*-1,0)</f>
        <v>0.47041511698728217</v>
      </c>
    </row>
    <row r="462" spans="1:37" ht="18.600000000000001" customHeight="1">
      <c r="A462" s="25" t="s">
        <v>312</v>
      </c>
      <c r="B462" s="26" t="s">
        <v>136</v>
      </c>
      <c r="C462" s="130" t="s">
        <v>31</v>
      </c>
      <c r="D462" s="67">
        <f>(V462*Settings!$G$2)+(Y462*Settings!$G$5)+(Z462*Settings!$G$6)+(AA462*Settings!$G$7)+(AB462*Settings!$G$8)+(AC462*Settings!$G$9)+(AD462*Settings!$G$10)+(AE462*Settings!$G$11)+(AF462*Settings!$G$12)+(AG462*Settings!$G$13)+(AH462*Settings!$G$14)+(AI462*Settings!$G$15)+(AJ462*Settings!$G$16)+(AK462*Settings!$G$17)+(W462*Settings!$G$3)+(X462*Settings!$G$4)</f>
        <v>0.45055236460819398</v>
      </c>
      <c r="E462" s="67"/>
      <c r="F462" s="67"/>
      <c r="G462" s="67"/>
      <c r="H462" s="67"/>
      <c r="I462" s="67"/>
      <c r="J462" s="67"/>
      <c r="K462" s="73"/>
      <c r="L462" s="73"/>
      <c r="M462" s="67"/>
      <c r="N462" s="67"/>
      <c r="O462" s="67"/>
      <c r="P462" s="67"/>
      <c r="Q462" s="67"/>
      <c r="R462" s="73"/>
      <c r="S462" s="73"/>
      <c r="T462" s="67"/>
      <c r="U462" s="67"/>
      <c r="V462" s="121">
        <f>(VLOOKUP($A462,Pitchers!$A1:$S251,4,FALSE)-AVERAGE(Rankings!AC2:AC651))/STDEV(Rankings!AC2:AC651)</f>
        <v>0.5446596681810808</v>
      </c>
      <c r="W462" s="121">
        <f>(VLOOKUP($A462,Pitchers!$A1:$S251,5,FALSE)-AVERAGE(Rankings!AD2:AD651))/STDEV(Rankings!AD2:AD651)*-1</f>
        <v>-0.18971211114881106</v>
      </c>
      <c r="X462" s="121">
        <f>(VLOOKUP($A462,Pitchers!$A1:$S251,6,FALSE)-AVERAGE(Rankings!AE2:AE651))/STDEV(Rankings!AE2:AE651)*-1</f>
        <v>-4.0631169853335085E-2</v>
      </c>
      <c r="Y462" s="121">
        <f>(VLOOKUP($A462,Pitchers!$A1:$S251,7,FALSE)-AVERAGE(Rankings!AF2:AF651))/STDEV(Rankings!AF2:AF651)</f>
        <v>0.82192178680482519</v>
      </c>
      <c r="Z462" s="121">
        <f>(VLOOKUP($A462,Pitchers!$A1:$S251,8,FALSE)-AVERAGE(Rankings!AG2:AG651))/STDEV(Rankings!AG2:AG651)</f>
        <v>0.32311832095588855</v>
      </c>
      <c r="AA462" s="121">
        <f>(VLOOKUP($A462,Pitchers!$A1:$S251,9,FALSE)-AVERAGE(Rankings!AH2:AH651))/STDEV(Rankings!AH2:AH651)</f>
        <v>-0.46414446215037364</v>
      </c>
      <c r="AB462" s="121">
        <f>(VLOOKUP($A462,Pitchers!$A1:$S251,10,FALSE)-AVERAGE(Rankings!AI2:AI651))/STDEV(Rankings!AI2:AI651)*-1</f>
        <v>-0.50859585329297652</v>
      </c>
      <c r="AC462" s="121">
        <f>(VLOOKUP($A462,Pitchers!$A1:$S251,11,FALSE)-AVERAGE(Rankings!AJ2:AJ651))/STDEV(Rankings!AJ2:AJ651)*-1</f>
        <v>-0.39025434594894925</v>
      </c>
      <c r="AD462" s="121">
        <f>(VLOOKUP($A462,Pitchers!$A1:$S251,12,FALSE)-AVERAGE(Rankings!AK2:AK651))/STDEV(Rankings!AK2:AK651)*-1</f>
        <v>-0.95989731440998571</v>
      </c>
      <c r="AE462" s="121">
        <f>IFERROR((VLOOKUP($A462,Pitchers!$A1:$S251,13,FALSE)-AVERAGE(Rankings!AL2:AL651))/STDEV(Rankings!AL2:AL651)*-1,0)</f>
        <v>-0.36550244554194927</v>
      </c>
      <c r="AF462" s="121">
        <f>(VLOOKUP($A462,Pitchers!$A1:$S251,14,FALSE)-AVERAGE(Rankings!AM2:AM651))/STDEV(Rankings!AM2:AM651)</f>
        <v>-0.93435549011805263</v>
      </c>
      <c r="AG462" s="121">
        <f>(VLOOKUP($A462,Pitchers!$A1:$S251,15,FALSE)-AVERAGE(Rankings!AN2:AN651))/STDEV(Rankings!AN2:AN651)</f>
        <v>0.70594673627375137</v>
      </c>
      <c r="AH462" s="121">
        <f>(VLOOKUP($A462,Pitchers!$A1:$S251,16,FALSE)-AVERAGE(Rankings!AO2:AO651))/STDEV(Rankings!AO2:AO651)*-1</f>
        <v>-0.73120420579471357</v>
      </c>
      <c r="AI462" s="121">
        <f>IFERROR((VLOOKUP($A462,Pitchers!$A1:$S251,17,FALSE)-AVERAGE(Rankings!AP2:AP651))/STDEV(Rankings!AP2:AP651),0)</f>
        <v>0.73642852453443552</v>
      </c>
      <c r="AJ462" s="121">
        <f>(VLOOKUP($A462,Pitchers!$A1:$S251,18,FALSE)-AVERAGE(Rankings!AQ2:AQ651))/STDEV(Rankings!AQ2:AQ651)</f>
        <v>-0.68467156957913733</v>
      </c>
      <c r="AK462" s="121">
        <f>IFERROR((VLOOKUP($A462,Pitchers!$A1:$S251,19,FALSE)-AVERAGE(Rankings!AR2:AR651))/STDEV(Rankings!AR2:AR651)*-1,0)</f>
        <v>0.47041511698728217</v>
      </c>
    </row>
    <row r="463" spans="1:37" ht="18.600000000000001" customHeight="1">
      <c r="A463" s="25" t="s">
        <v>298</v>
      </c>
      <c r="B463" s="26" t="s">
        <v>158</v>
      </c>
      <c r="C463" s="130" t="s">
        <v>31</v>
      </c>
      <c r="D463" s="67">
        <f>(V463*Settings!$G$2)+(Y463*Settings!$G$5)+(Z463*Settings!$G$6)+(AA463*Settings!$G$7)+(AB463*Settings!$G$8)+(AC463*Settings!$G$9)+(AD463*Settings!$G$10)+(AE463*Settings!$G$11)+(AF463*Settings!$G$12)+(AG463*Settings!$G$13)+(AH463*Settings!$G$14)+(AI463*Settings!$G$15)+(AJ463*Settings!$G$16)+(AK463*Settings!$G$17)+(W463*Settings!$G$3)+(X463*Settings!$G$4)</f>
        <v>0.63965548722060783</v>
      </c>
      <c r="E463" s="67"/>
      <c r="F463" s="67"/>
      <c r="G463" s="67"/>
      <c r="H463" s="67"/>
      <c r="I463" s="67"/>
      <c r="J463" s="67"/>
      <c r="K463" s="73"/>
      <c r="L463" s="73"/>
      <c r="M463" s="67"/>
      <c r="N463" s="67"/>
      <c r="O463" s="67"/>
      <c r="P463" s="67"/>
      <c r="Q463" s="67"/>
      <c r="R463" s="73"/>
      <c r="S463" s="73"/>
      <c r="T463" s="67"/>
      <c r="U463" s="67"/>
      <c r="V463" s="121">
        <f>(VLOOKUP($A463,Pitchers!$A1:$S251,4,FALSE)-AVERAGE(Rankings!AC2:AC651))/STDEV(Rankings!AC2:AC651)</f>
        <v>0.61452664575594074</v>
      </c>
      <c r="W463" s="121">
        <f>(VLOOKUP($A463,Pitchers!$A1:$S251,5,FALSE)-AVERAGE(Rankings!AD2:AD651))/STDEV(Rankings!AD2:AD651)*-1</f>
        <v>-6.6528277442442453E-3</v>
      </c>
      <c r="X463" s="121">
        <f>(VLOOKUP($A463,Pitchers!$A1:$S251,6,FALSE)-AVERAGE(Rankings!AE2:AE651))/STDEV(Rankings!AE2:AE651)*-1</f>
        <v>-0.17229203080107713</v>
      </c>
      <c r="Y463" s="121">
        <f>(VLOOKUP($A463,Pitchers!$A1:$S251,7,FALSE)-AVERAGE(Rankings!AF2:AF651))/STDEV(Rankings!AF2:AF651)</f>
        <v>0.63749268742934162</v>
      </c>
      <c r="Z463" s="121">
        <f>(VLOOKUP($A463,Pitchers!$A1:$S251,8,FALSE)-AVERAGE(Rankings!AG2:AG651))/STDEV(Rankings!AG2:AG651)</f>
        <v>0.64525212048696112</v>
      </c>
      <c r="AA463" s="121">
        <f>(VLOOKUP($A463,Pitchers!$A1:$S251,9,FALSE)-AVERAGE(Rankings!AH2:AH651))/STDEV(Rankings!AH2:AH651)</f>
        <v>-0.46414446215037364</v>
      </c>
      <c r="AB463" s="121">
        <f>(VLOOKUP($A463,Pitchers!$A1:$S251,10,FALSE)-AVERAGE(Rankings!AI2:AI651))/STDEV(Rankings!AI2:AI651)*-1</f>
        <v>-0.50409085990827041</v>
      </c>
      <c r="AC463" s="121">
        <f>(VLOOKUP($A463,Pitchers!$A1:$S251,11,FALSE)-AVERAGE(Rankings!AJ2:AJ651))/STDEV(Rankings!AJ2:AJ651)*-1</f>
        <v>-0.53812417115908096</v>
      </c>
      <c r="AD463" s="121">
        <f>(VLOOKUP($A463,Pitchers!$A1:$S251,12,FALSE)-AVERAGE(Rankings!AK2:AK651))/STDEV(Rankings!AK2:AK651)*-1</f>
        <v>-0.88179544855940972</v>
      </c>
      <c r="AE463" s="121">
        <f>IFERROR((VLOOKUP($A463,Pitchers!$A1:$S251,13,FALSE)-AVERAGE(Rankings!AL2:AL651))/STDEV(Rankings!AL2:AL651)*-1,0)</f>
        <v>-0.23249573319043931</v>
      </c>
      <c r="AF463" s="121">
        <f>(VLOOKUP($A463,Pitchers!$A1:$S251,14,FALSE)-AVERAGE(Rankings!AM2:AM651))/STDEV(Rankings!AM2:AM651)</f>
        <v>-0.7533993469692426</v>
      </c>
      <c r="AG463" s="121">
        <f>(VLOOKUP($A463,Pitchers!$A1:$S251,15,FALSE)-AVERAGE(Rankings!AN2:AN651))/STDEV(Rankings!AN2:AN651)</f>
        <v>0.92151583893238986</v>
      </c>
      <c r="AH463" s="121">
        <f>(VLOOKUP($A463,Pitchers!$A1:$S251,16,FALSE)-AVERAGE(Rankings!AO2:AO651))/STDEV(Rankings!AO2:AO651)*-1</f>
        <v>-0.66857536810501972</v>
      </c>
      <c r="AI463" s="121">
        <f>IFERROR((VLOOKUP($A463,Pitchers!$A1:$S251,17,FALSE)-AVERAGE(Rankings!AP2:AP651))/STDEV(Rankings!AP2:AP651),0)</f>
        <v>0.59315449252384489</v>
      </c>
      <c r="AJ463" s="121">
        <f>(VLOOKUP($A463,Pitchers!$A1:$S251,18,FALSE)-AVERAGE(Rankings!AQ2:AQ651))/STDEV(Rankings!AQ2:AQ651)</f>
        <v>-0.68467156957913733</v>
      </c>
      <c r="AK463" s="121">
        <f>IFERROR((VLOOKUP($A463,Pitchers!$A1:$S251,19,FALSE)-AVERAGE(Rankings!AR2:AR651))/STDEV(Rankings!AR2:AR651)*-1,0)</f>
        <v>0.47041511698728217</v>
      </c>
    </row>
    <row r="464" spans="1:37" ht="18.600000000000001" customHeight="1">
      <c r="A464" s="25" t="s">
        <v>296</v>
      </c>
      <c r="B464" s="26" t="s">
        <v>87</v>
      </c>
      <c r="C464" s="130" t="s">
        <v>31</v>
      </c>
      <c r="D464" s="67">
        <f>(V464*Settings!$G$2)+(Y464*Settings!$G$5)+(Z464*Settings!$G$6)+(AA464*Settings!$G$7)+(AB464*Settings!$G$8)+(AC464*Settings!$G$9)+(AD464*Settings!$G$10)+(AE464*Settings!$G$11)+(AF464*Settings!$G$12)+(AG464*Settings!$G$13)+(AH464*Settings!$G$14)+(AI464*Settings!$G$15)+(AJ464*Settings!$G$16)+(AK464*Settings!$G$17)+(W464*Settings!$G$3)+(X464*Settings!$G$4)</f>
        <v>0.67668996703608031</v>
      </c>
      <c r="E464" s="67"/>
      <c r="F464" s="67"/>
      <c r="G464" s="67"/>
      <c r="H464" s="67"/>
      <c r="I464" s="67"/>
      <c r="J464" s="67"/>
      <c r="K464" s="73"/>
      <c r="L464" s="73"/>
      <c r="M464" s="67"/>
      <c r="N464" s="67"/>
      <c r="O464" s="67"/>
      <c r="P464" s="67"/>
      <c r="Q464" s="67"/>
      <c r="R464" s="73"/>
      <c r="S464" s="73"/>
      <c r="T464" s="67"/>
      <c r="U464" s="67"/>
      <c r="V464" s="121">
        <f>(VLOOKUP($A464,Pitchers!$A1:$S251,4,FALSE)-AVERAGE(Rankings!AC2:AC651))/STDEV(Rankings!AC2:AC651)</f>
        <v>0.80789585641767325</v>
      </c>
      <c r="W464" s="121">
        <f>(VLOOKUP($A464,Pitchers!$A1:$S251,5,FALSE)-AVERAGE(Rankings!AD2:AD651))/STDEV(Rankings!AD2:AD651)*-1</f>
        <v>-0.25886289400492551</v>
      </c>
      <c r="X464" s="121">
        <f>(VLOOKUP($A464,Pitchers!$A1:$S251,6,FALSE)-AVERAGE(Rankings!AE2:AE651))/STDEV(Rankings!AE2:AE651)*-1</f>
        <v>0.15160785407454677</v>
      </c>
      <c r="Y464" s="121">
        <f>(VLOOKUP($A464,Pitchers!$A1:$S251,7,FALSE)-AVERAGE(Rankings!AF2:AF651))/STDEV(Rankings!AF2:AF651)</f>
        <v>0.62297071110056368</v>
      </c>
      <c r="Z464" s="121">
        <f>(VLOOKUP($A464,Pitchers!$A1:$S251,8,FALSE)-AVERAGE(Rankings!AG2:AG651))/STDEV(Rankings!AG2:AG651)</f>
        <v>0.62511875801626915</v>
      </c>
      <c r="AA464" s="121">
        <f>(VLOOKUP($A464,Pitchers!$A1:$S251,9,FALSE)-AVERAGE(Rankings!AH2:AH651))/STDEV(Rankings!AH2:AH651)</f>
        <v>-0.46414446215037364</v>
      </c>
      <c r="AB464" s="121">
        <f>(VLOOKUP($A464,Pitchers!$A1:$S251,10,FALSE)-AVERAGE(Rankings!AI2:AI651))/STDEV(Rankings!AI2:AI651)*-1</f>
        <v>-0.77484096232912758</v>
      </c>
      <c r="AC464" s="121">
        <f>(VLOOKUP($A464,Pitchers!$A1:$S251,11,FALSE)-AVERAGE(Rankings!AJ2:AJ651))/STDEV(Rankings!AJ2:AJ651)*-1</f>
        <v>-1.0179901904708064</v>
      </c>
      <c r="AD464" s="121">
        <f>(VLOOKUP($A464,Pitchers!$A1:$S251,12,FALSE)-AVERAGE(Rankings!AK2:AK651))/STDEV(Rankings!AK2:AK651)*-1</f>
        <v>0.29461390581489633</v>
      </c>
      <c r="AE464" s="121">
        <f>IFERROR((VLOOKUP($A464,Pitchers!$A1:$S251,13,FALSE)-AVERAGE(Rankings!AL2:AL651))/STDEV(Rankings!AL2:AL651)*-1,0)</f>
        <v>-0.76452258259647921</v>
      </c>
      <c r="AF464" s="121">
        <f>(VLOOKUP($A464,Pitchers!$A1:$S251,14,FALSE)-AVERAGE(Rankings!AM2:AM651))/STDEV(Rankings!AM2:AM651)</f>
        <v>-0.78392206991000579</v>
      </c>
      <c r="AG464" s="121">
        <f>(VLOOKUP($A464,Pitchers!$A1:$S251,15,FALSE)-AVERAGE(Rankings!AN2:AN651))/STDEV(Rankings!AN2:AN651)</f>
        <v>0.88515478547189652</v>
      </c>
      <c r="AH464" s="121">
        <f>(VLOOKUP($A464,Pitchers!$A1:$S251,16,FALSE)-AVERAGE(Rankings!AO2:AO651))/STDEV(Rankings!AO2:AO651)*-1</f>
        <v>-0.6059465304153262</v>
      </c>
      <c r="AI464" s="121">
        <f>IFERROR((VLOOKUP($A464,Pitchers!$A1:$S251,17,FALSE)-AVERAGE(Rankings!AP2:AP651))/STDEV(Rankings!AP2:AP651),0)</f>
        <v>0.73642852453443552</v>
      </c>
      <c r="AJ464" s="121">
        <f>(VLOOKUP($A464,Pitchers!$A1:$S251,18,FALSE)-AVERAGE(Rankings!AQ2:AQ651))/STDEV(Rankings!AQ2:AQ651)</f>
        <v>-0.68467156957913733</v>
      </c>
      <c r="AK464" s="121">
        <f>IFERROR((VLOOKUP($A464,Pitchers!$A1:$S251,19,FALSE)-AVERAGE(Rankings!AR2:AR651))/STDEV(Rankings!AR2:AR651)*-1,0)</f>
        <v>0.47041511698728217</v>
      </c>
    </row>
    <row r="465" spans="1:37" ht="18.600000000000001" customHeight="1">
      <c r="A465" s="25" t="s">
        <v>346</v>
      </c>
      <c r="B465" s="26" t="s">
        <v>158</v>
      </c>
      <c r="C465" s="130" t="s">
        <v>31</v>
      </c>
      <c r="D465" s="67">
        <f>(V465*Settings!$G$2)+(Y465*Settings!$G$5)+(Z465*Settings!$G$6)+(AA465*Settings!$G$7)+(AB465*Settings!$G$8)+(AC465*Settings!$G$9)+(AD465*Settings!$G$10)+(AE465*Settings!$G$11)+(AF465*Settings!$G$12)+(AG465*Settings!$G$13)+(AH465*Settings!$G$14)+(AI465*Settings!$G$15)+(AJ465*Settings!$G$16)+(AK465*Settings!$G$17)+(W465*Settings!$G$3)+(X465*Settings!$G$4)</f>
        <v>2.6155414125408172E-2</v>
      </c>
      <c r="E465" s="67"/>
      <c r="F465" s="67"/>
      <c r="G465" s="67"/>
      <c r="H465" s="67"/>
      <c r="I465" s="67"/>
      <c r="J465" s="67"/>
      <c r="K465" s="73"/>
      <c r="L465" s="73"/>
      <c r="M465" s="67"/>
      <c r="N465" s="67"/>
      <c r="O465" s="67"/>
      <c r="P465" s="67"/>
      <c r="Q465" s="67"/>
      <c r="R465" s="73"/>
      <c r="S465" s="73"/>
      <c r="T465" s="67"/>
      <c r="U465" s="67"/>
      <c r="V465" s="121">
        <f>(VLOOKUP($A465,Pitchers!$A1:$S251,4,FALSE)-AVERAGE(Rankings!AC2:AC651))/STDEV(Rankings!AC2:AC651)</f>
        <v>0.78107822866166687</v>
      </c>
      <c r="W465" s="121">
        <f>(VLOOKUP($A465,Pitchers!$A1:$S251,5,FALSE)-AVERAGE(Rankings!AD2:AD651))/STDEV(Rankings!AD2:AD651)*-1</f>
        <v>-0.68088971291187073</v>
      </c>
      <c r="X465" s="121">
        <f>(VLOOKUP($A465,Pitchers!$A1:$S251,6,FALSE)-AVERAGE(Rankings!AE2:AE651))/STDEV(Rankings!AE2:AE651)*-1</f>
        <v>-0.24479092746331771</v>
      </c>
      <c r="Y465" s="121">
        <f>(VLOOKUP($A465,Pitchers!$A1:$S251,7,FALSE)-AVERAGE(Rankings!AF2:AF651))/STDEV(Rankings!AF2:AF651)</f>
        <v>0.88146188975281548</v>
      </c>
      <c r="Z465" s="121">
        <f>(VLOOKUP($A465,Pitchers!$A1:$S251,8,FALSE)-AVERAGE(Rankings!AG2:AG651))/STDEV(Rankings!AG2:AG651)</f>
        <v>0.53451862689815488</v>
      </c>
      <c r="AA465" s="121">
        <f>(VLOOKUP($A465,Pitchers!$A1:$S251,9,FALSE)-AVERAGE(Rankings!AH2:AH651))/STDEV(Rankings!AH2:AH651)</f>
        <v>-0.46414446215037364</v>
      </c>
      <c r="AB465" s="121">
        <f>(VLOOKUP($A465,Pitchers!$A1:$S251,10,FALSE)-AVERAGE(Rankings!AI2:AI651))/STDEV(Rankings!AI2:AI651)*-1</f>
        <v>-0.91554692237812541</v>
      </c>
      <c r="AC465" s="121">
        <f>(VLOOKUP($A465,Pitchers!$A1:$S251,11,FALSE)-AVERAGE(Rankings!AJ2:AJ651))/STDEV(Rankings!AJ2:AJ651)*-1</f>
        <v>-0.7058995497628846</v>
      </c>
      <c r="AD465" s="121">
        <f>(VLOOKUP($A465,Pitchers!$A1:$S251,12,FALSE)-AVERAGE(Rankings!AK2:AK651))/STDEV(Rankings!AK2:AK651)*-1</f>
        <v>-1.0941348963406634</v>
      </c>
      <c r="AE465" s="121">
        <f>IFERROR((VLOOKUP($A465,Pitchers!$A1:$S251,13,FALSE)-AVERAGE(Rankings!AL2:AL651))/STDEV(Rankings!AL2:AL651)*-1,0)</f>
        <v>-1.1635427196510091</v>
      </c>
      <c r="AF465" s="121">
        <f>(VLOOKUP($A465,Pitchers!$A1:$S251,14,FALSE)-AVERAGE(Rankings!AM2:AM651))/STDEV(Rankings!AM2:AM651)</f>
        <v>-0.73159740201155443</v>
      </c>
      <c r="AG465" s="121">
        <f>(VLOOKUP($A465,Pitchers!$A1:$S251,15,FALSE)-AVERAGE(Rankings!AN2:AN651))/STDEV(Rankings!AN2:AN651)</f>
        <v>0.9474880199755995</v>
      </c>
      <c r="AH465" s="121">
        <f>(VLOOKUP($A465,Pitchers!$A1:$S251,16,FALSE)-AVERAGE(Rankings!AO2:AO651))/STDEV(Rankings!AO2:AO651)*-1</f>
        <v>-0.83141034609822395</v>
      </c>
      <c r="AI465" s="121">
        <f>IFERROR((VLOOKUP($A465,Pitchers!$A1:$S251,17,FALSE)-AVERAGE(Rankings!AP2:AP651))/STDEV(Rankings!AP2:AP651),0)</f>
        <v>0.87970255654502605</v>
      </c>
      <c r="AJ465" s="121">
        <f>(VLOOKUP($A465,Pitchers!$A1:$S251,18,FALSE)-AVERAGE(Rankings!AQ2:AQ651))/STDEV(Rankings!AQ2:AQ651)</f>
        <v>-0.68467156957913733</v>
      </c>
      <c r="AK465" s="121">
        <f>IFERROR((VLOOKUP($A465,Pitchers!$A1:$S251,19,FALSE)-AVERAGE(Rankings!AR2:AR651))/STDEV(Rankings!AR2:AR651)*-1,0)</f>
        <v>0.47041511698728217</v>
      </c>
    </row>
    <row r="466" spans="1:37" ht="18.600000000000001" customHeight="1">
      <c r="A466" s="25" t="s">
        <v>281</v>
      </c>
      <c r="B466" s="26" t="s">
        <v>103</v>
      </c>
      <c r="C466" s="130" t="s">
        <v>31</v>
      </c>
      <c r="D466" s="67">
        <f>(V466*Settings!$G$2)+(Y466*Settings!$G$5)+(Z466*Settings!$G$6)+(AA466*Settings!$G$7)+(AB466*Settings!$G$8)+(AC466*Settings!$G$9)+(AD466*Settings!$G$10)+(AE466*Settings!$G$11)+(AF466*Settings!$G$12)+(AG466*Settings!$G$13)+(AH466*Settings!$G$14)+(AI466*Settings!$G$15)+(AJ466*Settings!$G$16)+(AK466*Settings!$G$17)+(W466*Settings!$G$3)+(X466*Settings!$G$4)</f>
        <v>0.97433501784915943</v>
      </c>
      <c r="E466" s="67"/>
      <c r="F466" s="67"/>
      <c r="G466" s="67"/>
      <c r="H466" s="67"/>
      <c r="I466" s="67"/>
      <c r="J466" s="67"/>
      <c r="K466" s="73"/>
      <c r="L466" s="73"/>
      <c r="M466" s="67"/>
      <c r="N466" s="67"/>
      <c r="O466" s="67"/>
      <c r="P466" s="67"/>
      <c r="Q466" s="67"/>
      <c r="R466" s="73"/>
      <c r="S466" s="73"/>
      <c r="T466" s="67"/>
      <c r="U466" s="67"/>
      <c r="V466" s="121">
        <f>(VLOOKUP($A466,Pitchers!$A1:$S251,4,FALSE)-AVERAGE(Rankings!AC2:AC651))/STDEV(Rankings!AC2:AC651)</f>
        <v>0.86505974716074063</v>
      </c>
      <c r="W466" s="121">
        <f>(VLOOKUP($A466,Pitchers!$A1:$S251,5,FALSE)-AVERAGE(Rankings!AD2:AD651))/STDEV(Rankings!AD2:AD651)*-1</f>
        <v>-4.1656173826611749E-2</v>
      </c>
      <c r="X466" s="121">
        <f>(VLOOKUP($A466,Pitchers!$A1:$S251,6,FALSE)-AVERAGE(Rankings!AE2:AE651))/STDEV(Rankings!AE2:AE651)*-1</f>
        <v>0.14885167096591273</v>
      </c>
      <c r="Y466" s="121">
        <f>(VLOOKUP($A466,Pitchers!$A1:$S251,7,FALSE)-AVERAGE(Rankings!AF2:AF651))/STDEV(Rankings!AF2:AF651)</f>
        <v>0.48973157828402364</v>
      </c>
      <c r="Z466" s="121">
        <f>(VLOOKUP($A466,Pitchers!$A1:$S251,8,FALSE)-AVERAGE(Rankings!AG2:AG651))/STDEV(Rankings!AG2:AG651)</f>
        <v>0.84155240457620839</v>
      </c>
      <c r="AA466" s="121">
        <f>(VLOOKUP($A466,Pitchers!$A1:$S251,9,FALSE)-AVERAGE(Rankings!AH2:AH651))/STDEV(Rankings!AH2:AH651)</f>
        <v>-0.46414446215037364</v>
      </c>
      <c r="AB466" s="121">
        <f>(VLOOKUP($A466,Pitchers!$A1:$S251,10,FALSE)-AVERAGE(Rankings!AI2:AI651))/STDEV(Rankings!AI2:AI651)*-1</f>
        <v>-0.73989723030842069</v>
      </c>
      <c r="AC466" s="121">
        <f>(VLOOKUP($A466,Pitchers!$A1:$S251,11,FALSE)-AVERAGE(Rankings!AJ2:AJ651))/STDEV(Rankings!AJ2:AJ651)*-1</f>
        <v>-0.86656580215466228</v>
      </c>
      <c r="AD466" s="121">
        <f>(VLOOKUP($A466,Pitchers!$A1:$S251,12,FALSE)-AVERAGE(Rankings!AK2:AK651))/STDEV(Rankings!AK2:AK651)*-1</f>
        <v>-0.46565894457430745</v>
      </c>
      <c r="AE466" s="121">
        <f>IFERROR((VLOOKUP($A466,Pitchers!$A1:$S251,13,FALSE)-AVERAGE(Rankings!AL2:AL651))/STDEV(Rankings!AL2:AL651)*-1,0)</f>
        <v>-0.76452258259647921</v>
      </c>
      <c r="AF466" s="121">
        <f>(VLOOKUP($A466,Pitchers!$A1:$S251,14,FALSE)-AVERAGE(Rankings!AM2:AM651))/STDEV(Rankings!AM2:AM651)</f>
        <v>-0.6204074827273458</v>
      </c>
      <c r="AG466" s="121">
        <f>(VLOOKUP($A466,Pitchers!$A1:$S251,15,FALSE)-AVERAGE(Rankings!AN2:AN651))/STDEV(Rankings!AN2:AN651)</f>
        <v>1.0409878717311536</v>
      </c>
      <c r="AH466" s="121">
        <f>(VLOOKUP($A466,Pitchers!$A1:$S251,16,FALSE)-AVERAGE(Rankings!AO2:AO651))/STDEV(Rankings!AO2:AO651)*-1</f>
        <v>-0.90656495132585613</v>
      </c>
      <c r="AI466" s="121">
        <f>IFERROR((VLOOKUP($A466,Pitchers!$A1:$S251,17,FALSE)-AVERAGE(Rankings!AP2:AP651))/STDEV(Rankings!AP2:AP651),0)</f>
        <v>1.0229765885556166</v>
      </c>
      <c r="AJ466" s="121">
        <f>(VLOOKUP($A466,Pitchers!$A1:$S251,18,FALSE)-AVERAGE(Rankings!AQ2:AQ651))/STDEV(Rankings!AQ2:AQ651)</f>
        <v>-0.68467156957913733</v>
      </c>
      <c r="AK466" s="121">
        <f>IFERROR((VLOOKUP($A466,Pitchers!$A1:$S251,19,FALSE)-AVERAGE(Rankings!AR2:AR651))/STDEV(Rankings!AR2:AR651)*-1,0)</f>
        <v>0.47041511698728217</v>
      </c>
    </row>
    <row r="467" spans="1:37" ht="18.600000000000001" customHeight="1">
      <c r="A467" s="25" t="s">
        <v>356</v>
      </c>
      <c r="B467" s="26" t="s">
        <v>85</v>
      </c>
      <c r="C467" s="130" t="s">
        <v>31</v>
      </c>
      <c r="D467" s="67">
        <f>(V467*Settings!$G$2)+(Y467*Settings!$G$5)+(Z467*Settings!$G$6)+(AA467*Settings!$G$7)+(AB467*Settings!$G$8)+(AC467*Settings!$G$9)+(AD467*Settings!$G$10)+(AE467*Settings!$G$11)+(AF467*Settings!$G$12)+(AG467*Settings!$G$13)+(AH467*Settings!$G$14)+(AI467*Settings!$G$15)+(AJ467*Settings!$G$16)+(AK467*Settings!$G$17)+(W467*Settings!$G$3)+(X467*Settings!$G$4)</f>
        <v>-7.2345728893146832E-2</v>
      </c>
      <c r="E467" s="67"/>
      <c r="F467" s="67"/>
      <c r="G467" s="67"/>
      <c r="H467" s="67"/>
      <c r="I467" s="67"/>
      <c r="J467" s="67"/>
      <c r="K467" s="73"/>
      <c r="L467" s="73"/>
      <c r="M467" s="67"/>
      <c r="N467" s="67"/>
      <c r="O467" s="67"/>
      <c r="P467" s="67"/>
      <c r="Q467" s="67"/>
      <c r="R467" s="73"/>
      <c r="S467" s="73"/>
      <c r="T467" s="67"/>
      <c r="U467" s="67"/>
      <c r="V467" s="121">
        <f>(VLOOKUP($A467,Pitchers!$A1:$S251,4,FALSE)-AVERAGE(Rankings!AC2:AC651))/STDEV(Rankings!AC2:AC651)</f>
        <v>0.87776283399253252</v>
      </c>
      <c r="W467" s="121">
        <f>(VLOOKUP($A467,Pitchers!$A1:$S251,5,FALSE)-AVERAGE(Rankings!AD2:AD651))/STDEV(Rankings!AD2:AD651)*-1</f>
        <v>-0.85063420678193635</v>
      </c>
      <c r="X467" s="121">
        <f>(VLOOKUP($A467,Pitchers!$A1:$S251,6,FALSE)-AVERAGE(Rankings!AE2:AE651))/STDEV(Rankings!AE2:AE651)*-1</f>
        <v>-0.51673824181960781</v>
      </c>
      <c r="Y467" s="121">
        <f>(VLOOKUP($A467,Pitchers!$A1:$S251,7,FALSE)-AVERAGE(Rankings!AF2:AF651))/STDEV(Rankings!AF2:AF651)</f>
        <v>0.90251875542954385</v>
      </c>
      <c r="Z467" s="121">
        <f>(VLOOKUP($A467,Pitchers!$A1:$S251,8,FALSE)-AVERAGE(Rankings!AG2:AG651))/STDEV(Rankings!AG2:AG651)</f>
        <v>0.85665242642922712</v>
      </c>
      <c r="AA467" s="121">
        <f>(VLOOKUP($A467,Pitchers!$A1:$S251,9,FALSE)-AVERAGE(Rankings!AH2:AH651))/STDEV(Rankings!AH2:AH651)</f>
        <v>-0.46414446215037364</v>
      </c>
      <c r="AB467" s="121">
        <f>(VLOOKUP($A467,Pitchers!$A1:$S251,10,FALSE)-AVERAGE(Rankings!AI2:AI651))/STDEV(Rankings!AI2:AI651)*-1</f>
        <v>-1.0776816342937101</v>
      </c>
      <c r="AC467" s="121">
        <f>(VLOOKUP($A467,Pitchers!$A1:$S251,11,FALSE)-AVERAGE(Rankings!AJ2:AJ651))/STDEV(Rankings!AJ2:AJ651)*-1</f>
        <v>-0.8377738409959582</v>
      </c>
      <c r="AD467" s="121">
        <f>(VLOOKUP($A467,Pitchers!$A1:$S251,12,FALSE)-AVERAGE(Rankings!AK2:AK651))/STDEV(Rankings!AK2:AK651)*-1</f>
        <v>-1.3589490352402742</v>
      </c>
      <c r="AE467" s="121">
        <f>IFERROR((VLOOKUP($A467,Pitchers!$A1:$S251,13,FALSE)-AVERAGE(Rankings!AL2:AL651))/STDEV(Rankings!AL2:AL651)*-1,0)</f>
        <v>-0.89752929494798916</v>
      </c>
      <c r="AF467" s="121">
        <f>(VLOOKUP($A467,Pitchers!$A1:$S251,14,FALSE)-AVERAGE(Rankings!AM2:AM651))/STDEV(Rankings!AM2:AM651)</f>
        <v>-0.68581331760040976</v>
      </c>
      <c r="AG467" s="121">
        <f>(VLOOKUP($A467,Pitchers!$A1:$S251,15,FALSE)-AVERAGE(Rankings!AN2:AN651))/STDEV(Rankings!AN2:AN651)</f>
        <v>1.0020296001663394</v>
      </c>
      <c r="AH467" s="121">
        <f>(VLOOKUP($A467,Pitchers!$A1:$S251,16,FALSE)-AVERAGE(Rankings!AO2:AO651))/STDEV(Rankings!AO2:AO651)*-1</f>
        <v>-0.94414225393967233</v>
      </c>
      <c r="AI467" s="121">
        <f>IFERROR((VLOOKUP($A467,Pitchers!$A1:$S251,17,FALSE)-AVERAGE(Rankings!AP2:AP651))/STDEV(Rankings!AP2:AP651),0)</f>
        <v>0.59315449252384489</v>
      </c>
      <c r="AJ467" s="121">
        <f>(VLOOKUP($A467,Pitchers!$A1:$S251,18,FALSE)-AVERAGE(Rankings!AQ2:AQ651))/STDEV(Rankings!AQ2:AQ651)</f>
        <v>-0.68467156957913733</v>
      </c>
      <c r="AK467" s="121">
        <f>IFERROR((VLOOKUP($A467,Pitchers!$A1:$S251,19,FALSE)-AVERAGE(Rankings!AR2:AR651))/STDEV(Rankings!AR2:AR651)*-1,0)</f>
        <v>0.47041511698728217</v>
      </c>
    </row>
    <row r="468" spans="1:37" ht="18.600000000000001" customHeight="1">
      <c r="A468" s="25" t="s">
        <v>284</v>
      </c>
      <c r="B468" s="26" t="s">
        <v>85</v>
      </c>
      <c r="C468" s="130" t="s">
        <v>31</v>
      </c>
      <c r="D468" s="67">
        <f>(V468*Settings!$G$2)+(Y468*Settings!$G$5)+(Z468*Settings!$G$6)+(AA468*Settings!$G$7)+(AB468*Settings!$G$8)+(AC468*Settings!$G$9)+(AD468*Settings!$G$10)+(AE468*Settings!$G$11)+(AF468*Settings!$G$12)+(AG468*Settings!$G$13)+(AH468*Settings!$G$14)+(AI468*Settings!$G$15)+(AJ468*Settings!$G$16)+(AK468*Settings!$G$17)+(W468*Settings!$G$3)+(X468*Settings!$G$4)</f>
        <v>0.8736998571954272</v>
      </c>
      <c r="E468" s="67"/>
      <c r="F468" s="67"/>
      <c r="G468" s="67"/>
      <c r="H468" s="67"/>
      <c r="I468" s="67"/>
      <c r="J468" s="67"/>
      <c r="K468" s="73"/>
      <c r="L468" s="73"/>
      <c r="M468" s="67"/>
      <c r="N468" s="67"/>
      <c r="O468" s="67"/>
      <c r="P468" s="67"/>
      <c r="Q468" s="67"/>
      <c r="R468" s="73"/>
      <c r="S468" s="73"/>
      <c r="T468" s="67"/>
      <c r="U468" s="67"/>
      <c r="V468" s="121">
        <f>(VLOOKUP($A468,Pitchers!$A1:$S251,4,FALSE)-AVERAGE(Rankings!AC2:AC651))/STDEV(Rankings!AC2:AC651)</f>
        <v>1.2969646994416906</v>
      </c>
      <c r="W468" s="121">
        <f>(VLOOKUP($A468,Pitchers!$A1:$S251,5,FALSE)-AVERAGE(Rankings!AD2:AD651))/STDEV(Rankings!AD2:AD651)*-1</f>
        <v>-0.3729490909135037</v>
      </c>
      <c r="X468" s="121">
        <f>(VLOOKUP($A468,Pitchers!$A1:$S251,6,FALSE)-AVERAGE(Rankings!AE2:AE651))/STDEV(Rankings!AE2:AE651)*-1</f>
        <v>5.4552343070619638E-2</v>
      </c>
      <c r="Y468" s="121">
        <f>(VLOOKUP($A468,Pitchers!$A1:$S251,7,FALSE)-AVERAGE(Rankings!AF2:AF651))/STDEV(Rankings!AF2:AF651)</f>
        <v>0.4472547975223477</v>
      </c>
      <c r="Z468" s="121">
        <f>(VLOOKUP($A468,Pitchers!$A1:$S251,8,FALSE)-AVERAGE(Rankings!AG2:AG651))/STDEV(Rankings!AG2:AG651)</f>
        <v>1.2089862696663372</v>
      </c>
      <c r="AA468" s="121">
        <f>(VLOOKUP($A468,Pitchers!$A1:$S251,9,FALSE)-AVERAGE(Rankings!AH2:AH651))/STDEV(Rankings!AH2:AH651)</f>
        <v>-0.46414446215037364</v>
      </c>
      <c r="AB468" s="121">
        <f>(VLOOKUP($A468,Pitchers!$A1:$S251,10,FALSE)-AVERAGE(Rankings!AI2:AI651))/STDEV(Rankings!AI2:AI651)*-1</f>
        <v>-1.274895228031542</v>
      </c>
      <c r="AC468" s="121">
        <f>(VLOOKUP($A468,Pitchers!$A1:$S251,11,FALSE)-AVERAGE(Rankings!AJ2:AJ651))/STDEV(Rankings!AJ2:AJ651)*-1</f>
        <v>-1.3969066175717686</v>
      </c>
      <c r="AD468" s="121">
        <f>(VLOOKUP($A468,Pitchers!$A1:$S251,12,FALSE)-AVERAGE(Rankings!AK2:AK651))/STDEV(Rankings!AK2:AK651)*-1</f>
        <v>-0.55718456861795163</v>
      </c>
      <c r="AE468" s="121">
        <f>IFERROR((VLOOKUP($A468,Pitchers!$A1:$S251,13,FALSE)-AVERAGE(Rankings!AL2:AL651))/STDEV(Rankings!AL2:AL651)*-1,0)</f>
        <v>-1.9615829937600688</v>
      </c>
      <c r="AF468" s="121">
        <f>(VLOOKUP($A468,Pitchers!$A1:$S251,14,FALSE)-AVERAGE(Rankings!AM2:AM651))/STDEV(Rankings!AM2:AM651)</f>
        <v>-0.609506510248502</v>
      </c>
      <c r="AG468" s="121">
        <f>(VLOOKUP($A468,Pitchers!$A1:$S251,15,FALSE)-AVERAGE(Rankings!AN2:AN651))/STDEV(Rankings!AN2:AN651)</f>
        <v>1.0409878717311534</v>
      </c>
      <c r="AH468" s="121">
        <f>(VLOOKUP($A468,Pitchers!$A1:$S251,16,FALSE)-AVERAGE(Rankings!AO2:AO651))/STDEV(Rankings!AO2:AO651)*-1</f>
        <v>-1.1445545345466923</v>
      </c>
      <c r="AI468" s="121">
        <f>IFERROR((VLOOKUP($A468,Pitchers!$A1:$S251,17,FALSE)-AVERAGE(Rankings!AP2:AP651))/STDEV(Rankings!AP2:AP651),0)</f>
        <v>1.0229765885556166</v>
      </c>
      <c r="AJ468" s="121">
        <f>(VLOOKUP($A468,Pitchers!$A1:$S251,18,FALSE)-AVERAGE(Rankings!AQ2:AQ651))/STDEV(Rankings!AQ2:AQ651)</f>
        <v>-0.68467156957913733</v>
      </c>
      <c r="AK468" s="121">
        <f>IFERROR((VLOOKUP($A468,Pitchers!$A1:$S251,19,FALSE)-AVERAGE(Rankings!AR2:AR651))/STDEV(Rankings!AR2:AR651)*-1,0)</f>
        <v>0.47041511698728217</v>
      </c>
    </row>
    <row r="469" spans="1:37" ht="18.600000000000001" customHeight="1">
      <c r="A469" s="25" t="s">
        <v>277</v>
      </c>
      <c r="B469" s="26" t="s">
        <v>79</v>
      </c>
      <c r="C469" s="130" t="s">
        <v>31</v>
      </c>
      <c r="D469" s="67">
        <f>(V469*Settings!$G$2)+(Y469*Settings!$G$5)+(Z469*Settings!$G$6)+(AA469*Settings!$G$7)+(AB469*Settings!$G$8)+(AC469*Settings!$G$9)+(AD469*Settings!$G$10)+(AE469*Settings!$G$11)+(AF469*Settings!$G$12)+(AG469*Settings!$G$13)+(AH469*Settings!$G$14)+(AI469*Settings!$G$15)+(AJ469*Settings!$G$16)+(AK469*Settings!$G$17)+(W469*Settings!$G$3)+(X469*Settings!$G$4)</f>
        <v>1.057049516819516</v>
      </c>
      <c r="E469" s="67"/>
      <c r="F469" s="67"/>
      <c r="G469" s="67"/>
      <c r="H469" s="67"/>
      <c r="I469" s="67"/>
      <c r="J469" s="67"/>
      <c r="K469" s="73"/>
      <c r="L469" s="73"/>
      <c r="M469" s="67"/>
      <c r="N469" s="67"/>
      <c r="O469" s="67"/>
      <c r="P469" s="67"/>
      <c r="Q469" s="67"/>
      <c r="R469" s="73"/>
      <c r="S469" s="73"/>
      <c r="T469" s="67"/>
      <c r="U469" s="67"/>
      <c r="V469" s="121">
        <f>(VLOOKUP($A469,Pitchers!$A1:$S251,4,FALSE)-AVERAGE(Rankings!AC2:AC651))/STDEV(Rankings!AC2:AC651)</f>
        <v>0.22090738573192087</v>
      </c>
      <c r="W469" s="121">
        <f>(VLOOKUP($A469,Pitchers!$A1:$S251,5,FALSE)-AVERAGE(Rankings!AD2:AD651))/STDEV(Rankings!AD2:AD651)*-1</f>
        <v>1.0041883676371681</v>
      </c>
      <c r="X469" s="121">
        <f>(VLOOKUP($A469,Pitchers!$A1:$S251,6,FALSE)-AVERAGE(Rankings!AE2:AE651))/STDEV(Rankings!AE2:AE651)*-1</f>
        <v>-0.1872360799298988</v>
      </c>
      <c r="Y469" s="121">
        <f>(VLOOKUP($A469,Pitchers!$A1:$S251,7,FALSE)-AVERAGE(Rankings!AF2:AF651))/STDEV(Rankings!AF2:AF651)</f>
        <v>0.33833997505651131</v>
      </c>
      <c r="Z469" s="121">
        <f>(VLOOKUP($A469,Pitchers!$A1:$S251,8,FALSE)-AVERAGE(Rankings!AG2:AG651))/STDEV(Rankings!AG2:AG651)</f>
        <v>0.36590171620610906</v>
      </c>
      <c r="AA469" s="121">
        <f>(VLOOKUP($A469,Pitchers!$A1:$S251,9,FALSE)-AVERAGE(Rankings!AH2:AH651))/STDEV(Rankings!AH2:AH651)</f>
        <v>-0.46414446215037364</v>
      </c>
      <c r="AB469" s="121">
        <f>(VLOOKUP($A469,Pitchers!$A1:$S251,10,FALSE)-AVERAGE(Rankings!AI2:AI651))/STDEV(Rankings!AI2:AI651)*-1</f>
        <v>0.1701564833361266</v>
      </c>
      <c r="AC469" s="121">
        <f>(VLOOKUP($A469,Pitchers!$A1:$S251,11,FALSE)-AVERAGE(Rankings!AJ2:AJ651))/STDEV(Rankings!AJ2:AJ651)*-1</f>
        <v>-0.11370933630115528</v>
      </c>
      <c r="AD469" s="121">
        <f>(VLOOKUP($A469,Pitchers!$A1:$S251,12,FALSE)-AVERAGE(Rankings!AK2:AK651))/STDEV(Rankings!AK2:AK651)*-1</f>
        <v>-0.67433736739381622</v>
      </c>
      <c r="AE469" s="121">
        <f>IFERROR((VLOOKUP($A469,Pitchers!$A1:$S251,13,FALSE)-AVERAGE(Rankings!AL2:AL651))/STDEV(Rankings!AL2:AL651)*-1,0)</f>
        <v>0.8315579656216403</v>
      </c>
      <c r="AF469" s="121">
        <f>(VLOOKUP($A469,Pitchers!$A1:$S251,14,FALSE)-AVERAGE(Rankings!AM2:AM651))/STDEV(Rankings!AM2:AM651)</f>
        <v>-0.26394568266914786</v>
      </c>
      <c r="AG469" s="121">
        <f>(VLOOKUP($A469,Pitchers!$A1:$S251,15,FALSE)-AVERAGE(Rankings!AN2:AN651))/STDEV(Rankings!AN2:AN651)</f>
        <v>0.25792661327838778</v>
      </c>
      <c r="AH469" s="121">
        <f>(VLOOKUP($A469,Pitchers!$A1:$S251,16,FALSE)-AVERAGE(Rankings!AO2:AO651))/STDEV(Rankings!AO2:AO651)*-1</f>
        <v>0.20196547578172391</v>
      </c>
      <c r="AI469" s="121">
        <f>IFERROR((VLOOKUP($A469,Pitchers!$A1:$S251,17,FALSE)-AVERAGE(Rankings!AP2:AP651))/STDEV(Rankings!AP2:AP651),0)</f>
        <v>-0.40976373155028911</v>
      </c>
      <c r="AJ469" s="121">
        <f>(VLOOKUP($A469,Pitchers!$A1:$S251,18,FALSE)-AVERAGE(Rankings!AQ2:AQ651))/STDEV(Rankings!AQ2:AQ651)</f>
        <v>-0.68467156957913733</v>
      </c>
      <c r="AK469" s="121">
        <f>IFERROR((VLOOKUP($A469,Pitchers!$A1:$S251,19,FALSE)-AVERAGE(Rankings!AR2:AR651))/STDEV(Rankings!AR2:AR651)*-1,0)</f>
        <v>0.47041511698728217</v>
      </c>
    </row>
    <row r="470" spans="1:37" ht="18.600000000000001" customHeight="1">
      <c r="A470" s="25" t="s">
        <v>378</v>
      </c>
      <c r="B470" s="26" t="s">
        <v>219</v>
      </c>
      <c r="C470" s="130" t="s">
        <v>31</v>
      </c>
      <c r="D470" s="67">
        <f>(V470*Settings!$G$2)+(Y470*Settings!$G$5)+(Z470*Settings!$G$6)+(AA470*Settings!$G$7)+(AB470*Settings!$G$8)+(AC470*Settings!$G$9)+(AD470*Settings!$G$10)+(AE470*Settings!$G$11)+(AF470*Settings!$G$12)+(AG470*Settings!$G$13)+(AH470*Settings!$G$14)+(AI470*Settings!$G$15)+(AJ470*Settings!$G$16)+(AK470*Settings!$G$17)+(W470*Settings!$G$3)+(X470*Settings!$G$4)</f>
        <v>-0.53899701306689796</v>
      </c>
      <c r="E470" s="67"/>
      <c r="F470" s="67"/>
      <c r="G470" s="67"/>
      <c r="H470" s="67"/>
      <c r="I470" s="67"/>
      <c r="J470" s="67"/>
      <c r="K470" s="73"/>
      <c r="L470" s="73"/>
      <c r="M470" s="67"/>
      <c r="N470" s="67"/>
      <c r="O470" s="67"/>
      <c r="P470" s="67"/>
      <c r="Q470" s="67"/>
      <c r="R470" s="73"/>
      <c r="S470" s="73"/>
      <c r="T470" s="67"/>
      <c r="U470" s="67"/>
      <c r="V470" s="121">
        <f>(VLOOKUP($A470,Pitchers!$A1:$S251,4,FALSE)-AVERAGE(Rankings!AC2:AC651))/STDEV(Rankings!AC2:AC651)</f>
        <v>1.0443144168982594</v>
      </c>
      <c r="W470" s="121">
        <f>(VLOOKUP($A470,Pitchers!$A1:$S251,5,FALSE)-AVERAGE(Rankings!AD2:AD651))/STDEV(Rankings!AD2:AD651)*-1</f>
        <v>-1.179439715447022</v>
      </c>
      <c r="X470" s="121">
        <f>(VLOOKUP($A470,Pitchers!$A1:$S251,6,FALSE)-AVERAGE(Rankings!AE2:AE651))/STDEV(Rankings!AE2:AE651)*-1</f>
        <v>-0.52110887258741556</v>
      </c>
      <c r="Y470" s="121">
        <f>(VLOOKUP($A470,Pitchers!$A1:$S251,7,FALSE)-AVERAGE(Rankings!AF2:AF651))/STDEV(Rankings!AF2:AF651)</f>
        <v>0.93011051045422211</v>
      </c>
      <c r="Z470" s="121">
        <f>(VLOOKUP($A470,Pitchers!$A1:$S251,8,FALSE)-AVERAGE(Rankings!AG2:AG651))/STDEV(Rankings!AG2:AG651)</f>
        <v>0.695585526663691</v>
      </c>
      <c r="AA470" s="121">
        <f>(VLOOKUP($A470,Pitchers!$A1:$S251,9,FALSE)-AVERAGE(Rankings!AH2:AH651))/STDEV(Rankings!AH2:AH651)</f>
        <v>-0.46414446215037364</v>
      </c>
      <c r="AB470" s="121">
        <f>(VLOOKUP($A470,Pitchers!$A1:$S251,10,FALSE)-AVERAGE(Rankings!AI2:AI651))/STDEV(Rankings!AI2:AI651)*-1</f>
        <v>-1.3819338708521671</v>
      </c>
      <c r="AC470" s="121">
        <f>(VLOOKUP($A470,Pitchers!$A1:$S251,11,FALSE)-AVERAGE(Rankings!AJ2:AJ651))/STDEV(Rankings!AJ2:AJ651)*-1</f>
        <v>-1.2561459185736625</v>
      </c>
      <c r="AD470" s="121">
        <f>(VLOOKUP($A470,Pitchers!$A1:$S251,12,FALSE)-AVERAGE(Rankings!AK2:AK651))/STDEV(Rankings!AK2:AK651)*-1</f>
        <v>-0.65725258423900301</v>
      </c>
      <c r="AE470" s="121">
        <f>IFERROR((VLOOKUP($A470,Pitchers!$A1:$S251,13,FALSE)-AVERAGE(Rankings!AL2:AL651))/STDEV(Rankings!AL2:AL651)*-1,0)</f>
        <v>-0.76452258259647921</v>
      </c>
      <c r="AF470" s="121">
        <f>(VLOOKUP($A470,Pitchers!$A1:$S251,14,FALSE)-AVERAGE(Rankings!AM2:AM651))/STDEV(Rankings!AM2:AM651)</f>
        <v>-0.63130845520618994</v>
      </c>
      <c r="AG470" s="121">
        <f>(VLOOKUP($A470,Pitchers!$A1:$S251,15,FALSE)-AVERAGE(Rankings!AN2:AN651))/STDEV(Rankings!AN2:AN651)</f>
        <v>1.0409878717311534</v>
      </c>
      <c r="AH470" s="121">
        <f>(VLOOKUP($A470,Pitchers!$A1:$S251,16,FALSE)-AVERAGE(Rankings!AO2:AO651))/STDEV(Rankings!AO2:AO651)*-1</f>
        <v>-1.2572864423881414</v>
      </c>
      <c r="AI470" s="121">
        <f>IFERROR((VLOOKUP($A470,Pitchers!$A1:$S251,17,FALSE)-AVERAGE(Rankings!AP2:AP651))/STDEV(Rankings!AP2:AP651),0)</f>
        <v>0.73642852453443552</v>
      </c>
      <c r="AJ470" s="121">
        <f>(VLOOKUP($A470,Pitchers!$A1:$S251,18,FALSE)-AVERAGE(Rankings!AQ2:AQ651))/STDEV(Rankings!AQ2:AQ651)</f>
        <v>-0.68467156957913733</v>
      </c>
      <c r="AK470" s="121">
        <f>IFERROR((VLOOKUP($A470,Pitchers!$A1:$S251,19,FALSE)-AVERAGE(Rankings!AR2:AR651))/STDEV(Rankings!AR2:AR651)*-1,0)</f>
        <v>0.47041511698728217</v>
      </c>
    </row>
    <row r="471" spans="1:37" ht="18.600000000000001" customHeight="1">
      <c r="A471" s="25" t="s">
        <v>319</v>
      </c>
      <c r="B471" s="26" t="s">
        <v>160</v>
      </c>
      <c r="C471" s="130" t="s">
        <v>31</v>
      </c>
      <c r="D471" s="67">
        <f>(V471*Settings!$G$2)+(Y471*Settings!$G$5)+(Z471*Settings!$G$6)+(AA471*Settings!$G$7)+(AB471*Settings!$G$8)+(AC471*Settings!$G$9)+(AD471*Settings!$G$10)+(AE471*Settings!$G$11)+(AF471*Settings!$G$12)+(AG471*Settings!$G$13)+(AH471*Settings!$G$14)+(AI471*Settings!$G$15)+(AJ471*Settings!$G$16)+(AK471*Settings!$G$17)+(W471*Settings!$G$3)+(X471*Settings!$G$4)</f>
        <v>0.34761479297177855</v>
      </c>
      <c r="E471" s="67"/>
      <c r="F471" s="67"/>
      <c r="G471" s="67"/>
      <c r="H471" s="67"/>
      <c r="I471" s="67"/>
      <c r="J471" s="67"/>
      <c r="K471" s="73"/>
      <c r="L471" s="73"/>
      <c r="M471" s="67"/>
      <c r="N471" s="67"/>
      <c r="O471" s="67"/>
      <c r="P471" s="67"/>
      <c r="Q471" s="67"/>
      <c r="R471" s="73"/>
      <c r="S471" s="73"/>
      <c r="T471" s="67"/>
      <c r="U471" s="67"/>
      <c r="V471" s="121">
        <f>(VLOOKUP($A471,Pitchers!$A1:$S251,4,FALSE)-AVERAGE(Rankings!AC2:AC651))/STDEV(Rankings!AC2:AC651)</f>
        <v>1.1339417517670178</v>
      </c>
      <c r="W471" s="121">
        <f>(VLOOKUP($A471,Pitchers!$A1:$S251,5,FALSE)-AVERAGE(Rankings!AD2:AD651))/STDEV(Rankings!AD2:AD651)*-1</f>
        <v>1.140202898361394E-2</v>
      </c>
      <c r="X471" s="121">
        <f>(VLOOKUP($A471,Pitchers!$A1:$S251,6,FALSE)-AVERAGE(Rankings!AE2:AE651))/STDEV(Rankings!AE2:AE651)*-1</f>
        <v>-0.42991106260456602</v>
      </c>
      <c r="Y471" s="121">
        <f>(VLOOKUP($A471,Pitchers!$A1:$S251,7,FALSE)-AVERAGE(Rankings!AF2:AF651))/STDEV(Rankings!AF2:AF651)</f>
        <v>0.56488280578545114</v>
      </c>
      <c r="Z471" s="121">
        <f>(VLOOKUP($A471,Pitchers!$A1:$S251,8,FALSE)-AVERAGE(Rankings!AG2:AG651))/STDEV(Rankings!AG2:AG651)</f>
        <v>0.66538548295765299</v>
      </c>
      <c r="AA471" s="121">
        <f>(VLOOKUP($A471,Pitchers!$A1:$S251,9,FALSE)-AVERAGE(Rankings!AH2:AH651))/STDEV(Rankings!AH2:AH651)</f>
        <v>-0.46414446215037364</v>
      </c>
      <c r="AB471" s="121">
        <f>(VLOOKUP($A471,Pitchers!$A1:$S251,10,FALSE)-AVERAGE(Rankings!AI2:AI651))/STDEV(Rankings!AI2:AI651)*-1</f>
        <v>-0.95594169639432613</v>
      </c>
      <c r="AC471" s="121">
        <f>(VLOOKUP($A471,Pitchers!$A1:$S251,11,FALSE)-AVERAGE(Rankings!AJ2:AJ651))/STDEV(Rankings!AJ2:AJ651)*-1</f>
        <v>-1.3059098020578417</v>
      </c>
      <c r="AD471" s="121">
        <f>(VLOOKUP($A471,Pitchers!$A1:$S251,12,FALSE)-AVERAGE(Rankings!AK2:AK651))/STDEV(Rankings!AK2:AK651)*-1</f>
        <v>-0.76952401639920642</v>
      </c>
      <c r="AE471" s="121">
        <f>IFERROR((VLOOKUP($A471,Pitchers!$A1:$S251,13,FALSE)-AVERAGE(Rankings!AL2:AL651))/STDEV(Rankings!AL2:AL651)*-1,0)</f>
        <v>-0.63151587024496925</v>
      </c>
      <c r="AF471" s="121">
        <f>(VLOOKUP($A471,Pitchers!$A1:$S251,14,FALSE)-AVERAGE(Rankings!AM2:AM651))/STDEV(Rankings!AM2:AM651)</f>
        <v>-0.609506510248502</v>
      </c>
      <c r="AG471" s="121">
        <f>(VLOOKUP($A471,Pitchers!$A1:$S251,15,FALSE)-AVERAGE(Rankings!AN2:AN651))/STDEV(Rankings!AN2:AN651)</f>
        <v>1.0929322338175724</v>
      </c>
      <c r="AH471" s="121">
        <f>(VLOOKUP($A471,Pitchers!$A1:$S251,16,FALSE)-AVERAGE(Rankings!AO2:AO651))/STDEV(Rankings!AO2:AO651)*-1</f>
        <v>-1.4075956528434059</v>
      </c>
      <c r="AI471" s="121">
        <f>IFERROR((VLOOKUP($A471,Pitchers!$A1:$S251,17,FALSE)-AVERAGE(Rankings!AP2:AP651))/STDEV(Rankings!AP2:AP651),0)</f>
        <v>1.0229765885556166</v>
      </c>
      <c r="AJ471" s="121">
        <f>(VLOOKUP($A471,Pitchers!$A1:$S251,18,FALSE)-AVERAGE(Rankings!AQ2:AQ651))/STDEV(Rankings!AQ2:AQ651)</f>
        <v>-0.68467156957913733</v>
      </c>
      <c r="AK471" s="121">
        <f>IFERROR((VLOOKUP($A471,Pitchers!$A1:$S251,19,FALSE)-AVERAGE(Rankings!AR2:AR651))/STDEV(Rankings!AR2:AR651)*-1,0)</f>
        <v>0.47041511698728217</v>
      </c>
    </row>
    <row r="472" spans="1:37" ht="18.600000000000001" customHeight="1">
      <c r="A472" s="25" t="s">
        <v>353</v>
      </c>
      <c r="B472" s="26" t="s">
        <v>97</v>
      </c>
      <c r="C472" s="130" t="s">
        <v>31</v>
      </c>
      <c r="D472" s="67">
        <f>(V472*Settings!$G$2)+(Y472*Settings!$G$5)+(Z472*Settings!$G$6)+(AA472*Settings!$G$7)+(AB472*Settings!$G$8)+(AC472*Settings!$G$9)+(AD472*Settings!$G$10)+(AE472*Settings!$G$11)+(AF472*Settings!$G$12)+(AG472*Settings!$G$13)+(AH472*Settings!$G$14)+(AI472*Settings!$G$15)+(AJ472*Settings!$G$16)+(AK472*Settings!$G$17)+(W472*Settings!$G$3)+(X472*Settings!$G$4)</f>
        <v>-4.5103340141320114E-2</v>
      </c>
      <c r="E472" s="67"/>
      <c r="F472" s="67"/>
      <c r="G472" s="67"/>
      <c r="H472" s="67"/>
      <c r="I472" s="67"/>
      <c r="J472" s="67"/>
      <c r="K472" s="73"/>
      <c r="L472" s="73"/>
      <c r="M472" s="67"/>
      <c r="N472" s="67"/>
      <c r="O472" s="67"/>
      <c r="P472" s="67"/>
      <c r="Q472" s="67"/>
      <c r="R472" s="73"/>
      <c r="S472" s="73"/>
      <c r="T472" s="67"/>
      <c r="U472" s="67"/>
      <c r="V472" s="121">
        <f>(VLOOKUP($A472,Pitchers!$A1:$S251,4,FALSE)-AVERAGE(Rankings!AC2:AC651))/STDEV(Rankings!AC2:AC651)</f>
        <v>0.96350867010713326</v>
      </c>
      <c r="W472" s="121">
        <f>(VLOOKUP($A472,Pitchers!$A1:$S251,5,FALSE)-AVERAGE(Rankings!AD2:AD651))/STDEV(Rankings!AD2:AD651)*-1</f>
        <v>-0.15982475378494601</v>
      </c>
      <c r="X472" s="121">
        <f>(VLOOKUP($A472,Pitchers!$A1:$S251,6,FALSE)-AVERAGE(Rankings!AE2:AE651))/STDEV(Rankings!AE2:AE651)*-1</f>
        <v>-0.71013188253040882</v>
      </c>
      <c r="Y472" s="121">
        <f>(VLOOKUP($A472,Pitchers!$A1:$S251,7,FALSE)-AVERAGE(Rankings!AF2:AF651))/STDEV(Rankings!AF2:AF651)</f>
        <v>0.68904570339650428</v>
      </c>
      <c r="Z472" s="121">
        <f>(VLOOKUP($A472,Pitchers!$A1:$S251,8,FALSE)-AVERAGE(Rankings!AG2:AG651))/STDEV(Rankings!AG2:AG651)</f>
        <v>0.59995205492790393</v>
      </c>
      <c r="AA472" s="121">
        <f>(VLOOKUP($A472,Pitchers!$A1:$S251,9,FALSE)-AVERAGE(Rankings!AH2:AH651))/STDEV(Rankings!AH2:AH651)</f>
        <v>-0.46414446215037364</v>
      </c>
      <c r="AB472" s="121">
        <f>(VLOOKUP($A472,Pitchers!$A1:$S251,10,FALSE)-AVERAGE(Rankings!AI2:AI651))/STDEV(Rankings!AI2:AI651)*-1</f>
        <v>-0.87639852986502575</v>
      </c>
      <c r="AC472" s="121">
        <f>(VLOOKUP($A472,Pitchers!$A1:$S251,11,FALSE)-AVERAGE(Rankings!AJ2:AJ651))/STDEV(Rankings!AJ2:AJ651)*-1</f>
        <v>-1.1107642875377399</v>
      </c>
      <c r="AD472" s="121">
        <f>(VLOOKUP($A472,Pitchers!$A1:$S251,12,FALSE)-AVERAGE(Rankings!AK2:AK651))/STDEV(Rankings!AK2:AK651)*-1</f>
        <v>-1.0184737137979183</v>
      </c>
      <c r="AE472" s="121">
        <f>IFERROR((VLOOKUP($A472,Pitchers!$A1:$S251,13,FALSE)-AVERAGE(Rankings!AL2:AL651))/STDEV(Rankings!AL2:AL651)*-1,0)</f>
        <v>-0.36550244554194927</v>
      </c>
      <c r="AF472" s="121">
        <f>(VLOOKUP($A472,Pitchers!$A1:$S251,14,FALSE)-AVERAGE(Rankings!AM2:AM651))/STDEV(Rankings!AM2:AM651)</f>
        <v>-0.60078573226542686</v>
      </c>
      <c r="AG472" s="121">
        <f>(VLOOKUP($A472,Pitchers!$A1:$S251,15,FALSE)-AVERAGE(Rankings!AN2:AN651))/STDEV(Rankings!AN2:AN651)</f>
        <v>1.0643628346700418</v>
      </c>
      <c r="AH472" s="121">
        <f>(VLOOKUP($A472,Pitchers!$A1:$S251,16,FALSE)-AVERAGE(Rankings!AO2:AO651))/STDEV(Rankings!AO2:AO651)*-1</f>
        <v>-0.88777630001894781</v>
      </c>
      <c r="AI472" s="121">
        <f>IFERROR((VLOOKUP($A472,Pitchers!$A1:$S251,17,FALSE)-AVERAGE(Rankings!AP2:AP651))/STDEV(Rankings!AP2:AP651),0)</f>
        <v>0.87970255654502605</v>
      </c>
      <c r="AJ472" s="121">
        <f>(VLOOKUP($A472,Pitchers!$A1:$S251,18,FALSE)-AVERAGE(Rankings!AQ2:AQ651))/STDEV(Rankings!AQ2:AQ651)</f>
        <v>-0.68467156957913733</v>
      </c>
      <c r="AK472" s="121">
        <f>IFERROR((VLOOKUP($A472,Pitchers!$A1:$S251,19,FALSE)-AVERAGE(Rankings!AR2:AR651))/STDEV(Rankings!AR2:AR651)*-1,0)</f>
        <v>0.47041511698728217</v>
      </c>
    </row>
    <row r="473" spans="1:37" ht="18.600000000000001" customHeight="1">
      <c r="A473" s="25" t="s">
        <v>322</v>
      </c>
      <c r="B473" s="26" t="s">
        <v>125</v>
      </c>
      <c r="C473" s="130" t="s">
        <v>31</v>
      </c>
      <c r="D473" s="67">
        <f>(V473*Settings!$G$2)+(Y473*Settings!$G$5)+(Z473*Settings!$G$6)+(AA473*Settings!$G$7)+(AB473*Settings!$G$8)+(AC473*Settings!$G$9)+(AD473*Settings!$G$10)+(AE473*Settings!$G$11)+(AF473*Settings!$G$12)+(AG473*Settings!$G$13)+(AH473*Settings!$G$14)+(AI473*Settings!$G$15)+(AJ473*Settings!$G$16)+(AK473*Settings!$G$17)+(W473*Settings!$G$3)+(X473*Settings!$G$4)</f>
        <v>0.32656114625587551</v>
      </c>
      <c r="E473" s="67"/>
      <c r="F473" s="67"/>
      <c r="G473" s="67"/>
      <c r="H473" s="67"/>
      <c r="I473" s="67"/>
      <c r="J473" s="67"/>
      <c r="K473" s="73"/>
      <c r="L473" s="73"/>
      <c r="M473" s="67"/>
      <c r="N473" s="67"/>
      <c r="O473" s="67"/>
      <c r="P473" s="67"/>
      <c r="Q473" s="67"/>
      <c r="R473" s="73"/>
      <c r="S473" s="73"/>
      <c r="T473" s="67"/>
      <c r="U473" s="67"/>
      <c r="V473" s="121">
        <f>(VLOOKUP($A473,Pitchers!$A1:$S251,4,FALSE)-AVERAGE(Rankings!AC2:AC651))/STDEV(Rankings!AC2:AC651)</f>
        <v>1.449401741423203</v>
      </c>
      <c r="W473" s="121">
        <f>(VLOOKUP($A473,Pitchers!$A1:$S251,5,FALSE)-AVERAGE(Rankings!AD2:AD651))/STDEV(Rankings!AD2:AD651)*-1</f>
        <v>-0.50562269940624427</v>
      </c>
      <c r="X473" s="121">
        <f>(VLOOKUP($A473,Pitchers!$A1:$S251,6,FALSE)-AVERAGE(Rankings!AE2:AE651))/STDEV(Rankings!AE2:AE651)*-1</f>
        <v>-0.72009980394648365</v>
      </c>
      <c r="Y473" s="121">
        <f>(VLOOKUP($A473,Pitchers!$A1:$S251,7,FALSE)-AVERAGE(Rankings!AF2:AF651))/STDEV(Rankings!AF2:AF651)</f>
        <v>0.51550808626760503</v>
      </c>
      <c r="Z473" s="121">
        <f>(VLOOKUP($A473,Pitchers!$A1:$S251,8,FALSE)-AVERAGE(Rankings!AG2:AG651))/STDEV(Rankings!AG2:AG651)</f>
        <v>1.5009200254913722</v>
      </c>
      <c r="AA473" s="121">
        <f>(VLOOKUP($A473,Pitchers!$A1:$S251,9,FALSE)-AVERAGE(Rankings!AH2:AH651))/STDEV(Rankings!AH2:AH651)</f>
        <v>-0.46414446215037364</v>
      </c>
      <c r="AB473" s="121">
        <f>(VLOOKUP($A473,Pitchers!$A1:$S251,10,FALSE)-AVERAGE(Rankings!AI2:AI651))/STDEV(Rankings!AI2:AI651)*-1</f>
        <v>-1.4796321607218341</v>
      </c>
      <c r="AC473" s="121">
        <f>(VLOOKUP($A473,Pitchers!$A1:$S251,11,FALSE)-AVERAGE(Rankings!AJ2:AJ651))/STDEV(Rankings!AJ2:AJ651)*-1</f>
        <v>-1.7054426951736779</v>
      </c>
      <c r="AD473" s="121">
        <f>(VLOOKUP($A473,Pitchers!$A1:$S251,12,FALSE)-AVERAGE(Rankings!AK2:AK651))/STDEV(Rankings!AK2:AK651)*-1</f>
        <v>-1.1502706124207656</v>
      </c>
      <c r="AE473" s="121">
        <f>IFERROR((VLOOKUP($A473,Pitchers!$A1:$S251,13,FALSE)-AVERAGE(Rankings!AL2:AL651))/STDEV(Rankings!AL2:AL651)*-1,0)</f>
        <v>-0.89752929494798916</v>
      </c>
      <c r="AF473" s="121">
        <f>(VLOOKUP($A473,Pitchers!$A1:$S251,14,FALSE)-AVERAGE(Rankings!AM2:AM651))/STDEV(Rankings!AM2:AM651)</f>
        <v>-0.63130845520618994</v>
      </c>
      <c r="AG473" s="121">
        <f>(VLOOKUP($A473,Pitchers!$A1:$S251,15,FALSE)-AVERAGE(Rankings!AN2:AN651))/STDEV(Rankings!AN2:AN651)</f>
        <v>1.066960052774363</v>
      </c>
      <c r="AH473" s="121">
        <f>(VLOOKUP($A473,Pitchers!$A1:$S251,16,FALSE)-AVERAGE(Rankings!AO2:AO651))/STDEV(Rankings!AO2:AO651)*-1</f>
        <v>-1.3950698853054679</v>
      </c>
      <c r="AI473" s="121">
        <f>IFERROR((VLOOKUP($A473,Pitchers!$A1:$S251,17,FALSE)-AVERAGE(Rankings!AP2:AP651))/STDEV(Rankings!AP2:AP651),0)</f>
        <v>0.87970255654502605</v>
      </c>
      <c r="AJ473" s="121">
        <f>(VLOOKUP($A473,Pitchers!$A1:$S251,18,FALSE)-AVERAGE(Rankings!AQ2:AQ651))/STDEV(Rankings!AQ2:AQ651)</f>
        <v>-0.68467156957913733</v>
      </c>
      <c r="AK473" s="121">
        <f>IFERROR((VLOOKUP($A473,Pitchers!$A1:$S251,19,FALSE)-AVERAGE(Rankings!AR2:AR651))/STDEV(Rankings!AR2:AR651)*-1,0)</f>
        <v>0.47041511698728217</v>
      </c>
    </row>
    <row r="474" spans="1:37" ht="18.600000000000001" customHeight="1">
      <c r="A474" s="25" t="s">
        <v>336</v>
      </c>
      <c r="B474" s="26" t="s">
        <v>160</v>
      </c>
      <c r="C474" s="130" t="s">
        <v>31</v>
      </c>
      <c r="D474" s="67">
        <f>(V474*Settings!$G$2)+(Y474*Settings!$G$5)+(Z474*Settings!$G$6)+(AA474*Settings!$G$7)+(AB474*Settings!$G$8)+(AC474*Settings!$G$9)+(AD474*Settings!$G$10)+(AE474*Settings!$G$11)+(AF474*Settings!$G$12)+(AG474*Settings!$G$13)+(AH474*Settings!$G$14)+(AI474*Settings!$G$15)+(AJ474*Settings!$G$16)+(AK474*Settings!$G$17)+(W474*Settings!$G$3)+(X474*Settings!$G$4)</f>
        <v>0.15108929836442136</v>
      </c>
      <c r="E474" s="67"/>
      <c r="F474" s="67"/>
      <c r="G474" s="67"/>
      <c r="H474" s="67"/>
      <c r="I474" s="67"/>
      <c r="J474" s="67"/>
      <c r="K474" s="73"/>
      <c r="L474" s="73"/>
      <c r="M474" s="67"/>
      <c r="N474" s="67"/>
      <c r="O474" s="67"/>
      <c r="P474" s="67"/>
      <c r="Q474" s="67"/>
      <c r="R474" s="73"/>
      <c r="S474" s="73"/>
      <c r="T474" s="67"/>
      <c r="U474" s="67"/>
      <c r="V474" s="121">
        <f>(VLOOKUP($A474,Pitchers!$A1:$S251,4,FALSE)-AVERAGE(Rankings!AC2:AC651))/STDEV(Rankings!AC2:AC651)</f>
        <v>0.6229953703104687</v>
      </c>
      <c r="W474" s="121">
        <f>(VLOOKUP($A474,Pitchers!$A1:$S251,5,FALSE)-AVERAGE(Rankings!AD2:AD651))/STDEV(Rankings!AD2:AD651)*-1</f>
        <v>0.24522744887922221</v>
      </c>
      <c r="X474" s="121">
        <f>(VLOOKUP($A474,Pitchers!$A1:$S251,6,FALSE)-AVERAGE(Rankings!AE2:AE651))/STDEV(Rankings!AE2:AE651)*-1</f>
        <v>-0.38184786294159839</v>
      </c>
      <c r="Y474" s="121">
        <f>(VLOOKUP($A474,Pitchers!$A1:$S251,7,FALSE)-AVERAGE(Rankings!AF2:AF651))/STDEV(Rankings!AF2:AF651)</f>
        <v>0.53946934721008888</v>
      </c>
      <c r="Z474" s="121">
        <f>(VLOOKUP($A474,Pitchers!$A1:$S251,8,FALSE)-AVERAGE(Rankings!AG2:AG651))/STDEV(Rankings!AG2:AG651)</f>
        <v>0.21238482736708231</v>
      </c>
      <c r="AA474" s="121">
        <f>(VLOOKUP($A474,Pitchers!$A1:$S251,9,FALSE)-AVERAGE(Rankings!AH2:AH651))/STDEV(Rankings!AH2:AH651)</f>
        <v>-0.46414446215037364</v>
      </c>
      <c r="AB474" s="121">
        <f>(VLOOKUP($A474,Pitchers!$A1:$S251,10,FALSE)-AVERAGE(Rankings!AI2:AI651))/STDEV(Rankings!AI2:AI651)*-1</f>
        <v>-0.41786528652498939</v>
      </c>
      <c r="AC474" s="121">
        <f>(VLOOKUP($A474,Pitchers!$A1:$S251,11,FALSE)-AVERAGE(Rankings!AJ2:AJ651))/STDEV(Rankings!AJ2:AJ651)*-1</f>
        <v>-0.45565830709958494</v>
      </c>
      <c r="AD474" s="121">
        <f>(VLOOKUP($A474,Pitchers!$A1:$S251,12,FALSE)-AVERAGE(Rankings!AK2:AK651))/STDEV(Rankings!AK2:AK651)*-1</f>
        <v>-1.4163050929742911</v>
      </c>
      <c r="AE474" s="121">
        <f>IFERROR((VLOOKUP($A474,Pitchers!$A1:$S251,13,FALSE)-AVERAGE(Rankings!AL2:AL651))/STDEV(Rankings!AL2:AL651)*-1,0)</f>
        <v>3.3517691512580598E-2</v>
      </c>
      <c r="AF474" s="121">
        <f>(VLOOKUP($A474,Pitchers!$A1:$S251,14,FALSE)-AVERAGE(Rankings!AM2:AM651))/STDEV(Rankings!AM2:AM651)</f>
        <v>-0.75993993045654884</v>
      </c>
      <c r="AG474" s="121">
        <f>(VLOOKUP($A474,Pitchers!$A1:$S251,15,FALSE)-AVERAGE(Rankings!AN2:AN651))/STDEV(Rankings!AN2:AN651)</f>
        <v>0.75789109836017043</v>
      </c>
      <c r="AH474" s="121">
        <f>(VLOOKUP($A474,Pitchers!$A1:$S251,16,FALSE)-AVERAGE(Rankings!AO2:AO651))/STDEV(Rankings!AO2:AO651)*-1</f>
        <v>-0.65604960056708095</v>
      </c>
      <c r="AI474" s="121">
        <f>IFERROR((VLOOKUP($A474,Pitchers!$A1:$S251,17,FALSE)-AVERAGE(Rankings!AP2:AP651))/STDEV(Rankings!AP2:AP651),0)</f>
        <v>0.59315449252384489</v>
      </c>
      <c r="AJ474" s="121">
        <f>(VLOOKUP($A474,Pitchers!$A1:$S251,18,FALSE)-AVERAGE(Rankings!AQ2:AQ651))/STDEV(Rankings!AQ2:AQ651)</f>
        <v>-0.60435400698013797</v>
      </c>
      <c r="AK474" s="121">
        <f>IFERROR((VLOOKUP($A474,Pitchers!$A1:$S251,19,FALSE)-AVERAGE(Rankings!AR2:AR651))/STDEV(Rankings!AR2:AR651)*-1,0)</f>
        <v>0.47041511698728217</v>
      </c>
    </row>
    <row r="475" spans="1:37" ht="18.600000000000001" customHeight="1">
      <c r="A475" s="25" t="s">
        <v>348</v>
      </c>
      <c r="B475" s="26" t="s">
        <v>160</v>
      </c>
      <c r="C475" s="130" t="s">
        <v>31</v>
      </c>
      <c r="D475" s="67">
        <f>(V475*Settings!$G$2)+(Y475*Settings!$G$5)+(Z475*Settings!$G$6)+(AA475*Settings!$G$7)+(AB475*Settings!$G$8)+(AC475*Settings!$G$9)+(AD475*Settings!$G$10)+(AE475*Settings!$G$11)+(AF475*Settings!$G$12)+(AG475*Settings!$G$13)+(AH475*Settings!$G$14)+(AI475*Settings!$G$15)+(AJ475*Settings!$G$16)+(AK475*Settings!$G$17)+(W475*Settings!$G$3)+(X475*Settings!$G$4)</f>
        <v>-2.464266258046216E-3</v>
      </c>
      <c r="E475" s="67"/>
      <c r="F475" s="67"/>
      <c r="G475" s="67"/>
      <c r="H475" s="67"/>
      <c r="I475" s="67"/>
      <c r="J475" s="67"/>
      <c r="K475" s="73"/>
      <c r="L475" s="73"/>
      <c r="M475" s="67"/>
      <c r="N475" s="67"/>
      <c r="O475" s="67"/>
      <c r="P475" s="67"/>
      <c r="Q475" s="67"/>
      <c r="R475" s="73"/>
      <c r="S475" s="73"/>
      <c r="T475" s="67"/>
      <c r="U475" s="67"/>
      <c r="V475" s="121">
        <f>(VLOOKUP($A475,Pitchers!$A1:$S251,4,FALSE)-AVERAGE(Rankings!AC2:AC651))/STDEV(Rankings!AC2:AC651)</f>
        <v>1.0365514193899414</v>
      </c>
      <c r="W475" s="121">
        <f>(VLOOKUP($A475,Pitchers!$A1:$S251,5,FALSE)-AVERAGE(Rankings!AD2:AD651))/STDEV(Rankings!AD2:AD651)*-1</f>
        <v>-1.0099907266505721</v>
      </c>
      <c r="X475" s="121">
        <f>(VLOOKUP($A475,Pitchers!$A1:$S251,6,FALSE)-AVERAGE(Rankings!AE2:AE651))/STDEV(Rankings!AE2:AE651)*-1</f>
        <v>-8.8619550517305662E-2</v>
      </c>
      <c r="Y475" s="121">
        <f>(VLOOKUP($A475,Pitchers!$A1:$S251,7,FALSE)-AVERAGE(Rankings!AF2:AF651))/STDEV(Rankings!AF2:AF651)</f>
        <v>0.56270450933613392</v>
      </c>
      <c r="Z475" s="121">
        <f>(VLOOKUP($A475,Pitchers!$A1:$S251,8,FALSE)-AVERAGE(Rankings!AG2:AG651))/STDEV(Rankings!AG2:AG651)</f>
        <v>0.99758596372407127</v>
      </c>
      <c r="AA475" s="121">
        <f>(VLOOKUP($A475,Pitchers!$A1:$S251,9,FALSE)-AVERAGE(Rankings!AH2:AH651))/STDEV(Rankings!AH2:AH651)</f>
        <v>-0.46414446215037364</v>
      </c>
      <c r="AB475" s="121">
        <f>(VLOOKUP($A475,Pitchers!$A1:$S251,10,FALSE)-AVERAGE(Rankings!AI2:AI651))/STDEV(Rankings!AI2:AI651)*-1</f>
        <v>-1.3022255212320943</v>
      </c>
      <c r="AC475" s="121">
        <f>(VLOOKUP($A475,Pitchers!$A1:$S251,11,FALSE)-AVERAGE(Rankings!AJ2:AJ651))/STDEV(Rankings!AJ2:AJ651)*-1</f>
        <v>-1.21633481178632</v>
      </c>
      <c r="AD475" s="121">
        <f>(VLOOKUP($A475,Pitchers!$A1:$S251,12,FALSE)-AVERAGE(Rankings!AK2:AK651))/STDEV(Rankings!AK2:AK651)*-1</f>
        <v>-0.25453983844696842</v>
      </c>
      <c r="AE475" s="121">
        <f>IFERROR((VLOOKUP($A475,Pitchers!$A1:$S251,13,FALSE)-AVERAGE(Rankings!AL2:AL651))/STDEV(Rankings!AL2:AL651)*-1,0)</f>
        <v>-1.562562856705539</v>
      </c>
      <c r="AF475" s="121">
        <f>(VLOOKUP($A475,Pitchers!$A1:$S251,14,FALSE)-AVERAGE(Rankings!AM2:AM651))/STDEV(Rankings!AM2:AM651)</f>
        <v>-0.64438962218080265</v>
      </c>
      <c r="AG475" s="121">
        <f>(VLOOKUP($A475,Pitchers!$A1:$S251,15,FALSE)-AVERAGE(Rankings!AN2:AN651))/STDEV(Rankings!AN2:AN651)</f>
        <v>1.0513767441484374</v>
      </c>
      <c r="AH475" s="121">
        <f>(VLOOKUP($A475,Pitchers!$A1:$S251,16,FALSE)-AVERAGE(Rankings!AO2:AO651))/STDEV(Rankings!AO2:AO651)*-1</f>
        <v>-1.0443483942431826</v>
      </c>
      <c r="AI475" s="121">
        <f>IFERROR((VLOOKUP($A475,Pitchers!$A1:$S251,17,FALSE)-AVERAGE(Rankings!AP2:AP651))/STDEV(Rankings!AP2:AP651),0)</f>
        <v>0.87970255654502605</v>
      </c>
      <c r="AJ475" s="121">
        <f>(VLOOKUP($A475,Pitchers!$A1:$S251,18,FALSE)-AVERAGE(Rankings!AQ2:AQ651))/STDEV(Rankings!AQ2:AQ651)</f>
        <v>-0.68467156957913733</v>
      </c>
      <c r="AK475" s="121">
        <f>IFERROR((VLOOKUP($A475,Pitchers!$A1:$S251,19,FALSE)-AVERAGE(Rankings!AR2:AR651))/STDEV(Rankings!AR2:AR651)*-1,0)</f>
        <v>0.47041511698728217</v>
      </c>
    </row>
    <row r="476" spans="1:37" ht="18.600000000000001" customHeight="1">
      <c r="A476" s="25" t="s">
        <v>364</v>
      </c>
      <c r="B476" s="26" t="s">
        <v>97</v>
      </c>
      <c r="C476" s="130" t="s">
        <v>31</v>
      </c>
      <c r="D476" s="67">
        <f>(V476*Settings!$G$2)+(Y476*Settings!$G$5)+(Z476*Settings!$G$6)+(AA476*Settings!$G$7)+(AB476*Settings!$G$8)+(AC476*Settings!$G$9)+(AD476*Settings!$G$10)+(AE476*Settings!$G$11)+(AF476*Settings!$G$12)+(AG476*Settings!$G$13)+(AH476*Settings!$G$14)+(AI476*Settings!$G$15)+(AJ476*Settings!$G$16)+(AK476*Settings!$G$17)+(W476*Settings!$G$3)+(X476*Settings!$G$4)</f>
        <v>-0.32797621438513069</v>
      </c>
      <c r="E476" s="67"/>
      <c r="F476" s="67"/>
      <c r="G476" s="67"/>
      <c r="H476" s="67"/>
      <c r="I476" s="67"/>
      <c r="J476" s="67"/>
      <c r="K476" s="73"/>
      <c r="L476" s="73"/>
      <c r="M476" s="67"/>
      <c r="N476" s="67"/>
      <c r="O476" s="67"/>
      <c r="P476" s="67"/>
      <c r="Q476" s="67"/>
      <c r="R476" s="73"/>
      <c r="S476" s="73"/>
      <c r="T476" s="67"/>
      <c r="U476" s="67"/>
      <c r="V476" s="121">
        <f>(VLOOKUP($A476,Pitchers!$A1:$S251,4,FALSE)-AVERAGE(Rankings!AC2:AC651))/STDEV(Rankings!AC2:AC651)</f>
        <v>0.63993281941952584</v>
      </c>
      <c r="W476" s="121">
        <f>(VLOOKUP($A476,Pitchers!$A1:$S251,5,FALSE)-AVERAGE(Rankings!AD2:AD651))/STDEV(Rankings!AD2:AD651)*-1</f>
        <v>-0.59076262489777898</v>
      </c>
      <c r="X476" s="121">
        <f>(VLOOKUP($A476,Pitchers!$A1:$S251,6,FALSE)-AVERAGE(Rankings!AE2:AE651))/STDEV(Rankings!AE2:AE651)*-1</f>
        <v>-0.75728144560784805</v>
      </c>
      <c r="Y476" s="121">
        <f>(VLOOKUP($A476,Pitchers!$A1:$S251,7,FALSE)-AVERAGE(Rankings!AF2:AF651))/STDEV(Rankings!AF2:AF651)</f>
        <v>0.57722648566491253</v>
      </c>
      <c r="Z476" s="121">
        <f>(VLOOKUP($A476,Pitchers!$A1:$S251,8,FALSE)-AVERAGE(Rankings!AG2:AG651))/STDEV(Rankings!AG2:AG651)</f>
        <v>0.90698583260595744</v>
      </c>
      <c r="AA476" s="121">
        <f>(VLOOKUP($A476,Pitchers!$A1:$S251,9,FALSE)-AVERAGE(Rankings!AH2:AH651))/STDEV(Rankings!AH2:AH651)</f>
        <v>-0.46414446215037364</v>
      </c>
      <c r="AB476" s="121">
        <f>(VLOOKUP($A476,Pitchers!$A1:$S251,10,FALSE)-AVERAGE(Rankings!AI2:AI651))/STDEV(Rankings!AI2:AI651)*-1</f>
        <v>-0.74513803927929634</v>
      </c>
      <c r="AC476" s="121">
        <f>(VLOOKUP($A476,Pitchers!$A1:$S251,11,FALSE)-AVERAGE(Rankings!AJ2:AJ651))/STDEV(Rankings!AJ2:AJ651)*-1</f>
        <v>-0.86940945263947234</v>
      </c>
      <c r="AD476" s="121">
        <f>(VLOOKUP($A476,Pitchers!$A1:$S251,12,FALSE)-AVERAGE(Rankings!AK2:AK651))/STDEV(Rankings!AK2:AK651)*-1</f>
        <v>-0.45711655299690068</v>
      </c>
      <c r="AE476" s="121">
        <f>IFERROR((VLOOKUP($A476,Pitchers!$A1:$S251,13,FALSE)-AVERAGE(Rankings!AL2:AL651))/STDEV(Rankings!AL2:AL651)*-1,0)</f>
        <v>-0.49850915789345923</v>
      </c>
      <c r="AF476" s="121">
        <f>(VLOOKUP($A476,Pitchers!$A1:$S251,14,FALSE)-AVERAGE(Rankings!AM2:AM651))/STDEV(Rankings!AM2:AM651)</f>
        <v>-0.81880518184230644</v>
      </c>
      <c r="AG476" s="121">
        <f>(VLOOKUP($A476,Pitchers!$A1:$S251,15,FALSE)-AVERAGE(Rankings!AN2:AN651))/STDEV(Rankings!AN2:AN651)</f>
        <v>0.8435992958027615</v>
      </c>
      <c r="AH476" s="121">
        <f>(VLOOKUP($A476,Pitchers!$A1:$S251,16,FALSE)-AVERAGE(Rankings!AO2:AO651))/STDEV(Rankings!AO2:AO651)*-1</f>
        <v>-0.79383304348440709</v>
      </c>
      <c r="AI476" s="121">
        <f>IFERROR((VLOOKUP($A476,Pitchers!$A1:$S251,17,FALSE)-AVERAGE(Rankings!AP2:AP651))/STDEV(Rankings!AP2:AP651),0)</f>
        <v>0.59315449252384489</v>
      </c>
      <c r="AJ476" s="121">
        <f>(VLOOKUP($A476,Pitchers!$A1:$S251,18,FALSE)-AVERAGE(Rankings!AQ2:AQ651))/STDEV(Rankings!AQ2:AQ651)</f>
        <v>-0.68467156957913733</v>
      </c>
      <c r="AK476" s="121">
        <f>IFERROR((VLOOKUP($A476,Pitchers!$A1:$S251,19,FALSE)-AVERAGE(Rankings!AR2:AR651))/STDEV(Rankings!AR2:AR651)*-1,0)</f>
        <v>0.47041511698728217</v>
      </c>
    </row>
    <row r="477" spans="1:37" ht="18.600000000000001" customHeight="1">
      <c r="A477" s="25" t="s">
        <v>392</v>
      </c>
      <c r="B477" s="26" t="s">
        <v>99</v>
      </c>
      <c r="C477" s="130" t="s">
        <v>31</v>
      </c>
      <c r="D477" s="67">
        <f>(V477*Settings!$G$2)+(Y477*Settings!$G$5)+(Z477*Settings!$G$6)+(AA477*Settings!$G$7)+(AB477*Settings!$G$8)+(AC477*Settings!$G$9)+(AD477*Settings!$G$10)+(AE477*Settings!$G$11)+(AF477*Settings!$G$12)+(AG477*Settings!$G$13)+(AH477*Settings!$G$14)+(AI477*Settings!$G$15)+(AJ477*Settings!$G$16)+(AK477*Settings!$G$17)+(W477*Settings!$G$3)+(X477*Settings!$G$4)</f>
        <v>-0.66376604031612574</v>
      </c>
      <c r="E477" s="67"/>
      <c r="F477" s="67"/>
      <c r="G477" s="67"/>
      <c r="H477" s="67"/>
      <c r="I477" s="67"/>
      <c r="J477" s="67"/>
      <c r="K477" s="73"/>
      <c r="L477" s="73"/>
      <c r="M477" s="67"/>
      <c r="N477" s="67"/>
      <c r="O477" s="67"/>
      <c r="P477" s="67"/>
      <c r="Q477" s="67"/>
      <c r="R477" s="73"/>
      <c r="S477" s="73"/>
      <c r="T477" s="67"/>
      <c r="U477" s="67"/>
      <c r="V477" s="121">
        <f>(VLOOKUP($A477,Pitchers!$A1:$S251,4,FALSE)-AVERAGE(Rankings!AC2:AC651))/STDEV(Rankings!AC2:AC651)</f>
        <v>0.72744297314965289</v>
      </c>
      <c r="W477" s="121">
        <f>(VLOOKUP($A477,Pitchers!$A1:$S251,5,FALSE)-AVERAGE(Rankings!AD2:AD651))/STDEV(Rankings!AD2:AD651)*-1</f>
        <v>-0.91510679295491248</v>
      </c>
      <c r="X477" s="121">
        <f>(VLOOKUP($A477,Pitchers!$A1:$S251,6,FALSE)-AVERAGE(Rankings!AE2:AE651))/STDEV(Rankings!AE2:AE651)*-1</f>
        <v>-0.66086282170581101</v>
      </c>
      <c r="Y477" s="121">
        <f>(VLOOKUP($A477,Pitchers!$A1:$S251,7,FALSE)-AVERAGE(Rankings!AF2:AF651))/STDEV(Rankings!AF2:AF651)</f>
        <v>0.65056246612524249</v>
      </c>
      <c r="Z477" s="121">
        <f>(VLOOKUP($A477,Pitchers!$A1:$S251,8,FALSE)-AVERAGE(Rankings!AG2:AG651))/STDEV(Rankings!AG2:AG651)</f>
        <v>0.72578557036972891</v>
      </c>
      <c r="AA477" s="121">
        <f>(VLOOKUP($A477,Pitchers!$A1:$S251,9,FALSE)-AVERAGE(Rankings!AH2:AH651))/STDEV(Rankings!AH2:AH651)</f>
        <v>-0.46414446215037364</v>
      </c>
      <c r="AB477" s="121">
        <f>(VLOOKUP($A477,Pitchers!$A1:$S251,10,FALSE)-AVERAGE(Rankings!AI2:AI651))/STDEV(Rankings!AI2:AI651)*-1</f>
        <v>-0.95377929956966701</v>
      </c>
      <c r="AC477" s="121">
        <f>(VLOOKUP($A477,Pitchers!$A1:$S251,11,FALSE)-AVERAGE(Rankings!AJ2:AJ651))/STDEV(Rankings!AJ2:AJ651)*-1</f>
        <v>-0.67390848180876961</v>
      </c>
      <c r="AD477" s="121">
        <f>(VLOOKUP($A477,Pitchers!$A1:$S251,12,FALSE)-AVERAGE(Rankings!AK2:AK651))/STDEV(Rankings!AK2:AK651)*-1</f>
        <v>-1.4163050929742911</v>
      </c>
      <c r="AE477" s="121">
        <f>IFERROR((VLOOKUP($A477,Pitchers!$A1:$S251,13,FALSE)-AVERAGE(Rankings!AL2:AL651))/STDEV(Rankings!AL2:AL651)*-1,0)</f>
        <v>-1.1635427196510091</v>
      </c>
      <c r="AF477" s="121">
        <f>(VLOOKUP($A477,Pitchers!$A1:$S251,14,FALSE)-AVERAGE(Rankings!AM2:AM651))/STDEV(Rankings!AM2:AM651)</f>
        <v>-0.81880518184230644</v>
      </c>
      <c r="AG477" s="121">
        <f>(VLOOKUP($A477,Pitchers!$A1:$S251,15,FALSE)-AVERAGE(Rankings!AN2:AN651))/STDEV(Rankings!AN2:AN651)</f>
        <v>0.79165493371634277</v>
      </c>
      <c r="AH477" s="121">
        <f>(VLOOKUP($A477,Pitchers!$A1:$S251,16,FALSE)-AVERAGE(Rankings!AO2:AO651))/STDEV(Rankings!AO2:AO651)*-1</f>
        <v>-0.74372997333265201</v>
      </c>
      <c r="AI477" s="121">
        <f>IFERROR((VLOOKUP($A477,Pitchers!$A1:$S251,17,FALSE)-AVERAGE(Rankings!AP2:AP651))/STDEV(Rankings!AP2:AP651),0)</f>
        <v>0.59315449252384489</v>
      </c>
      <c r="AJ477" s="121">
        <f>(VLOOKUP($A477,Pitchers!$A1:$S251,18,FALSE)-AVERAGE(Rankings!AQ2:AQ651))/STDEV(Rankings!AQ2:AQ651)</f>
        <v>-0.60435400698013797</v>
      </c>
      <c r="AK477" s="121">
        <f>IFERROR((VLOOKUP($A477,Pitchers!$A1:$S251,19,FALSE)-AVERAGE(Rankings!AR2:AR651))/STDEV(Rankings!AR2:AR651)*-1,0)</f>
        <v>0.47041511698728217</v>
      </c>
    </row>
    <row r="478" spans="1:37" ht="18.600000000000001" customHeight="1">
      <c r="A478" s="25" t="s">
        <v>439</v>
      </c>
      <c r="B478" s="26" t="s">
        <v>178</v>
      </c>
      <c r="C478" s="130" t="s">
        <v>31</v>
      </c>
      <c r="D478" s="67">
        <f>(V478*Settings!$G$2)+(Y478*Settings!$G$5)+(Z478*Settings!$G$6)+(AA478*Settings!$G$7)+(AB478*Settings!$G$8)+(AC478*Settings!$G$9)+(AD478*Settings!$G$10)+(AE478*Settings!$G$11)+(AF478*Settings!$G$12)+(AG478*Settings!$G$13)+(AH478*Settings!$G$14)+(AI478*Settings!$G$15)+(AJ478*Settings!$G$16)+(AK478*Settings!$G$17)+(W478*Settings!$G$3)+(X478*Settings!$G$4)</f>
        <v>-1.6065915602978549</v>
      </c>
      <c r="E478" s="67"/>
      <c r="F478" s="67"/>
      <c r="G478" s="67"/>
      <c r="H478" s="67"/>
      <c r="I478" s="67"/>
      <c r="J478" s="67"/>
      <c r="K478" s="73"/>
      <c r="L478" s="73"/>
      <c r="M478" s="67"/>
      <c r="N478" s="67"/>
      <c r="O478" s="67"/>
      <c r="P478" s="67"/>
      <c r="Q478" s="67"/>
      <c r="R478" s="73"/>
      <c r="S478" s="73"/>
      <c r="T478" s="67"/>
      <c r="U478" s="67"/>
      <c r="V478" s="121">
        <f>(VLOOKUP($A478,Pitchers!$A1:$S251,4,FALSE)-AVERAGE(Rankings!AC2:AC651))/STDEV(Rankings!AC2:AC651)</f>
        <v>1.5333832599222761</v>
      </c>
      <c r="W478" s="121">
        <f>(VLOOKUP($A478,Pitchers!$A1:$S251,5,FALSE)-AVERAGE(Rankings!AD2:AD651))/STDEV(Rankings!AD2:AD651)*-1</f>
        <v>-1.8477307952946547</v>
      </c>
      <c r="X478" s="121">
        <f>(VLOOKUP($A478,Pitchers!$A1:$S251,6,FALSE)-AVERAGE(Rankings!AE2:AE651))/STDEV(Rankings!AE2:AE651)*-1</f>
        <v>-1.4130171404282068</v>
      </c>
      <c r="Y478" s="121">
        <f>(VLOOKUP($A478,Pitchers!$A1:$S251,7,FALSE)-AVERAGE(Rankings!AF2:AF651))/STDEV(Rankings!AF2:AF651)</f>
        <v>1.0099813802625026</v>
      </c>
      <c r="Z478" s="121">
        <f>(VLOOKUP($A478,Pitchers!$A1:$S251,8,FALSE)-AVERAGE(Rankings!AG2:AG651))/STDEV(Rankings!AG2:AG651)</f>
        <v>1.1083194573128774</v>
      </c>
      <c r="AA478" s="121">
        <f>(VLOOKUP($A478,Pitchers!$A1:$S251,9,FALSE)-AVERAGE(Rankings!AH2:AH651))/STDEV(Rankings!AH2:AH651)</f>
        <v>-0.46414446215037364</v>
      </c>
      <c r="AB478" s="121">
        <f>(VLOOKUP($A478,Pitchers!$A1:$S251,10,FALSE)-AVERAGE(Rankings!AI2:AI651))/STDEV(Rankings!AI2:AI651)*-1</f>
        <v>-2.2095612222012022</v>
      </c>
      <c r="AC478" s="121">
        <f>(VLOOKUP($A478,Pitchers!$A1:$S251,11,FALSE)-AVERAGE(Rankings!AJ2:AJ651))/STDEV(Rankings!AJ2:AJ651)*-1</f>
        <v>-1.8625543844594428</v>
      </c>
      <c r="AD478" s="121">
        <f>(VLOOKUP($A478,Pitchers!$A1:$S251,12,FALSE)-AVERAGE(Rankings!AK2:AK651))/STDEV(Rankings!AK2:AK651)*-1</f>
        <v>-1.9117638044638845</v>
      </c>
      <c r="AE478" s="121">
        <f>IFERROR((VLOOKUP($A478,Pitchers!$A1:$S251,13,FALSE)-AVERAGE(Rankings!AL2:AL651))/STDEV(Rankings!AL2:AL651)*-1,0)</f>
        <v>-1.6955695690570489</v>
      </c>
      <c r="AF478" s="121">
        <f>(VLOOKUP($A478,Pitchers!$A1:$S251,14,FALSE)-AVERAGE(Rankings!AM2:AM651))/STDEV(Rankings!AM2:AM651)</f>
        <v>-0.52229873041775021</v>
      </c>
      <c r="AG478" s="121">
        <f>(VLOOKUP($A478,Pitchers!$A1:$S251,15,FALSE)-AVERAGE(Rankings!AN2:AN651))/STDEV(Rankings!AN2:AN651)</f>
        <v>1.1708487769472007</v>
      </c>
      <c r="AH478" s="121">
        <f>(VLOOKUP($A478,Pitchers!$A1:$S251,16,FALSE)-AVERAGE(Rankings!AO2:AO651))/STDEV(Rankings!AO2:AO651)*-1</f>
        <v>-2.07146133235416</v>
      </c>
      <c r="AI478" s="121">
        <f>IFERROR((VLOOKUP($A478,Pitchers!$A1:$S251,17,FALSE)-AVERAGE(Rankings!AP2:AP651))/STDEV(Rankings!AP2:AP651),0)</f>
        <v>0.87970255654502605</v>
      </c>
      <c r="AJ478" s="121">
        <f>(VLOOKUP($A478,Pitchers!$A1:$S251,18,FALSE)-AVERAGE(Rankings!AQ2:AQ651))/STDEV(Rankings!AQ2:AQ651)</f>
        <v>-0.68467156957913733</v>
      </c>
      <c r="AK478" s="121">
        <f>IFERROR((VLOOKUP($A478,Pitchers!$A1:$S251,19,FALSE)-AVERAGE(Rankings!AR2:AR651))/STDEV(Rankings!AR2:AR651)*-1,0)</f>
        <v>0.47041511698728217</v>
      </c>
    </row>
    <row r="479" spans="1:37" ht="18.600000000000001" customHeight="1">
      <c r="A479" s="25" t="s">
        <v>338</v>
      </c>
      <c r="B479" s="26" t="s">
        <v>79</v>
      </c>
      <c r="C479" s="130" t="s">
        <v>31</v>
      </c>
      <c r="D479" s="67">
        <f>(V479*Settings!$G$2)+(Y479*Settings!$G$5)+(Z479*Settings!$G$6)+(AA479*Settings!$G$7)+(AB479*Settings!$G$8)+(AC479*Settings!$G$9)+(AD479*Settings!$G$10)+(AE479*Settings!$G$11)+(AF479*Settings!$G$12)+(AG479*Settings!$G$13)+(AH479*Settings!$G$14)+(AI479*Settings!$G$15)+(AJ479*Settings!$G$16)+(AK479*Settings!$G$17)+(W479*Settings!$G$3)+(X479*Settings!$G$4)</f>
        <v>0.13598751300921116</v>
      </c>
      <c r="E479" s="67"/>
      <c r="F479" s="67"/>
      <c r="G479" s="67"/>
      <c r="H479" s="67"/>
      <c r="I479" s="67"/>
      <c r="J479" s="67"/>
      <c r="K479" s="73"/>
      <c r="L479" s="73"/>
      <c r="M479" s="67"/>
      <c r="N479" s="67"/>
      <c r="O479" s="67"/>
      <c r="P479" s="67"/>
      <c r="Q479" s="67"/>
      <c r="R479" s="73"/>
      <c r="S479" s="73"/>
      <c r="T479" s="67"/>
      <c r="U479" s="67"/>
      <c r="V479" s="121">
        <f>(VLOOKUP($A479,Pitchers!$A1:$S251,4,FALSE)-AVERAGE(Rankings!AC2:AC651))/STDEV(Rankings!AC2:AC651)</f>
        <v>0.89117164787053638</v>
      </c>
      <c r="W479" s="121">
        <f>(VLOOKUP($A479,Pitchers!$A1:$S251,5,FALSE)-AVERAGE(Rankings!AD2:AD651))/STDEV(Rankings!AD2:AD651)*-1</f>
        <v>-1.076143286281259</v>
      </c>
      <c r="X479" s="121">
        <f>(VLOOKUP($A479,Pitchers!$A1:$S251,6,FALSE)-AVERAGE(Rankings!AE2:AE651))/STDEV(Rankings!AE2:AE651)*-1</f>
        <v>0.20977857318515911</v>
      </c>
      <c r="Y479" s="121">
        <f>(VLOOKUP($A479,Pitchers!$A1:$S251,7,FALSE)-AVERAGE(Rankings!AF2:AF651))/STDEV(Rankings!AF2:AF651)</f>
        <v>0.3078438247660773</v>
      </c>
      <c r="Z479" s="121">
        <f>(VLOOKUP($A479,Pitchers!$A1:$S251,8,FALSE)-AVERAGE(Rankings!AG2:AG651))/STDEV(Rankings!AG2:AG651)</f>
        <v>1.1586528634896074</v>
      </c>
      <c r="AA479" s="121">
        <f>(VLOOKUP($A479,Pitchers!$A1:$S251,9,FALSE)-AVERAGE(Rankings!AH2:AH651))/STDEV(Rankings!AH2:AH651)</f>
        <v>-0.46414446215037364</v>
      </c>
      <c r="AB479" s="121">
        <f>(VLOOKUP($A479,Pitchers!$A1:$S251,10,FALSE)-AVERAGE(Rankings!AI2:AI651))/STDEV(Rankings!AI2:AI651)*-1</f>
        <v>-1.1823326306204405</v>
      </c>
      <c r="AC479" s="121">
        <f>(VLOOKUP($A479,Pitchers!$A1:$S251,11,FALSE)-AVERAGE(Rankings!AJ2:AJ651))/STDEV(Rankings!AJ2:AJ651)*-1</f>
        <v>-0.99666281183472982</v>
      </c>
      <c r="AD479" s="121">
        <f>(VLOOKUP($A479,Pitchers!$A1:$S251,12,FALSE)-AVERAGE(Rankings!AK2:AK651))/STDEV(Rankings!AK2:AK651)*-1</f>
        <v>-5.9285173820527788E-2</v>
      </c>
      <c r="AE479" s="121">
        <f>IFERROR((VLOOKUP($A479,Pitchers!$A1:$S251,13,FALSE)-AVERAGE(Rankings!AL2:AL651))/STDEV(Rankings!AL2:AL651)*-1,0)</f>
        <v>-1.562562856705539</v>
      </c>
      <c r="AF479" s="121">
        <f>(VLOOKUP($A479,Pitchers!$A1:$S251,14,FALSE)-AVERAGE(Rankings!AM2:AM651))/STDEV(Rankings!AM2:AM651)</f>
        <v>-0.82752595982538157</v>
      </c>
      <c r="AG479" s="121">
        <f>(VLOOKUP($A479,Pitchers!$A1:$S251,15,FALSE)-AVERAGE(Rankings!AN2:AN651))/STDEV(Rankings!AN2:AN651)</f>
        <v>0.83321042338547779</v>
      </c>
      <c r="AH479" s="121">
        <f>(VLOOKUP($A479,Pitchers!$A1:$S251,16,FALSE)-AVERAGE(Rankings!AO2:AO651))/STDEV(Rankings!AO2:AO651)*-1</f>
        <v>-0.55584346026357068</v>
      </c>
      <c r="AI479" s="121">
        <f>IFERROR((VLOOKUP($A479,Pitchers!$A1:$S251,17,FALSE)-AVERAGE(Rankings!AP2:AP651))/STDEV(Rankings!AP2:AP651),0)</f>
        <v>0.59315449252384489</v>
      </c>
      <c r="AJ479" s="121">
        <f>(VLOOKUP($A479,Pitchers!$A1:$S251,18,FALSE)-AVERAGE(Rankings!AQ2:AQ651))/STDEV(Rankings!AQ2:AQ651)</f>
        <v>-0.68467156957913733</v>
      </c>
      <c r="AK479" s="121">
        <f>IFERROR((VLOOKUP($A479,Pitchers!$A1:$S251,19,FALSE)-AVERAGE(Rankings!AR2:AR651))/STDEV(Rankings!AR2:AR651)*-1,0)</f>
        <v>0.47041511698728217</v>
      </c>
    </row>
    <row r="480" spans="1:37" ht="18.600000000000001" customHeight="1">
      <c r="A480" s="25" t="s">
        <v>365</v>
      </c>
      <c r="B480" s="26" t="s">
        <v>92</v>
      </c>
      <c r="C480" s="130" t="s">
        <v>31</v>
      </c>
      <c r="D480" s="67">
        <f>(V480*Settings!$G$2)+(Y480*Settings!$G$5)+(Z480*Settings!$G$6)+(AA480*Settings!$G$7)+(AB480*Settings!$G$8)+(AC480*Settings!$G$9)+(AD480*Settings!$G$10)+(AE480*Settings!$G$11)+(AF480*Settings!$G$12)+(AG480*Settings!$G$13)+(AH480*Settings!$G$14)+(AI480*Settings!$G$15)+(AJ480*Settings!$G$16)+(AK480*Settings!$G$17)+(W480*Settings!$G$3)+(X480*Settings!$G$4)</f>
        <v>-0.36823720379629465</v>
      </c>
      <c r="E480" s="67"/>
      <c r="F480" s="67"/>
      <c r="G480" s="67"/>
      <c r="H480" s="67"/>
      <c r="I480" s="67"/>
      <c r="J480" s="67"/>
      <c r="K480" s="73"/>
      <c r="L480" s="73"/>
      <c r="M480" s="67"/>
      <c r="N480" s="67"/>
      <c r="O480" s="67"/>
      <c r="P480" s="67"/>
      <c r="Q480" s="67"/>
      <c r="R480" s="73"/>
      <c r="S480" s="73"/>
      <c r="T480" s="67"/>
      <c r="U480" s="67"/>
      <c r="V480" s="121">
        <f>(VLOOKUP($A480,Pitchers!$A1:$S251,4,FALSE)-AVERAGE(Rankings!AC2:AC651))/STDEV(Rankings!AC2:AC651)</f>
        <v>1.0400800546209947</v>
      </c>
      <c r="W480" s="121">
        <f>(VLOOKUP($A480,Pitchers!$A1:$S251,5,FALSE)-AVERAGE(Rankings!AD2:AD651))/STDEV(Rankings!AD2:AD651)*-1</f>
        <v>-0.85753194325692939</v>
      </c>
      <c r="X480" s="121">
        <f>(VLOOKUP($A480,Pitchers!$A1:$S251,6,FALSE)-AVERAGE(Rankings!AE2:AE651))/STDEV(Rankings!AE2:AE651)*-1</f>
        <v>-0.5494894649505232</v>
      </c>
      <c r="Y480" s="121">
        <f>(VLOOKUP($A480,Pitchers!$A1:$S251,7,FALSE)-AVERAGE(Rankings!AF2:AF651))/STDEV(Rankings!AF2:AF651)</f>
        <v>0.50534270283746019</v>
      </c>
      <c r="Z480" s="121">
        <f>(VLOOKUP($A480,Pitchers!$A1:$S251,8,FALSE)-AVERAGE(Rankings!AG2:AG651))/STDEV(Rankings!AG2:AG651)</f>
        <v>0.99758596372407127</v>
      </c>
      <c r="AA480" s="121">
        <f>(VLOOKUP($A480,Pitchers!$A1:$S251,9,FALSE)-AVERAGE(Rankings!AH2:AH651))/STDEV(Rankings!AH2:AH651)</f>
        <v>-0.46414446215037364</v>
      </c>
      <c r="AB480" s="121">
        <f>(VLOOKUP($A480,Pitchers!$A1:$S251,10,FALSE)-AVERAGE(Rankings!AI2:AI651))/STDEV(Rankings!AI2:AI651)*-1</f>
        <v>-1.2411978775139376</v>
      </c>
      <c r="AC480" s="121">
        <f>(VLOOKUP($A480,Pitchers!$A1:$S251,11,FALSE)-AVERAGE(Rankings!AJ2:AJ651))/STDEV(Rankings!AJ2:AJ651)*-1</f>
        <v>-1.1352907729692283</v>
      </c>
      <c r="AD480" s="121">
        <f>(VLOOKUP($A480,Pitchers!$A1:$S251,12,FALSE)-AVERAGE(Rankings!AK2:AK651))/STDEV(Rankings!AK2:AK651)*-1</f>
        <v>-1.0868128464171722</v>
      </c>
      <c r="AE480" s="121">
        <f>IFERROR((VLOOKUP($A480,Pitchers!$A1:$S251,13,FALSE)-AVERAGE(Rankings!AL2:AL651))/STDEV(Rankings!AL2:AL651)*-1,0)</f>
        <v>-1.1635427196510091</v>
      </c>
      <c r="AF480" s="121">
        <f>(VLOOKUP($A480,Pitchers!$A1:$S251,14,FALSE)-AVERAGE(Rankings!AM2:AM651))/STDEV(Rankings!AM2:AM651)</f>
        <v>-0.63130845520618994</v>
      </c>
      <c r="AG480" s="121">
        <f>(VLOOKUP($A480,Pitchers!$A1:$S251,15,FALSE)-AVERAGE(Rankings!AN2:AN651))/STDEV(Rankings!AN2:AN651)</f>
        <v>1.066960052774363</v>
      </c>
      <c r="AH480" s="121">
        <f>(VLOOKUP($A480,Pitchers!$A1:$S251,16,FALSE)-AVERAGE(Rankings!AO2:AO651))/STDEV(Rankings!AO2:AO651)*-1</f>
        <v>-1.0443483942431826</v>
      </c>
      <c r="AI480" s="121">
        <f>IFERROR((VLOOKUP($A480,Pitchers!$A1:$S251,17,FALSE)-AVERAGE(Rankings!AP2:AP651))/STDEV(Rankings!AP2:AP651),0)</f>
        <v>0.59315449252384489</v>
      </c>
      <c r="AJ480" s="121">
        <f>(VLOOKUP($A480,Pitchers!$A1:$S251,18,FALSE)-AVERAGE(Rankings!AQ2:AQ651))/STDEV(Rankings!AQ2:AQ651)</f>
        <v>-0.68467156957913733</v>
      </c>
      <c r="AK480" s="121">
        <f>IFERROR((VLOOKUP($A480,Pitchers!$A1:$S251,19,FALSE)-AVERAGE(Rankings!AR2:AR651))/STDEV(Rankings!AR2:AR651)*-1,0)</f>
        <v>0.47041511698728217</v>
      </c>
    </row>
    <row r="481" spans="1:37" ht="18.600000000000001" customHeight="1">
      <c r="A481" s="25" t="s">
        <v>362</v>
      </c>
      <c r="B481" s="26" t="s">
        <v>136</v>
      </c>
      <c r="C481" s="130" t="s">
        <v>31</v>
      </c>
      <c r="D481" s="67">
        <f>(V481*Settings!$G$2)+(Y481*Settings!$G$5)+(Z481*Settings!$G$6)+(AA481*Settings!$G$7)+(AB481*Settings!$G$8)+(AC481*Settings!$G$9)+(AD481*Settings!$G$10)+(AE481*Settings!$G$11)+(AF481*Settings!$G$12)+(AG481*Settings!$G$13)+(AH481*Settings!$G$14)+(AI481*Settings!$G$15)+(AJ481*Settings!$G$16)+(AK481*Settings!$G$17)+(W481*Settings!$G$3)+(X481*Settings!$G$4)</f>
        <v>-0.18607375599322371</v>
      </c>
      <c r="E481" s="67"/>
      <c r="F481" s="67"/>
      <c r="G481" s="67"/>
      <c r="H481" s="67"/>
      <c r="I481" s="67"/>
      <c r="J481" s="67"/>
      <c r="K481" s="73"/>
      <c r="L481" s="73"/>
      <c r="M481" s="67"/>
      <c r="N481" s="67"/>
      <c r="O481" s="67"/>
      <c r="P481" s="67"/>
      <c r="Q481" s="67"/>
      <c r="R481" s="73"/>
      <c r="S481" s="73"/>
      <c r="T481" s="67"/>
      <c r="U481" s="67"/>
      <c r="V481" s="121">
        <f>(VLOOKUP($A481,Pitchers!$A1:$S251,4,FALSE)-AVERAGE(Rankings!AC2:AC651))/STDEV(Rankings!AC2:AC651)</f>
        <v>0.36187636321250882</v>
      </c>
      <c r="W481" s="121">
        <f>(VLOOKUP($A481,Pitchers!$A1:$S251,5,FALSE)-AVERAGE(Rankings!AD2:AD651))/STDEV(Rankings!AD2:AD651)*-1</f>
        <v>-0.19184830037664388</v>
      </c>
      <c r="X481" s="121">
        <f>(VLOOKUP($A481,Pitchers!$A1:$S251,6,FALSE)-AVERAGE(Rankings!AE2:AE651))/STDEV(Rankings!AE2:AE651)*-1</f>
        <v>7.1583101531317223E-2</v>
      </c>
      <c r="Y481" s="121">
        <f>(VLOOKUP($A481,Pitchers!$A1:$S251,7,FALSE)-AVERAGE(Rankings!AF2:AF651))/STDEV(Rankings!AF2:AF651)</f>
        <v>0.41748474604835223</v>
      </c>
      <c r="Z481" s="121">
        <f>(VLOOKUP($A481,Pitchers!$A1:$S251,8,FALSE)-AVERAGE(Rankings!AG2:AG651))/STDEV(Rankings!AG2:AG651)</f>
        <v>-1.9148841045875633E-2</v>
      </c>
      <c r="AA481" s="121">
        <f>(VLOOKUP($A481,Pitchers!$A1:$S251,9,FALSE)-AVERAGE(Rankings!AH2:AH651))/STDEV(Rankings!AH2:AH651)</f>
        <v>-0.46414446215037364</v>
      </c>
      <c r="AB481" s="121">
        <f>(VLOOKUP($A481,Pitchers!$A1:$S251,10,FALSE)-AVERAGE(Rankings!AI2:AI651))/STDEV(Rankings!AI2:AI651)*-1</f>
        <v>-0.34341276252040726</v>
      </c>
      <c r="AC481" s="121">
        <f>(VLOOKUP($A481,Pitchers!$A1:$S251,11,FALSE)-AVERAGE(Rankings!AJ2:AJ651))/STDEV(Rankings!AJ2:AJ651)*-1</f>
        <v>7.8567219244818493E-3</v>
      </c>
      <c r="AD481" s="121">
        <f>(VLOOKUP($A481,Pitchers!$A1:$S251,12,FALSE)-AVERAGE(Rankings!AK2:AK651))/STDEV(Rankings!AK2:AK651)*-1</f>
        <v>-1.4504746592839184</v>
      </c>
      <c r="AE481" s="121">
        <f>IFERROR((VLOOKUP($A481,Pitchers!$A1:$S251,13,FALSE)-AVERAGE(Rankings!AL2:AL651))/STDEV(Rankings!AL2:AL651)*-1,0)</f>
        <v>-9.9489020838929354E-2</v>
      </c>
      <c r="AF481" s="121">
        <f>(VLOOKUP($A481,Pitchers!$A1:$S251,14,FALSE)-AVERAGE(Rankings!AM2:AM651))/STDEV(Rankings!AM2:AM651)</f>
        <v>-0.94961685158843423</v>
      </c>
      <c r="AG481" s="121">
        <f>(VLOOKUP($A481,Pitchers!$A1:$S251,15,FALSE)-AVERAGE(Rankings!AN2:AN651))/STDEV(Rankings!AN2:AN651)</f>
        <v>0.68776620954350465</v>
      </c>
      <c r="AH481" s="121">
        <f>(VLOOKUP($A481,Pitchers!$A1:$S251,16,FALSE)-AVERAGE(Rankings!AO2:AO651))/STDEV(Rankings!AO2:AO651)*-1</f>
        <v>-0.86898764871203937</v>
      </c>
      <c r="AI481" s="121">
        <f>IFERROR((VLOOKUP($A481,Pitchers!$A1:$S251,17,FALSE)-AVERAGE(Rankings!AP2:AP651))/STDEV(Rankings!AP2:AP651),0)</f>
        <v>0.44988046051325437</v>
      </c>
      <c r="AJ481" s="121">
        <f>(VLOOKUP($A481,Pitchers!$A1:$S251,18,FALSE)-AVERAGE(Rankings!AQ2:AQ651))/STDEV(Rankings!AQ2:AQ651)</f>
        <v>-0.68467156957913733</v>
      </c>
      <c r="AK481" s="121">
        <f>IFERROR((VLOOKUP($A481,Pitchers!$A1:$S251,19,FALSE)-AVERAGE(Rankings!AR2:AR651))/STDEV(Rankings!AR2:AR651)*-1,0)</f>
        <v>0.47041511698728217</v>
      </c>
    </row>
    <row r="482" spans="1:37" ht="18.600000000000001" customHeight="1">
      <c r="A482" s="25" t="s">
        <v>391</v>
      </c>
      <c r="B482" s="26" t="s">
        <v>87</v>
      </c>
      <c r="C482" s="130" t="s">
        <v>31</v>
      </c>
      <c r="D482" s="67">
        <f>(V482*Settings!$G$2)+(Y482*Settings!$G$5)+(Z482*Settings!$G$6)+(AA482*Settings!$G$7)+(AB482*Settings!$G$8)+(AC482*Settings!$G$9)+(AD482*Settings!$G$10)+(AE482*Settings!$G$11)+(AF482*Settings!$G$12)+(AG482*Settings!$G$13)+(AH482*Settings!$G$14)+(AI482*Settings!$G$15)+(AJ482*Settings!$G$16)+(AK482*Settings!$G$17)+(W482*Settings!$G$3)+(X482*Settings!$G$4)</f>
        <v>-0.66260960938244573</v>
      </c>
      <c r="E482" s="67"/>
      <c r="F482" s="67"/>
      <c r="G482" s="67"/>
      <c r="H482" s="67"/>
      <c r="I482" s="67"/>
      <c r="J482" s="67"/>
      <c r="K482" s="73"/>
      <c r="L482" s="73"/>
      <c r="M482" s="67"/>
      <c r="N482" s="67"/>
      <c r="O482" s="67"/>
      <c r="P482" s="67"/>
      <c r="Q482" s="67"/>
      <c r="R482" s="73"/>
      <c r="S482" s="73"/>
      <c r="T482" s="67"/>
      <c r="U482" s="67"/>
      <c r="V482" s="121">
        <f>(VLOOKUP($A482,Pitchers!$A1:$S251,4,FALSE)-AVERAGE(Rankings!AC2:AC651))/STDEV(Rankings!AC2:AC651)</f>
        <v>1.2073373645729311</v>
      </c>
      <c r="W482" s="121">
        <f>(VLOOKUP($A482,Pitchers!$A1:$S251,5,FALSE)-AVERAGE(Rankings!AD2:AD651))/STDEV(Rankings!AD2:AD651)*-1</f>
        <v>-0.39933504676403209</v>
      </c>
      <c r="X482" s="121">
        <f>(VLOOKUP($A482,Pitchers!$A1:$S251,6,FALSE)-AVERAGE(Rankings!AE2:AE651))/STDEV(Rankings!AE2:AE651)*-1</f>
        <v>-1.3453921081734612</v>
      </c>
      <c r="Y482" s="121">
        <f>(VLOOKUP($A482,Pitchers!$A1:$S251,7,FALSE)-AVERAGE(Rankings!AF2:AF651))/STDEV(Rankings!AF2:AF651)</f>
        <v>0.59900945015807971</v>
      </c>
      <c r="Z482" s="121">
        <f>(VLOOKUP($A482,Pitchers!$A1:$S251,8,FALSE)-AVERAGE(Rankings!AG2:AG651))/STDEV(Rankings!AG2:AG651)</f>
        <v>0.94725255754734139</v>
      </c>
      <c r="AA482" s="121">
        <f>(VLOOKUP($A482,Pitchers!$A1:$S251,9,FALSE)-AVERAGE(Rankings!AH2:AH651))/STDEV(Rankings!AH2:AH651)</f>
        <v>-0.46414446215037364</v>
      </c>
      <c r="AB482" s="121">
        <f>(VLOOKUP($A482,Pitchers!$A1:$S251,10,FALSE)-AVERAGE(Rankings!AI2:AI651))/STDEV(Rankings!AI2:AI651)*-1</f>
        <v>-1.2032357999254784</v>
      </c>
      <c r="AC482" s="121">
        <f>(VLOOKUP($A482,Pitchers!$A1:$S251,11,FALSE)-AVERAGE(Rankings!AJ2:AJ651))/STDEV(Rankings!AJ2:AJ651)*-1</f>
        <v>-1.440983200086327</v>
      </c>
      <c r="AD482" s="121">
        <f>(VLOOKUP($A482,Pitchers!$A1:$S251,12,FALSE)-AVERAGE(Rankings!AK2:AK651))/STDEV(Rankings!AK2:AK651)*-1</f>
        <v>-1.7482380228392405</v>
      </c>
      <c r="AE482" s="121">
        <f>IFERROR((VLOOKUP($A482,Pitchers!$A1:$S251,13,FALSE)-AVERAGE(Rankings!AL2:AL651))/STDEV(Rankings!AL2:AL651)*-1,0)</f>
        <v>-0.89752929494798916</v>
      </c>
      <c r="AF482" s="121">
        <f>(VLOOKUP($A482,Pitchers!$A1:$S251,14,FALSE)-AVERAGE(Rankings!AM2:AM651))/STDEV(Rankings!AM2:AM651)</f>
        <v>-0.55718184235005086</v>
      </c>
      <c r="AG482" s="121">
        <f>(VLOOKUP($A482,Pitchers!$A1:$S251,15,FALSE)-AVERAGE(Rankings!AN2:AN651))/STDEV(Rankings!AN2:AN651)</f>
        <v>1.025404563105228</v>
      </c>
      <c r="AH482" s="121">
        <f>(VLOOKUP($A482,Pitchers!$A1:$S251,16,FALSE)-AVERAGE(Rankings!AO2:AO651))/STDEV(Rankings!AO2:AO651)*-1</f>
        <v>-1.3073895125398962</v>
      </c>
      <c r="AI482" s="121">
        <f>IFERROR((VLOOKUP($A482,Pitchers!$A1:$S251,17,FALSE)-AVERAGE(Rankings!AP2:AP651))/STDEV(Rankings!AP2:AP651),0)</f>
        <v>1.1662506205662073</v>
      </c>
      <c r="AJ482" s="121">
        <f>(VLOOKUP($A482,Pitchers!$A1:$S251,18,FALSE)-AVERAGE(Rankings!AQ2:AQ651))/STDEV(Rankings!AQ2:AQ651)</f>
        <v>-0.68467156957913733</v>
      </c>
      <c r="AK482" s="121">
        <f>IFERROR((VLOOKUP($A482,Pitchers!$A1:$S251,19,FALSE)-AVERAGE(Rankings!AR2:AR651))/STDEV(Rankings!AR2:AR651)*-1,0)</f>
        <v>0.47041511698728217</v>
      </c>
    </row>
    <row r="483" spans="1:37" ht="18.600000000000001" customHeight="1">
      <c r="A483" s="25" t="s">
        <v>381</v>
      </c>
      <c r="B483" s="26" t="s">
        <v>260</v>
      </c>
      <c r="C483" s="130" t="s">
        <v>31</v>
      </c>
      <c r="D483" s="67">
        <f>(V483*Settings!$G$2)+(Y483*Settings!$G$5)+(Z483*Settings!$G$6)+(AA483*Settings!$G$7)+(AB483*Settings!$G$8)+(AC483*Settings!$G$9)+(AD483*Settings!$G$10)+(AE483*Settings!$G$11)+(AF483*Settings!$G$12)+(AG483*Settings!$G$13)+(AH483*Settings!$G$14)+(AI483*Settings!$G$15)+(AJ483*Settings!$G$16)+(AK483*Settings!$G$17)+(W483*Settings!$G$3)+(X483*Settings!$G$4)</f>
        <v>-0.56029907255989619</v>
      </c>
      <c r="E483" s="67"/>
      <c r="F483" s="67"/>
      <c r="G483" s="67"/>
      <c r="H483" s="67"/>
      <c r="I483" s="67"/>
      <c r="J483" s="67"/>
      <c r="K483" s="73"/>
      <c r="L483" s="73"/>
      <c r="M483" s="67"/>
      <c r="N483" s="67"/>
      <c r="O483" s="67"/>
      <c r="P483" s="67"/>
      <c r="Q483" s="67"/>
      <c r="R483" s="73"/>
      <c r="S483" s="73"/>
      <c r="T483" s="67"/>
      <c r="U483" s="67"/>
      <c r="V483" s="121">
        <f>(VLOOKUP($A483,Pitchers!$A1:$S251,4,FALSE)-AVERAGE(Rankings!AC2:AC651))/STDEV(Rankings!AC2:AC651)</f>
        <v>0.76837514182987376</v>
      </c>
      <c r="W483" s="121">
        <f>(VLOOKUP($A483,Pitchers!$A1:$S251,5,FALSE)-AVERAGE(Rankings!AD2:AD651))/STDEV(Rankings!AD2:AD651)*-1</f>
        <v>-0.56782702679306774</v>
      </c>
      <c r="X483" s="121">
        <f>(VLOOKUP($A483,Pitchers!$A1:$S251,6,FALSE)-AVERAGE(Rankings!AE2:AE651))/STDEV(Rankings!AE2:AE651)*-1</f>
        <v>-0.95029280806317618</v>
      </c>
      <c r="Y483" s="121">
        <f>(VLOOKUP($A483,Pitchers!$A1:$S251,7,FALSE)-AVERAGE(Rankings!AF2:AF651))/STDEV(Rankings!AF2:AF651)</f>
        <v>0.53511275431145566</v>
      </c>
      <c r="Z483" s="121">
        <f>(VLOOKUP($A483,Pitchers!$A1:$S251,8,FALSE)-AVERAGE(Rankings!AG2:AG651))/STDEV(Rankings!AG2:AG651)</f>
        <v>0.88685247013526558</v>
      </c>
      <c r="AA483" s="121">
        <f>(VLOOKUP($A483,Pitchers!$A1:$S251,9,FALSE)-AVERAGE(Rankings!AH2:AH651))/STDEV(Rankings!AH2:AH651)</f>
        <v>-0.46414446215037364</v>
      </c>
      <c r="AB483" s="121">
        <f>(VLOOKUP($A483,Pitchers!$A1:$S251,10,FALSE)-AVERAGE(Rankings!AI2:AI651))/STDEV(Rankings!AI2:AI651)*-1</f>
        <v>-0.85914440520160029</v>
      </c>
      <c r="AC483" s="121">
        <f>(VLOOKUP($A483,Pitchers!$A1:$S251,11,FALSE)-AVERAGE(Rankings!AJ2:AJ651))/STDEV(Rankings!AJ2:AJ651)*-1</f>
        <v>-0.94050071475972807</v>
      </c>
      <c r="AD483" s="121">
        <f>(VLOOKUP($A483,Pitchers!$A1:$S251,12,FALSE)-AVERAGE(Rankings!AK2:AK651))/STDEV(Rankings!AK2:AK651)*-1</f>
        <v>-0.99406688071961302</v>
      </c>
      <c r="AE483" s="121">
        <f>IFERROR((VLOOKUP($A483,Pitchers!$A1:$S251,13,FALSE)-AVERAGE(Rankings!AL2:AL651))/STDEV(Rankings!AL2:AL651)*-1,0)</f>
        <v>-0.63151587024496925</v>
      </c>
      <c r="AF483" s="121">
        <f>(VLOOKUP($A483,Pitchers!$A1:$S251,14,FALSE)-AVERAGE(Rankings!AM2:AM651))/STDEV(Rankings!AM2:AM651)</f>
        <v>-0.7533993469692426</v>
      </c>
      <c r="AG483" s="121">
        <f>(VLOOKUP($A483,Pitchers!$A1:$S251,15,FALSE)-AVERAGE(Rankings!AN2:AN651))/STDEV(Rankings!AN2:AN651)</f>
        <v>0.92151583893238986</v>
      </c>
      <c r="AH483" s="121">
        <f>(VLOOKUP($A483,Pitchers!$A1:$S251,16,FALSE)-AVERAGE(Rankings!AO2:AO651))/STDEV(Rankings!AO2:AO651)*-1</f>
        <v>-0.9190907188637949</v>
      </c>
      <c r="AI483" s="121">
        <f>IFERROR((VLOOKUP($A483,Pitchers!$A1:$S251,17,FALSE)-AVERAGE(Rankings!AP2:AP651))/STDEV(Rankings!AP2:AP651),0)</f>
        <v>1.0229765885556166</v>
      </c>
      <c r="AJ483" s="121">
        <f>(VLOOKUP($A483,Pitchers!$A1:$S251,18,FALSE)-AVERAGE(Rankings!AQ2:AQ651))/STDEV(Rankings!AQ2:AQ651)</f>
        <v>-0.68467156957913733</v>
      </c>
      <c r="AK483" s="121">
        <f>IFERROR((VLOOKUP($A483,Pitchers!$A1:$S251,19,FALSE)-AVERAGE(Rankings!AR2:AR651))/STDEV(Rankings!AR2:AR651)*-1,0)</f>
        <v>0.47041511698728217</v>
      </c>
    </row>
    <row r="484" spans="1:37" ht="18.600000000000001" customHeight="1">
      <c r="A484" s="25" t="s">
        <v>359</v>
      </c>
      <c r="B484" s="26" t="s">
        <v>79</v>
      </c>
      <c r="C484" s="130" t="s">
        <v>31</v>
      </c>
      <c r="D484" s="67">
        <f>(V484*Settings!$G$2)+(Y484*Settings!$G$5)+(Z484*Settings!$G$6)+(AA484*Settings!$G$7)+(AB484*Settings!$G$8)+(AC484*Settings!$G$9)+(AD484*Settings!$G$10)+(AE484*Settings!$G$11)+(AF484*Settings!$G$12)+(AG484*Settings!$G$13)+(AH484*Settings!$G$14)+(AI484*Settings!$G$15)+(AJ484*Settings!$G$16)+(AK484*Settings!$G$17)+(W484*Settings!$G$3)+(X484*Settings!$G$4)</f>
        <v>-0.12375194446091353</v>
      </c>
      <c r="E484" s="67"/>
      <c r="F484" s="67"/>
      <c r="G484" s="67"/>
      <c r="H484" s="67"/>
      <c r="I484" s="67"/>
      <c r="J484" s="67"/>
      <c r="K484" s="73"/>
      <c r="L484" s="73"/>
      <c r="M484" s="67"/>
      <c r="N484" s="67"/>
      <c r="O484" s="67"/>
      <c r="P484" s="67"/>
      <c r="Q484" s="67"/>
      <c r="R484" s="73"/>
      <c r="S484" s="73"/>
      <c r="T484" s="67"/>
      <c r="U484" s="67"/>
      <c r="V484" s="121">
        <f>(VLOOKUP($A484,Pitchers!$A1:$S251,4,FALSE)-AVERAGE(Rankings!AC2:AC651))/STDEV(Rankings!AC2:AC651)</f>
        <v>0.24331421944911047</v>
      </c>
      <c r="W484" s="121">
        <f>(VLOOKUP($A484,Pitchers!$A1:$S251,5,FALSE)-AVERAGE(Rankings!AD2:AD651))/STDEV(Rankings!AD2:AD651)*-1</f>
        <v>0.17907419824127807</v>
      </c>
      <c r="X484" s="121">
        <f>(VLOOKUP($A484,Pitchers!$A1:$S251,6,FALSE)-AVERAGE(Rankings!AE2:AE651))/STDEV(Rankings!AE2:AE651)*-1</f>
        <v>-0.75765098143222775</v>
      </c>
      <c r="Y484" s="121">
        <f>(VLOOKUP($A484,Pitchers!$A1:$S251,7,FALSE)-AVERAGE(Rankings!AF2:AF651))/STDEV(Rankings!AF2:AF651)</f>
        <v>0.27371718039344867</v>
      </c>
      <c r="Z484" s="121">
        <f>(VLOOKUP($A484,Pitchers!$A1:$S251,8,FALSE)-AVERAGE(Rankings!AG2:AG651))/STDEV(Rankings!AG2:AG651)</f>
        <v>0.64525212048696112</v>
      </c>
      <c r="AA484" s="121">
        <f>(VLOOKUP($A484,Pitchers!$A1:$S251,9,FALSE)-AVERAGE(Rankings!AH2:AH651))/STDEV(Rankings!AH2:AH651)</f>
        <v>-0.46414446215037364</v>
      </c>
      <c r="AB484" s="121">
        <f>(VLOOKUP($A484,Pitchers!$A1:$S251,10,FALSE)-AVERAGE(Rankings!AI2:AI651))/STDEV(Rankings!AI2:AI651)*-1</f>
        <v>-0.11515976436194793</v>
      </c>
      <c r="AC484" s="121">
        <f>(VLOOKUP($A484,Pitchers!$A1:$S251,11,FALSE)-AVERAGE(Rankings!AJ2:AJ651))/STDEV(Rankings!AJ2:AJ651)*-1</f>
        <v>-0.15849683143691648</v>
      </c>
      <c r="AD484" s="121">
        <f>(VLOOKUP($A484,Pitchers!$A1:$S251,12,FALSE)-AVERAGE(Rankings!AK2:AK651))/STDEV(Rankings!AK2:AK651)*-1</f>
        <v>-1.1283044626502907</v>
      </c>
      <c r="AE484" s="121">
        <f>IFERROR((VLOOKUP($A484,Pitchers!$A1:$S251,13,FALSE)-AVERAGE(Rankings!AL2:AL651))/STDEV(Rankings!AL2:AL651)*-1,0)</f>
        <v>-9.9489020838929354E-2</v>
      </c>
      <c r="AF484" s="121">
        <f>(VLOOKUP($A484,Pitchers!$A1:$S251,14,FALSE)-AVERAGE(Rankings!AM2:AM651))/STDEV(Rankings!AM2:AM651)</f>
        <v>-1.0869691048218684</v>
      </c>
      <c r="AG484" s="121">
        <f>(VLOOKUP($A484,Pitchers!$A1:$S251,15,FALSE)-AVERAGE(Rankings!AN2:AN651))/STDEV(Rankings!AN2:AN651)</f>
        <v>0.52414146897128522</v>
      </c>
      <c r="AH484" s="121">
        <f>(VLOOKUP($A484,Pitchers!$A1:$S251,16,FALSE)-AVERAGE(Rankings!AO2:AO651))/STDEV(Rankings!AO2:AO651)*-1</f>
        <v>5.7919149095428092E-2</v>
      </c>
      <c r="AI484" s="121">
        <f>IFERROR((VLOOKUP($A484,Pitchers!$A1:$S251,17,FALSE)-AVERAGE(Rankings!AP2:AP651))/STDEV(Rankings!AP2:AP651),0)</f>
        <v>0.73642852453443552</v>
      </c>
      <c r="AJ484" s="121">
        <f>(VLOOKUP($A484,Pitchers!$A1:$S251,18,FALSE)-AVERAGE(Rankings!AQ2:AQ651))/STDEV(Rankings!AQ2:AQ651)</f>
        <v>-0.68467156957913733</v>
      </c>
      <c r="AK484" s="121">
        <f>IFERROR((VLOOKUP($A484,Pitchers!$A1:$S251,19,FALSE)-AVERAGE(Rankings!AR2:AR651))/STDEV(Rankings!AR2:AR651)*-1,0)</f>
        <v>0.47041511698728217</v>
      </c>
    </row>
    <row r="485" spans="1:37" ht="18.600000000000001" customHeight="1">
      <c r="A485" s="25" t="s">
        <v>479</v>
      </c>
      <c r="B485" s="26" t="s">
        <v>105</v>
      </c>
      <c r="C485" s="130" t="s">
        <v>31</v>
      </c>
      <c r="D485" s="67">
        <f>(V485*Settings!$G$2)+(Y485*Settings!$G$5)+(Z485*Settings!$G$6)+(AA485*Settings!$G$7)+(AB485*Settings!$G$8)+(AC485*Settings!$G$9)+(AD485*Settings!$G$10)+(AE485*Settings!$G$11)+(AF485*Settings!$G$12)+(AG485*Settings!$G$13)+(AH485*Settings!$G$14)+(AI485*Settings!$G$15)+(AJ485*Settings!$G$16)+(AK485*Settings!$G$17)+(W485*Settings!$G$3)+(X485*Settings!$G$4)</f>
        <v>-2.0507192546314874</v>
      </c>
      <c r="E485" s="67"/>
      <c r="F485" s="67"/>
      <c r="G485" s="67"/>
      <c r="H485" s="67"/>
      <c r="I485" s="67"/>
      <c r="J485" s="67"/>
      <c r="K485" s="73"/>
      <c r="L485" s="73"/>
      <c r="M485" s="67"/>
      <c r="N485" s="67"/>
      <c r="O485" s="67"/>
      <c r="P485" s="67"/>
      <c r="Q485" s="67"/>
      <c r="R485" s="73"/>
      <c r="S485" s="73"/>
      <c r="T485" s="67"/>
      <c r="U485" s="67"/>
      <c r="V485" s="121">
        <f>(VLOOKUP($A485,Pitchers!$A1:$S251,4,FALSE)-AVERAGE(Rankings!AC2:AC651))/STDEV(Rankings!AC2:AC651)</f>
        <v>1.0824236773936369</v>
      </c>
      <c r="W485" s="121">
        <f>(VLOOKUP($A485,Pitchers!$A1:$S251,5,FALSE)-AVERAGE(Rankings!AD2:AD651))/STDEV(Rankings!AD2:AD651)*-1</f>
        <v>-1.9787321562093758</v>
      </c>
      <c r="X485" s="121">
        <f>(VLOOKUP($A485,Pitchers!$A1:$S251,6,FALSE)-AVERAGE(Rankings!AE2:AE651))/STDEV(Rankings!AE2:AE651)*-1</f>
        <v>-1.5095617739949805</v>
      </c>
      <c r="Y485" s="121">
        <f>(VLOOKUP($A485,Pitchers!$A1:$S251,7,FALSE)-AVERAGE(Rankings!AF2:AF651))/STDEV(Rankings!AF2:AF651)</f>
        <v>0.99473330511728508</v>
      </c>
      <c r="Z485" s="121">
        <f>(VLOOKUP($A485,Pitchers!$A1:$S251,8,FALSE)-AVERAGE(Rankings!AG2:AG651))/STDEV(Rankings!AG2:AG651)</f>
        <v>0.90698583260595744</v>
      </c>
      <c r="AA485" s="121">
        <f>(VLOOKUP($A485,Pitchers!$A1:$S251,9,FALSE)-AVERAGE(Rankings!AH2:AH651))/STDEV(Rankings!AH2:AH651)</f>
        <v>-0.46414446215037364</v>
      </c>
      <c r="AB485" s="121">
        <f>(VLOOKUP($A485,Pitchers!$A1:$S251,10,FALSE)-AVERAGE(Rankings!AI2:AI651))/STDEV(Rankings!AI2:AI651)*-1</f>
        <v>-1.7639873431645043</v>
      </c>
      <c r="AC485" s="121">
        <f>(VLOOKUP($A485,Pitchers!$A1:$S251,11,FALSE)-AVERAGE(Rankings!AJ2:AJ651))/STDEV(Rankings!AJ2:AJ651)*-1</f>
        <v>-1.2284203263467632</v>
      </c>
      <c r="AD485" s="121">
        <f>(VLOOKUP($A485,Pitchers!$A1:$S251,12,FALSE)-AVERAGE(Rankings!AK2:AK651))/STDEV(Rankings!AK2:AK651)*-1</f>
        <v>-2.0899336859355118</v>
      </c>
      <c r="AE485" s="121">
        <f>IFERROR((VLOOKUP($A485,Pitchers!$A1:$S251,13,FALSE)-AVERAGE(Rankings!AL2:AL651))/STDEV(Rankings!AL2:AL651)*-1,0)</f>
        <v>-1.562562856705539</v>
      </c>
      <c r="AF485" s="121">
        <f>(VLOOKUP($A485,Pitchers!$A1:$S251,14,FALSE)-AVERAGE(Rankings!AM2:AM651))/STDEV(Rankings!AM2:AM651)</f>
        <v>-0.609506510248502</v>
      </c>
      <c r="AG485" s="121">
        <f>(VLOOKUP($A485,Pitchers!$A1:$S251,15,FALSE)-AVERAGE(Rankings!AN2:AN651))/STDEV(Rankings!AN2:AN651)</f>
        <v>1.0409878717311534</v>
      </c>
      <c r="AH485" s="121">
        <f>(VLOOKUP($A485,Pitchers!$A1:$S251,16,FALSE)-AVERAGE(Rankings!AO2:AO651))/STDEV(Rankings!AO2:AO651)*-1</f>
        <v>-1.4201214203813453</v>
      </c>
      <c r="AI485" s="121">
        <f>IFERROR((VLOOKUP($A485,Pitchers!$A1:$S251,17,FALSE)-AVERAGE(Rankings!AP2:AP651))/STDEV(Rankings!AP2:AP651),0)</f>
        <v>0.73642852453443552</v>
      </c>
      <c r="AJ485" s="121">
        <f>(VLOOKUP($A485,Pitchers!$A1:$S251,18,FALSE)-AVERAGE(Rankings!AQ2:AQ651))/STDEV(Rankings!AQ2:AQ651)</f>
        <v>-0.68467156957913733</v>
      </c>
      <c r="AK485" s="121">
        <f>IFERROR((VLOOKUP($A485,Pitchers!$A1:$S251,19,FALSE)-AVERAGE(Rankings!AR2:AR651))/STDEV(Rankings!AR2:AR651)*-1,0)</f>
        <v>0.47041511698728217</v>
      </c>
    </row>
    <row r="486" spans="1:37" ht="18.600000000000001" customHeight="1">
      <c r="A486" s="25" t="s">
        <v>354</v>
      </c>
      <c r="B486" s="26" t="s">
        <v>77</v>
      </c>
      <c r="C486" s="130" t="s">
        <v>31</v>
      </c>
      <c r="D486" s="67">
        <f>(V486*Settings!$G$2)+(Y486*Settings!$G$5)+(Z486*Settings!$G$6)+(AA486*Settings!$G$7)+(AB486*Settings!$G$8)+(AC486*Settings!$G$9)+(AD486*Settings!$G$10)+(AE486*Settings!$G$11)+(AF486*Settings!$G$12)+(AG486*Settings!$G$13)+(AH486*Settings!$G$14)+(AI486*Settings!$G$15)+(AJ486*Settings!$G$16)+(AK486*Settings!$G$17)+(W486*Settings!$G$3)+(X486*Settings!$G$4)</f>
        <v>-5.1168235703911991E-2</v>
      </c>
      <c r="E486" s="67"/>
      <c r="F486" s="67"/>
      <c r="G486" s="67"/>
      <c r="H486" s="67"/>
      <c r="I486" s="67"/>
      <c r="J486" s="67"/>
      <c r="K486" s="73"/>
      <c r="L486" s="73"/>
      <c r="M486" s="67"/>
      <c r="N486" s="67"/>
      <c r="O486" s="67"/>
      <c r="P486" s="67"/>
      <c r="Q486" s="67"/>
      <c r="R486" s="73"/>
      <c r="S486" s="73"/>
      <c r="T486" s="67"/>
      <c r="U486" s="67"/>
      <c r="V486" s="121">
        <f>(VLOOKUP($A486,Pitchers!$A1:$S251,4,FALSE)-AVERAGE(Rankings!AC2:AC651))/STDEV(Rankings!AC2:AC651)</f>
        <v>0.470558328328957</v>
      </c>
      <c r="W486" s="121">
        <f>(VLOOKUP($A486,Pitchers!$A1:$S251,5,FALSE)-AVERAGE(Rankings!AD2:AD651))/STDEV(Rankings!AD2:AD651)*-1</f>
        <v>-0.50595446730006433</v>
      </c>
      <c r="X486" s="121">
        <f>(VLOOKUP($A486,Pitchers!$A1:$S251,6,FALSE)-AVERAGE(Rankings!AE2:AE651))/STDEV(Rankings!AE2:AE651)*-1</f>
        <v>0.46972583997673284</v>
      </c>
      <c r="Y486" s="121">
        <f>(VLOOKUP($A486,Pitchers!$A1:$S251,7,FALSE)-AVERAGE(Rankings!AF2:AF651))/STDEV(Rankings!AF2:AF651)</f>
        <v>0.17641993899063446</v>
      </c>
      <c r="Z486" s="121">
        <f>(VLOOKUP($A486,Pitchers!$A1:$S251,8,FALSE)-AVERAGE(Rankings!AG2:AG651))/STDEV(Rankings!AG2:AG651)</f>
        <v>0.27278491477915867</v>
      </c>
      <c r="AA486" s="121">
        <f>(VLOOKUP($A486,Pitchers!$A1:$S251,9,FALSE)-AVERAGE(Rankings!AH2:AH651))/STDEV(Rankings!AH2:AH651)</f>
        <v>-0.46414446215037364</v>
      </c>
      <c r="AB486" s="121">
        <f>(VLOOKUP($A486,Pitchers!$A1:$S251,10,FALSE)-AVERAGE(Rankings!AI2:AI651))/STDEV(Rankings!AI2:AI651)*-1</f>
        <v>-0.55304512135541362</v>
      </c>
      <c r="AC486" s="121">
        <f>(VLOOKUP($A486,Pitchers!$A1:$S251,11,FALSE)-AVERAGE(Rankings!AJ2:AJ651))/STDEV(Rankings!AJ2:AJ651)*-1</f>
        <v>-0.52959321970465045</v>
      </c>
      <c r="AD486" s="121">
        <f>(VLOOKUP($A486,Pitchers!$A1:$S251,12,FALSE)-AVERAGE(Rankings!AK2:AK651))/STDEV(Rankings!AK2:AK651)*-1</f>
        <v>0.32878347212452336</v>
      </c>
      <c r="AE486" s="121">
        <f>IFERROR((VLOOKUP($A486,Pitchers!$A1:$S251,13,FALSE)-AVERAGE(Rankings!AL2:AL651))/STDEV(Rankings!AL2:AL651)*-1,0)</f>
        <v>-0.49850915789345923</v>
      </c>
      <c r="AF486" s="121">
        <f>(VLOOKUP($A486,Pitchers!$A1:$S251,14,FALSE)-AVERAGE(Rankings!AM2:AM651))/STDEV(Rankings!AM2:AM651)</f>
        <v>-0.88421101671537039</v>
      </c>
      <c r="AG486" s="121">
        <f>(VLOOKUP($A486,Pitchers!$A1:$S251,15,FALSE)-AVERAGE(Rankings!AN2:AN651))/STDEV(Rankings!AN2:AN651)</f>
        <v>0.73971057162992371</v>
      </c>
      <c r="AH486" s="121">
        <f>(VLOOKUP($A486,Pitchers!$A1:$S251,16,FALSE)-AVERAGE(Rankings!AO2:AO651))/STDEV(Rankings!AO2:AO651)*-1</f>
        <v>-0.51826615764975481</v>
      </c>
      <c r="AI486" s="121">
        <f>IFERROR((VLOOKUP($A486,Pitchers!$A1:$S251,17,FALSE)-AVERAGE(Rankings!AP2:AP651))/STDEV(Rankings!AP2:AP651),0)</f>
        <v>0.44988046051325437</v>
      </c>
      <c r="AJ486" s="121">
        <f>(VLOOKUP($A486,Pitchers!$A1:$S251,18,FALSE)-AVERAGE(Rankings!AQ2:AQ651))/STDEV(Rankings!AQ2:AQ651)</f>
        <v>-0.68467156957913733</v>
      </c>
      <c r="AK486" s="121">
        <f>IFERROR((VLOOKUP($A486,Pitchers!$A1:$S251,19,FALSE)-AVERAGE(Rankings!AR2:AR651))/STDEV(Rankings!AR2:AR651)*-1,0)</f>
        <v>0.47041511698728217</v>
      </c>
    </row>
    <row r="487" spans="1:37" ht="18.600000000000001" customHeight="1">
      <c r="A487" s="25" t="s">
        <v>340</v>
      </c>
      <c r="B487" s="26" t="s">
        <v>122</v>
      </c>
      <c r="C487" s="130" t="s">
        <v>31</v>
      </c>
      <c r="D487" s="67">
        <f>(V487*Settings!$G$2)+(Y487*Settings!$G$5)+(Z487*Settings!$G$6)+(AA487*Settings!$G$7)+(AB487*Settings!$G$8)+(AC487*Settings!$G$9)+(AD487*Settings!$G$10)+(AE487*Settings!$G$11)+(AF487*Settings!$G$12)+(AG487*Settings!$G$13)+(AH487*Settings!$G$14)+(AI487*Settings!$G$15)+(AJ487*Settings!$G$16)+(AK487*Settings!$G$17)+(W487*Settings!$G$3)+(X487*Settings!$G$4)</f>
        <v>0.10945939222041062</v>
      </c>
      <c r="E487" s="67"/>
      <c r="F487" s="67"/>
      <c r="G487" s="67"/>
      <c r="H487" s="67"/>
      <c r="I487" s="67"/>
      <c r="J487" s="67"/>
      <c r="K487" s="73"/>
      <c r="L487" s="73"/>
      <c r="M487" s="67"/>
      <c r="N487" s="67"/>
      <c r="O487" s="67"/>
      <c r="P487" s="67"/>
      <c r="Q487" s="67"/>
      <c r="R487" s="73"/>
      <c r="S487" s="73"/>
      <c r="T487" s="67"/>
      <c r="U487" s="67"/>
      <c r="V487" s="121">
        <f>(VLOOKUP($A487,Pitchers!$A1:$S251,4,FALSE)-AVERAGE(Rankings!AC2:AC651))/STDEV(Rankings!AC2:AC651)</f>
        <v>0.58770901799993369</v>
      </c>
      <c r="W487" s="121">
        <f>(VLOOKUP($A487,Pitchers!$A1:$S251,5,FALSE)-AVERAGE(Rankings!AD2:AD651))/STDEV(Rankings!AD2:AD651)*-1</f>
        <v>-2.6155632704031078E-2</v>
      </c>
      <c r="X487" s="121">
        <f>(VLOOKUP($A487,Pitchers!$A1:$S251,6,FALSE)-AVERAGE(Rankings!AE2:AE651))/STDEV(Rankings!AE2:AE651)*-1</f>
        <v>0.56127248844164157</v>
      </c>
      <c r="Y487" s="121">
        <f>(VLOOKUP($A487,Pitchers!$A1:$S251,7,FALSE)-AVERAGE(Rankings!AF2:AF651))/STDEV(Rankings!AF2:AF651)</f>
        <v>8.7835883385087618E-2</v>
      </c>
      <c r="Z487" s="121">
        <f>(VLOOKUP($A487,Pitchers!$A1:$S251,8,FALSE)-AVERAGE(Rankings!AG2:AG651))/STDEV(Rankings!AG2:AG651)</f>
        <v>-4.9348884751913825E-2</v>
      </c>
      <c r="AA487" s="121">
        <f>(VLOOKUP($A487,Pitchers!$A1:$S251,9,FALSE)-AVERAGE(Rankings!AH2:AH651))/STDEV(Rankings!AH2:AH651)</f>
        <v>-0.46414446215037364</v>
      </c>
      <c r="AB487" s="121">
        <f>(VLOOKUP($A487,Pitchers!$A1:$S251,10,FALSE)-AVERAGE(Rankings!AI2:AI651))/STDEV(Rankings!AI2:AI651)*-1</f>
        <v>-0.48752750089716645</v>
      </c>
      <c r="AC487" s="121">
        <f>(VLOOKUP($A487,Pitchers!$A1:$S251,11,FALSE)-AVERAGE(Rankings!AJ2:AJ651))/STDEV(Rankings!AJ2:AJ651)*-1</f>
        <v>-0.36963787993407543</v>
      </c>
      <c r="AD487" s="121">
        <f>(VLOOKUP($A487,Pitchers!$A1:$S251,12,FALSE)-AVERAGE(Rankings!AK2:AK651))/STDEV(Rankings!AK2:AK651)*-1</f>
        <v>-0.60111686815890086</v>
      </c>
      <c r="AE487" s="121">
        <f>IFERROR((VLOOKUP($A487,Pitchers!$A1:$S251,13,FALSE)-AVERAGE(Rankings!AL2:AL651))/STDEV(Rankings!AL2:AL651)*-1,0)</f>
        <v>-0.36550244554194927</v>
      </c>
      <c r="AF487" s="121">
        <f>(VLOOKUP($A487,Pitchers!$A1:$S251,14,FALSE)-AVERAGE(Rankings!AM2:AM651))/STDEV(Rankings!AM2:AM651)</f>
        <v>-1.1273027029935911</v>
      </c>
      <c r="AG487" s="121">
        <f>(VLOOKUP($A487,Pitchers!$A1:$S251,15,FALSE)-AVERAGE(Rankings!AN2:AN651))/STDEV(Rankings!AN2:AN651)</f>
        <v>0.47609293404134767</v>
      </c>
      <c r="AH487" s="121">
        <f>(VLOOKUP($A487,Pitchers!$A1:$S251,16,FALSE)-AVERAGE(Rankings!AO2:AO651))/STDEV(Rankings!AO2:AO651)*-1</f>
        <v>-0.64352383302914229</v>
      </c>
      <c r="AI487" s="121">
        <f>IFERROR((VLOOKUP($A487,Pitchers!$A1:$S251,17,FALSE)-AVERAGE(Rankings!AP2:AP651))/STDEV(Rankings!AP2:AP651),0)</f>
        <v>0.16333239649207321</v>
      </c>
      <c r="AJ487" s="121">
        <f>(VLOOKUP($A487,Pitchers!$A1:$S251,18,FALSE)-AVERAGE(Rankings!AQ2:AQ651))/STDEV(Rankings!AQ2:AQ651)</f>
        <v>-0.68467156957913733</v>
      </c>
      <c r="AK487" s="121">
        <f>IFERROR((VLOOKUP($A487,Pitchers!$A1:$S251,19,FALSE)-AVERAGE(Rankings!AR2:AR651))/STDEV(Rankings!AR2:AR651)*-1,0)</f>
        <v>0.47041511698728217</v>
      </c>
    </row>
    <row r="488" spans="1:37" ht="18.600000000000001" customHeight="1">
      <c r="A488" s="25" t="s">
        <v>389</v>
      </c>
      <c r="B488" s="26" t="s">
        <v>136</v>
      </c>
      <c r="C488" s="130" t="s">
        <v>31</v>
      </c>
      <c r="D488" s="67">
        <f>(V488*Settings!$G$2)+(Y488*Settings!$G$5)+(Z488*Settings!$G$6)+(AA488*Settings!$G$7)+(AB488*Settings!$G$8)+(AC488*Settings!$G$9)+(AD488*Settings!$G$10)+(AE488*Settings!$G$11)+(AF488*Settings!$G$12)+(AG488*Settings!$G$13)+(AH488*Settings!$G$14)+(AI488*Settings!$G$15)+(AJ488*Settings!$G$16)+(AK488*Settings!$G$17)+(W488*Settings!$G$3)+(X488*Settings!$G$4)</f>
        <v>-0.6423772456966117</v>
      </c>
      <c r="E488" s="67"/>
      <c r="F488" s="67"/>
      <c r="G488" s="67"/>
      <c r="H488" s="67"/>
      <c r="I488" s="67"/>
      <c r="J488" s="67"/>
      <c r="K488" s="73"/>
      <c r="L488" s="73"/>
      <c r="M488" s="67"/>
      <c r="N488" s="67"/>
      <c r="O488" s="67"/>
      <c r="P488" s="67"/>
      <c r="Q488" s="67"/>
      <c r="R488" s="73"/>
      <c r="S488" s="73"/>
      <c r="T488" s="67"/>
      <c r="U488" s="67"/>
      <c r="V488" s="121">
        <f>(VLOOKUP($A488,Pitchers!$A1:$S251,4,FALSE)-AVERAGE(Rankings!AC2:AC651))/STDEV(Rankings!AC2:AC651)</f>
        <v>0.31106401588533805</v>
      </c>
      <c r="W488" s="121">
        <f>(VLOOKUP($A488,Pitchers!$A1:$S251,5,FALSE)-AVERAGE(Rankings!AD2:AD651))/STDEV(Rankings!AD2:AD651)*-1</f>
        <v>-0.20410597038661452</v>
      </c>
      <c r="X488" s="121">
        <f>(VLOOKUP($A488,Pitchers!$A1:$S251,6,FALSE)-AVERAGE(Rankings!AE2:AE651))/STDEV(Rankings!AE2:AE651)*-1</f>
        <v>-0.19347593582803668</v>
      </c>
      <c r="Y488" s="121">
        <f>(VLOOKUP($A488,Pitchers!$A1:$S251,7,FALSE)-AVERAGE(Rankings!AF2:AF651))/STDEV(Rankings!AF2:AF651)</f>
        <v>0.34923145730309496</v>
      </c>
      <c r="Z488" s="121">
        <f>(VLOOKUP($A488,Pitchers!$A1:$S251,8,FALSE)-AVERAGE(Rankings!AG2:AG651))/STDEV(Rankings!AG2:AG651)</f>
        <v>-0.12988233463468188</v>
      </c>
      <c r="AA488" s="121">
        <f>(VLOOKUP($A488,Pitchers!$A1:$S251,9,FALSE)-AVERAGE(Rankings!AH2:AH651))/STDEV(Rankings!AH2:AH651)</f>
        <v>-0.46414446215037364</v>
      </c>
      <c r="AB488" s="121">
        <f>(VLOOKUP($A488,Pitchers!$A1:$S251,10,FALSE)-AVERAGE(Rankings!AI2:AI651))/STDEV(Rankings!AI2:AI651)*-1</f>
        <v>-0.30136615759648067</v>
      </c>
      <c r="AC488" s="121">
        <f>(VLOOKUP($A488,Pitchers!$A1:$S251,11,FALSE)-AVERAGE(Rankings!AJ2:AJ651))/STDEV(Rankings!AJ2:AJ651)*-1</f>
        <v>-0.23456448190558987</v>
      </c>
      <c r="AD488" s="121">
        <f>(VLOOKUP($A488,Pitchers!$A1:$S251,12,FALSE)-AVERAGE(Rankings!AK2:AK651))/STDEV(Rankings!AK2:AK651)*-1</f>
        <v>-0.64993053431551095</v>
      </c>
      <c r="AE488" s="121">
        <f>IFERROR((VLOOKUP($A488,Pitchers!$A1:$S251,13,FALSE)-AVERAGE(Rankings!AL2:AL651))/STDEV(Rankings!AL2:AL651)*-1,0)</f>
        <v>3.3517691512580598E-2</v>
      </c>
      <c r="AF488" s="121">
        <f>(VLOOKUP($A488,Pitchers!$A1:$S251,14,FALSE)-AVERAGE(Rankings!AM2:AM651))/STDEV(Rankings!AM2:AM651)</f>
        <v>-0.87331004423652636</v>
      </c>
      <c r="AG488" s="121">
        <f>(VLOOKUP($A488,Pitchers!$A1:$S251,15,FALSE)-AVERAGE(Rankings!AN2:AN651))/STDEV(Rankings!AN2:AN651)</f>
        <v>0.64880793797869052</v>
      </c>
      <c r="AH488" s="121">
        <f>(VLOOKUP($A488,Pitchers!$A1:$S251,16,FALSE)-AVERAGE(Rankings!AO2:AO651))/STDEV(Rankings!AO2:AO651)*-1</f>
        <v>-0.70615267071883614</v>
      </c>
      <c r="AI488" s="121">
        <f>IFERROR((VLOOKUP($A488,Pitchers!$A1:$S251,17,FALSE)-AVERAGE(Rankings!AP2:AP651))/STDEV(Rankings!AP2:AP651),0)</f>
        <v>0.30660642850266379</v>
      </c>
      <c r="AJ488" s="121">
        <f>(VLOOKUP($A488,Pitchers!$A1:$S251,18,FALSE)-AVERAGE(Rankings!AQ2:AQ651))/STDEV(Rankings!AQ2:AQ651)</f>
        <v>-0.68467156957913733</v>
      </c>
      <c r="AK488" s="121">
        <f>IFERROR((VLOOKUP($A488,Pitchers!$A1:$S251,19,FALSE)-AVERAGE(Rankings!AR2:AR651))/STDEV(Rankings!AR2:AR651)*-1,0)</f>
        <v>0.47041511698728217</v>
      </c>
    </row>
    <row r="489" spans="1:37" ht="18.600000000000001" customHeight="1">
      <c r="A489" s="25" t="s">
        <v>387</v>
      </c>
      <c r="B489" s="26" t="s">
        <v>92</v>
      </c>
      <c r="C489" s="130" t="s">
        <v>31</v>
      </c>
      <c r="D489" s="67">
        <f>(V489*Settings!$G$2)+(Y489*Settings!$G$5)+(Z489*Settings!$G$6)+(AA489*Settings!$G$7)+(AB489*Settings!$G$8)+(AC489*Settings!$G$9)+(AD489*Settings!$G$10)+(AE489*Settings!$G$11)+(AF489*Settings!$G$12)+(AG489*Settings!$G$13)+(AH489*Settings!$G$14)+(AI489*Settings!$G$15)+(AJ489*Settings!$G$16)+(AK489*Settings!$G$17)+(W489*Settings!$G$3)+(X489*Settings!$G$4)</f>
        <v>-0.61366667119979035</v>
      </c>
      <c r="E489" s="67"/>
      <c r="F489" s="67"/>
      <c r="G489" s="67"/>
      <c r="H489" s="67"/>
      <c r="I489" s="67"/>
      <c r="J489" s="67"/>
      <c r="K489" s="73"/>
      <c r="L489" s="73"/>
      <c r="M489" s="67"/>
      <c r="N489" s="67"/>
      <c r="O489" s="67"/>
      <c r="P489" s="67"/>
      <c r="Q489" s="67"/>
      <c r="R489" s="73"/>
      <c r="S489" s="73"/>
      <c r="T489" s="67"/>
      <c r="U489" s="67"/>
      <c r="V489" s="121">
        <f>(VLOOKUP($A489,Pitchers!$A1:$S251,4,FALSE)-AVERAGE(Rankings!AC2:AC651))/STDEV(Rankings!AC2:AC651)</f>
        <v>0.74649760339734195</v>
      </c>
      <c r="W489" s="121">
        <f>(VLOOKUP($A489,Pitchers!$A1:$S251,5,FALSE)-AVERAGE(Rankings!AD2:AD651))/STDEV(Rankings!AD2:AD651)*-1</f>
        <v>-0.10659101108630246</v>
      </c>
      <c r="X489" s="121">
        <f>(VLOOKUP($A489,Pitchers!$A1:$S251,6,FALSE)-AVERAGE(Rankings!AE2:AE651))/STDEV(Rankings!AE2:AE651)*-1</f>
        <v>-1.1410453201657034</v>
      </c>
      <c r="Y489" s="121">
        <f>(VLOOKUP($A489,Pitchers!$A1:$S251,7,FALSE)-AVERAGE(Rankings!AF2:AF651))/STDEV(Rankings!AF2:AF651)</f>
        <v>0.25701690761535345</v>
      </c>
      <c r="Z489" s="121">
        <f>(VLOOKUP($A489,Pitchers!$A1:$S251,8,FALSE)-AVERAGE(Rankings!AG2:AG651))/STDEV(Rankings!AG2:AG651)</f>
        <v>0.7962523390171512</v>
      </c>
      <c r="AA489" s="121">
        <f>(VLOOKUP($A489,Pitchers!$A1:$S251,9,FALSE)-AVERAGE(Rankings!AH2:AH651))/STDEV(Rankings!AH2:AH651)</f>
        <v>-0.41929958658028921</v>
      </c>
      <c r="AB489" s="121">
        <f>(VLOOKUP($A489,Pitchers!$A1:$S251,10,FALSE)-AVERAGE(Rankings!AI2:AI651))/STDEV(Rankings!AI2:AI651)*-1</f>
        <v>-0.65960323154833655</v>
      </c>
      <c r="AC489" s="121">
        <f>(VLOOKUP($A489,Pitchers!$A1:$S251,11,FALSE)-AVERAGE(Rankings!AJ2:AJ651))/STDEV(Rankings!AJ2:AJ651)*-1</f>
        <v>-0.88931500603314395</v>
      </c>
      <c r="AD489" s="121">
        <f>(VLOOKUP($A489,Pitchers!$A1:$S251,12,FALSE)-AVERAGE(Rankings!AK2:AK651))/STDEV(Rankings!AK2:AK651)*-1</f>
        <v>-1.2747454611201212</v>
      </c>
      <c r="AE489" s="121">
        <f>IFERROR((VLOOKUP($A489,Pitchers!$A1:$S251,13,FALSE)-AVERAGE(Rankings!AL2:AL651))/STDEV(Rankings!AL2:AL651)*-1,0)</f>
        <v>-0.49850915789345923</v>
      </c>
      <c r="AF489" s="121">
        <f>(VLOOKUP($A489,Pitchers!$A1:$S251,14,FALSE)-AVERAGE(Rankings!AM2:AM651))/STDEV(Rankings!AM2:AM651)</f>
        <v>-0.609506510248502</v>
      </c>
      <c r="AG489" s="121">
        <f>(VLOOKUP($A489,Pitchers!$A1:$S251,15,FALSE)-AVERAGE(Rankings!AN2:AN651))/STDEV(Rankings!AN2:AN651)</f>
        <v>0.78126606129905873</v>
      </c>
      <c r="AH489" s="121">
        <f>(VLOOKUP($A489,Pitchers!$A1:$S251,16,FALSE)-AVERAGE(Rankings!AO2:AO651))/STDEV(Rankings!AO2:AO651)*-1</f>
        <v>-0.58089499533944877</v>
      </c>
      <c r="AI489" s="121">
        <f>IFERROR((VLOOKUP($A489,Pitchers!$A1:$S251,17,FALSE)-AVERAGE(Rankings!AP2:AP651))/STDEV(Rankings!AP2:AP651),0)</f>
        <v>1.0229765885556166</v>
      </c>
      <c r="AJ489" s="121">
        <f>(VLOOKUP($A489,Pitchers!$A1:$S251,18,FALSE)-AVERAGE(Rankings!AQ2:AQ651))/STDEV(Rankings!AQ2:AQ651)</f>
        <v>-0.68467156957913733</v>
      </c>
      <c r="AK489" s="121">
        <f>IFERROR((VLOOKUP($A489,Pitchers!$A1:$S251,19,FALSE)-AVERAGE(Rankings!AR2:AR651))/STDEV(Rankings!AR2:AR651)*-1,0)</f>
        <v>0.47041511698728217</v>
      </c>
    </row>
    <row r="490" spans="1:37" ht="18.600000000000001" customHeight="1">
      <c r="A490" s="25" t="s">
        <v>349</v>
      </c>
      <c r="B490" s="26" t="s">
        <v>219</v>
      </c>
      <c r="C490" s="130" t="s">
        <v>31</v>
      </c>
      <c r="D490" s="67">
        <f>(V490*Settings!$G$2)+(Y490*Settings!$G$5)+(Z490*Settings!$G$6)+(AA490*Settings!$G$7)+(AB490*Settings!$G$8)+(AC490*Settings!$G$9)+(AD490*Settings!$G$10)+(AE490*Settings!$G$11)+(AF490*Settings!$G$12)+(AG490*Settings!$G$13)+(AH490*Settings!$G$14)+(AI490*Settings!$G$15)+(AJ490*Settings!$G$16)+(AK490*Settings!$G$17)+(W490*Settings!$G$3)+(X490*Settings!$G$4)</f>
        <v>-1.8940111080118061E-2</v>
      </c>
      <c r="E490" s="67"/>
      <c r="F490" s="67"/>
      <c r="G490" s="67"/>
      <c r="H490" s="67"/>
      <c r="I490" s="67"/>
      <c r="J490" s="67"/>
      <c r="K490" s="73"/>
      <c r="L490" s="73"/>
      <c r="M490" s="67"/>
      <c r="N490" s="67"/>
      <c r="O490" s="67"/>
      <c r="P490" s="67"/>
      <c r="Q490" s="67"/>
      <c r="R490" s="73"/>
      <c r="S490" s="73"/>
      <c r="T490" s="67"/>
      <c r="U490" s="67"/>
      <c r="V490" s="121">
        <f>(VLOOKUP($A490,Pitchers!$A1:$S251,4,FALSE)-AVERAGE(Rankings!AC2:AC651))/STDEV(Rankings!AC2:AC651)</f>
        <v>0.54607112227350219</v>
      </c>
      <c r="W490" s="121">
        <f>(VLOOKUP($A490,Pitchers!$A1:$S251,5,FALSE)-AVERAGE(Rankings!AD2:AD651))/STDEV(Rankings!AD2:AD651)*-1</f>
        <v>-0.41769742463729675</v>
      </c>
      <c r="X490" s="121">
        <f>(VLOOKUP($A490,Pitchers!$A1:$S251,6,FALSE)-AVERAGE(Rankings!AE2:AE651))/STDEV(Rankings!AE2:AE651)*-1</f>
        <v>0.52360979646396111</v>
      </c>
      <c r="Y490" s="121">
        <f>(VLOOKUP($A490,Pitchers!$A1:$S251,7,FALSE)-AVERAGE(Rankings!AF2:AF651))/STDEV(Rankings!AF2:AF651)</f>
        <v>1.1595507659002155E-2</v>
      </c>
      <c r="Z490" s="121">
        <f>(VLOOKUP($A490,Pitchers!$A1:$S251,8,FALSE)-AVERAGE(Rankings!AG2:AG651))/STDEV(Rankings!AG2:AG651)</f>
        <v>0.28285159601450466</v>
      </c>
      <c r="AA490" s="121">
        <f>(VLOOKUP($A490,Pitchers!$A1:$S251,9,FALSE)-AVERAGE(Rankings!AH2:AH651))/STDEV(Rankings!AH2:AH651)</f>
        <v>-0.41929958658028921</v>
      </c>
      <c r="AB490" s="121">
        <f>(VLOOKUP($A490,Pitchers!$A1:$S251,10,FALSE)-AVERAGE(Rankings!AI2:AI651))/STDEV(Rankings!AI2:AI651)*-1</f>
        <v>-0.59253889669467363</v>
      </c>
      <c r="AC490" s="121">
        <f>(VLOOKUP($A490,Pitchers!$A1:$S251,11,FALSE)-AVERAGE(Rankings!AJ2:AJ651))/STDEV(Rankings!AJ2:AJ651)*-1</f>
        <v>-0.60850452065813454</v>
      </c>
      <c r="AD490" s="121">
        <f>(VLOOKUP($A490,Pitchers!$A1:$S251,12,FALSE)-AVERAGE(Rankings!AK2:AK651))/STDEV(Rankings!AK2:AK651)*-1</f>
        <v>0.3483089385871676</v>
      </c>
      <c r="AE490" s="121">
        <f>IFERROR((VLOOKUP($A490,Pitchers!$A1:$S251,13,FALSE)-AVERAGE(Rankings!AL2:AL651))/STDEV(Rankings!AL2:AL651)*-1,0)</f>
        <v>-0.63151587024496925</v>
      </c>
      <c r="AF490" s="121">
        <f>(VLOOKUP($A490,Pitchers!$A1:$S251,14,FALSE)-AVERAGE(Rankings!AM2:AM651))/STDEV(Rankings!AM2:AM651)</f>
        <v>-0.64438962218080265</v>
      </c>
      <c r="AG490" s="121">
        <f>(VLOOKUP($A490,Pitchers!$A1:$S251,15,FALSE)-AVERAGE(Rankings!AN2:AN651))/STDEV(Rankings!AN2:AN651)</f>
        <v>0.66179402850029534</v>
      </c>
      <c r="AH490" s="121">
        <f>(VLOOKUP($A490,Pitchers!$A1:$S251,16,FALSE)-AVERAGE(Rankings!AO2:AO651))/STDEV(Rankings!AO2:AO651)*-1</f>
        <v>-0.50574039011181582</v>
      </c>
      <c r="AI490" s="121">
        <f>IFERROR((VLOOKUP($A490,Pitchers!$A1:$S251,17,FALSE)-AVERAGE(Rankings!AP2:AP651))/STDEV(Rankings!AP2:AP651),0)</f>
        <v>0.30660642850266379</v>
      </c>
      <c r="AJ490" s="121">
        <f>(VLOOKUP($A490,Pitchers!$A1:$S251,18,FALSE)-AVERAGE(Rankings!AQ2:AQ651))/STDEV(Rankings!AQ2:AQ651)</f>
        <v>-0.68467156957913733</v>
      </c>
      <c r="AK490" s="121">
        <f>IFERROR((VLOOKUP($A490,Pitchers!$A1:$S251,19,FALSE)-AVERAGE(Rankings!AR2:AR651))/STDEV(Rankings!AR2:AR651)*-1,0)</f>
        <v>0.47041511698728217</v>
      </c>
    </row>
    <row r="491" spans="1:37" ht="18.600000000000001" customHeight="1">
      <c r="A491" s="25" t="s">
        <v>394</v>
      </c>
      <c r="B491" s="26" t="s">
        <v>64</v>
      </c>
      <c r="C491" s="130" t="s">
        <v>31</v>
      </c>
      <c r="D491" s="67">
        <f>(V491*Settings!$G$2)+(Y491*Settings!$G$5)+(Z491*Settings!$G$6)+(AA491*Settings!$G$7)+(AB491*Settings!$G$8)+(AC491*Settings!$G$9)+(AD491*Settings!$G$10)+(AE491*Settings!$G$11)+(AF491*Settings!$G$12)+(AG491*Settings!$G$13)+(AH491*Settings!$G$14)+(AI491*Settings!$G$15)+(AJ491*Settings!$G$16)+(AK491*Settings!$G$17)+(W491*Settings!$G$3)+(X491*Settings!$G$4)</f>
        <v>-0.70673011914586792</v>
      </c>
      <c r="E491" s="67"/>
      <c r="F491" s="67"/>
      <c r="G491" s="67"/>
      <c r="H491" s="67"/>
      <c r="I491" s="67"/>
      <c r="J491" s="67"/>
      <c r="K491" s="73"/>
      <c r="L491" s="73"/>
      <c r="M491" s="67"/>
      <c r="N491" s="67"/>
      <c r="O491" s="67"/>
      <c r="P491" s="67"/>
      <c r="Q491" s="67"/>
      <c r="R491" s="73"/>
      <c r="S491" s="73"/>
      <c r="T491" s="67"/>
      <c r="U491" s="67"/>
      <c r="V491" s="121">
        <f>(VLOOKUP($A491,Pitchers!$A1:$S251,4,FALSE)-AVERAGE(Rankings!AC2:AC651))/STDEV(Rankings!AC2:AC651)</f>
        <v>0.46773542014411434</v>
      </c>
      <c r="W491" s="121">
        <f>(VLOOKUP($A491,Pitchers!$A1:$S251,5,FALSE)-AVERAGE(Rankings!AD2:AD651))/STDEV(Rankings!AD2:AD651)*-1</f>
        <v>-0.60033643271725723</v>
      </c>
      <c r="X491" s="121">
        <f>(VLOOKUP($A491,Pitchers!$A1:$S251,6,FALSE)-AVERAGE(Rankings!AE2:AE651))/STDEV(Rankings!AE2:AE651)*-1</f>
        <v>6.2242096963147968E-2</v>
      </c>
      <c r="Y491" s="121">
        <f>(VLOOKUP($A491,Pitchers!$A1:$S251,7,FALSE)-AVERAGE(Rankings!AF2:AF651))/STDEV(Rankings!AF2:AF651)</f>
        <v>0.10598835379606025</v>
      </c>
      <c r="Z491" s="121">
        <f>(VLOOKUP($A491,Pitchers!$A1:$S251,8,FALSE)-AVERAGE(Rankings!AG2:AG651))/STDEV(Rankings!AG2:AG651)</f>
        <v>-7.9548928457951751E-2</v>
      </c>
      <c r="AA491" s="121">
        <f>(VLOOKUP($A491,Pitchers!$A1:$S251,9,FALSE)-AVERAGE(Rankings!AH2:AH651))/STDEV(Rankings!AH2:AH651)</f>
        <v>-0.19507520872986717</v>
      </c>
      <c r="AB491" s="121">
        <f>(VLOOKUP($A491,Pitchers!$A1:$S251,10,FALSE)-AVERAGE(Rankings!AI2:AI651))/STDEV(Rankings!AI2:AI651)*-1</f>
        <v>-0.58367907637141714</v>
      </c>
      <c r="AC491" s="121">
        <f>(VLOOKUP($A491,Pitchers!$A1:$S251,11,FALSE)-AVERAGE(Rankings!AJ2:AJ651))/STDEV(Rankings!AJ2:AJ651)*-1</f>
        <v>-0.3838561323581266</v>
      </c>
      <c r="AD491" s="121">
        <f>(VLOOKUP($A491,Pitchers!$A1:$S251,12,FALSE)-AVERAGE(Rankings!AK2:AK651))/STDEV(Rankings!AK2:AK651)*-1</f>
        <v>-0.55718456861795163</v>
      </c>
      <c r="AE491" s="121">
        <f>IFERROR((VLOOKUP($A491,Pitchers!$A1:$S251,13,FALSE)-AVERAGE(Rankings!AL2:AL651))/STDEV(Rankings!AL2:AL651)*-1,0)</f>
        <v>-9.9489020838929354E-2</v>
      </c>
      <c r="AF491" s="121">
        <f>(VLOOKUP($A491,Pitchers!$A1:$S251,14,FALSE)-AVERAGE(Rankings!AM2:AM651))/STDEV(Rankings!AM2:AM651)</f>
        <v>-0.56808281482889467</v>
      </c>
      <c r="AG491" s="121">
        <f>(VLOOKUP($A491,Pitchers!$A1:$S251,15,FALSE)-AVERAGE(Rankings!AN2:AN651))/STDEV(Rankings!AN2:AN651)</f>
        <v>0.20728086024412973</v>
      </c>
      <c r="AH491" s="121">
        <f>(VLOOKUP($A491,Pitchers!$A1:$S251,16,FALSE)-AVERAGE(Rankings!AO2:AO651))/STDEV(Rankings!AO2:AO651)*-1</f>
        <v>-0.14249313151159226</v>
      </c>
      <c r="AI491" s="121">
        <f>IFERROR((VLOOKUP($A491,Pitchers!$A1:$S251,17,FALSE)-AVERAGE(Rankings!AP2:AP651))/STDEV(Rankings!AP2:AP651),0)</f>
        <v>-0.12321566752910794</v>
      </c>
      <c r="AJ491" s="121">
        <f>(VLOOKUP($A491,Pitchers!$A1:$S251,18,FALSE)-AVERAGE(Rankings!AQ2:AQ651))/STDEV(Rankings!AQ2:AQ651)</f>
        <v>-0.36340131918314017</v>
      </c>
      <c r="AK491" s="121">
        <f>IFERROR((VLOOKUP($A491,Pitchers!$A1:$S251,19,FALSE)-AVERAGE(Rankings!AR2:AR651))/STDEV(Rankings!AR2:AR651)*-1,0)</f>
        <v>0.47041511698728217</v>
      </c>
    </row>
    <row r="492" spans="1:37" ht="18.600000000000001" customHeight="1">
      <c r="A492" s="25" t="s">
        <v>467</v>
      </c>
      <c r="B492" s="26" t="s">
        <v>139</v>
      </c>
      <c r="C492" s="130" t="s">
        <v>31</v>
      </c>
      <c r="D492" s="67">
        <f>(V492*Settings!$G$2)+(Y492*Settings!$G$5)+(Z492*Settings!$G$6)+(AA492*Settings!$G$7)+(AB492*Settings!$G$8)+(AC492*Settings!$G$9)+(AD492*Settings!$G$10)+(AE492*Settings!$G$11)+(AF492*Settings!$G$12)+(AG492*Settings!$G$13)+(AH492*Settings!$G$14)+(AI492*Settings!$G$15)+(AJ492*Settings!$G$16)+(AK492*Settings!$G$17)+(W492*Settings!$G$3)+(X492*Settings!$G$4)</f>
        <v>-1.9093907665979861</v>
      </c>
      <c r="E492" s="67"/>
      <c r="F492" s="67"/>
      <c r="G492" s="67"/>
      <c r="H492" s="67"/>
      <c r="I492" s="67"/>
      <c r="J492" s="67"/>
      <c r="K492" s="73"/>
      <c r="L492" s="73"/>
      <c r="M492" s="67"/>
      <c r="N492" s="67"/>
      <c r="O492" s="67"/>
      <c r="P492" s="67"/>
      <c r="Q492" s="67"/>
      <c r="R492" s="73"/>
      <c r="S492" s="73"/>
      <c r="T492" s="67"/>
      <c r="U492" s="67"/>
      <c r="V492" s="121">
        <f>(VLOOKUP($A492,Pitchers!$A1:$S251,4,FALSE)-AVERAGE(Rankings!AC2:AC651))/STDEV(Rankings!AC2:AC651)</f>
        <v>0.86929410943800456</v>
      </c>
      <c r="W492" s="121">
        <f>(VLOOKUP($A492,Pitchers!$A1:$S251,5,FALSE)-AVERAGE(Rankings!AD2:AD651))/STDEV(Rankings!AD2:AD651)*-1</f>
        <v>-1.1182250957967081</v>
      </c>
      <c r="X492" s="121">
        <f>(VLOOKUP($A492,Pitchers!$A1:$S251,6,FALSE)-AVERAGE(Rankings!AE2:AE651))/STDEV(Rankings!AE2:AE651)*-1</f>
        <v>-1.2780766385012061</v>
      </c>
      <c r="Y492" s="121">
        <f>(VLOOKUP($A492,Pitchers!$A1:$S251,7,FALSE)-AVERAGE(Rankings!AF2:AF651))/STDEV(Rankings!AF2:AF651)</f>
        <v>0.65310381198277823</v>
      </c>
      <c r="Z492" s="121">
        <f>(VLOOKUP($A492,Pitchers!$A1:$S251,8,FALSE)-AVERAGE(Rankings!AG2:AG651))/STDEV(Rankings!AG2:AG651)</f>
        <v>0.29795161786752361</v>
      </c>
      <c r="AA492" s="121">
        <f>(VLOOKUP($A492,Pitchers!$A1:$S251,9,FALSE)-AVERAGE(Rankings!AH2:AH651))/STDEV(Rankings!AH2:AH651)</f>
        <v>-0.46414446215037364</v>
      </c>
      <c r="AB492" s="121">
        <f>(VLOOKUP($A492,Pitchers!$A1:$S251,10,FALSE)-AVERAGE(Rankings!AI2:AI651))/STDEV(Rankings!AI2:AI651)*-1</f>
        <v>-1.1770167384264865</v>
      </c>
      <c r="AC492" s="121">
        <f>(VLOOKUP($A492,Pitchers!$A1:$S251,11,FALSE)-AVERAGE(Rankings!AJ2:AJ651))/STDEV(Rankings!AJ2:AJ651)*-1</f>
        <v>-1.1150297632649551</v>
      </c>
      <c r="AD492" s="121">
        <f>(VLOOKUP($A492,Pitchers!$A1:$S251,12,FALSE)-AVERAGE(Rankings!AK2:AK651))/STDEV(Rankings!AK2:AK651)*-1</f>
        <v>-1.2161690617321892</v>
      </c>
      <c r="AE492" s="121">
        <f>IFERROR((VLOOKUP($A492,Pitchers!$A1:$S251,13,FALSE)-AVERAGE(Rankings!AL2:AL651))/STDEV(Rankings!AL2:AL651)*-1,0)</f>
        <v>-0.89752929494798916</v>
      </c>
      <c r="AF492" s="121">
        <f>(VLOOKUP($A492,Pitchers!$A1:$S251,14,FALSE)-AVERAGE(Rankings!AM2:AM651))/STDEV(Rankings!AM2:AM651)</f>
        <v>-0.68581331760040976</v>
      </c>
      <c r="AG492" s="121">
        <f>(VLOOKUP($A492,Pitchers!$A1:$S251,15,FALSE)-AVERAGE(Rankings!AN2:AN651))/STDEV(Rankings!AN2:AN651)</f>
        <v>1.0020296001663394</v>
      </c>
      <c r="AH492" s="121">
        <f>(VLOOKUP($A492,Pitchers!$A1:$S251,16,FALSE)-AVERAGE(Rankings!AO2:AO651))/STDEV(Rankings!AO2:AO651)*-1</f>
        <v>-1.4702244905331001</v>
      </c>
      <c r="AI492" s="121">
        <f>IFERROR((VLOOKUP($A492,Pitchers!$A1:$S251,17,FALSE)-AVERAGE(Rankings!AP2:AP651))/STDEV(Rankings!AP2:AP651),0)</f>
        <v>0.73642852453443552</v>
      </c>
      <c r="AJ492" s="121">
        <f>(VLOOKUP($A492,Pitchers!$A1:$S251,18,FALSE)-AVERAGE(Rankings!AQ2:AQ651))/STDEV(Rankings!AQ2:AQ651)</f>
        <v>-0.68467156957913733</v>
      </c>
      <c r="AK492" s="121">
        <f>IFERROR((VLOOKUP($A492,Pitchers!$A1:$S251,19,FALSE)-AVERAGE(Rankings!AR2:AR651))/STDEV(Rankings!AR2:AR651)*-1,0)</f>
        <v>0.47041511698728217</v>
      </c>
    </row>
    <row r="493" spans="1:37" ht="18.600000000000001" customHeight="1">
      <c r="A493" s="25" t="s">
        <v>457</v>
      </c>
      <c r="B493" s="26" t="s">
        <v>139</v>
      </c>
      <c r="C493" s="130" t="s">
        <v>31</v>
      </c>
      <c r="D493" s="67">
        <f>(V493*Settings!$G$2)+(Y493*Settings!$G$5)+(Z493*Settings!$G$6)+(AA493*Settings!$G$7)+(AB493*Settings!$G$8)+(AC493*Settings!$G$9)+(AD493*Settings!$G$10)+(AE493*Settings!$G$11)+(AF493*Settings!$G$12)+(AG493*Settings!$G$13)+(AH493*Settings!$G$14)+(AI493*Settings!$G$15)+(AJ493*Settings!$G$16)+(AK493*Settings!$G$17)+(W493*Settings!$G$3)+(X493*Settings!$G$4)</f>
        <v>-1.8218831650436789</v>
      </c>
      <c r="E493" s="67"/>
      <c r="F493" s="67"/>
      <c r="G493" s="67"/>
      <c r="H493" s="67"/>
      <c r="I493" s="67"/>
      <c r="J493" s="67"/>
      <c r="K493" s="73"/>
      <c r="L493" s="73"/>
      <c r="M493" s="67"/>
      <c r="N493" s="67"/>
      <c r="O493" s="67"/>
      <c r="P493" s="67"/>
      <c r="Q493" s="67"/>
      <c r="R493" s="73"/>
      <c r="S493" s="73"/>
      <c r="T493" s="67"/>
      <c r="U493" s="67"/>
      <c r="V493" s="121">
        <f>(VLOOKUP($A493,Pitchers!$A1:$S251,4,FALSE)-AVERAGE(Rankings!AC2:AC651))/STDEV(Rankings!AC2:AC651)</f>
        <v>1.0460787345137856</v>
      </c>
      <c r="W493" s="121">
        <f>(VLOOKUP($A493,Pitchers!$A1:$S251,5,FALSE)-AVERAGE(Rankings!AD2:AD651))/STDEV(Rankings!AD2:AD651)*-1</f>
        <v>-0.88072398685528097</v>
      </c>
      <c r="X493" s="121">
        <f>(VLOOKUP($A493,Pitchers!$A1:$S251,6,FALSE)-AVERAGE(Rankings!AE2:AE651))/STDEV(Rankings!AE2:AE651)*-1</f>
        <v>-1.40911046619254</v>
      </c>
      <c r="Y493" s="121">
        <f>(VLOOKUP($A493,Pitchers!$A1:$S251,7,FALSE)-AVERAGE(Rankings!AF2:AF651))/STDEV(Rankings!AF2:AF651)</f>
        <v>0.58884406672793499</v>
      </c>
      <c r="Z493" s="121">
        <f>(VLOOKUP($A493,Pitchers!$A1:$S251,8,FALSE)-AVERAGE(Rankings!AG2:AG651))/STDEV(Rankings!AG2:AG651)</f>
        <v>0.3432516834265808</v>
      </c>
      <c r="AA493" s="121">
        <f>(VLOOKUP($A493,Pitchers!$A1:$S251,9,FALSE)-AVERAGE(Rankings!AH2:AH651))/STDEV(Rankings!AH2:AH651)</f>
        <v>-0.46414446215037364</v>
      </c>
      <c r="AB493" s="121">
        <f>(VLOOKUP($A493,Pitchers!$A1:$S251,10,FALSE)-AVERAGE(Rankings!AI2:AI651))/STDEV(Rankings!AI2:AI651)*-1</f>
        <v>-1.256980371005026</v>
      </c>
      <c r="AC493" s="121">
        <f>(VLOOKUP($A493,Pitchers!$A1:$S251,11,FALSE)-AVERAGE(Rankings!AJ2:AJ651))/STDEV(Rankings!AJ2:AJ651)*-1</f>
        <v>-1.2174011807181233</v>
      </c>
      <c r="AD493" s="121">
        <f>(VLOOKUP($A493,Pitchers!$A1:$S251,12,FALSE)-AVERAGE(Rankings!AK2:AK651))/STDEV(Rankings!AK2:AK651)*-1</f>
        <v>-1.8385433052289692</v>
      </c>
      <c r="AE493" s="121">
        <f>IFERROR((VLOOKUP($A493,Pitchers!$A1:$S251,13,FALSE)-AVERAGE(Rankings!AL2:AL651))/STDEV(Rankings!AL2:AL651)*-1,0)</f>
        <v>-0.49850915789345923</v>
      </c>
      <c r="AF493" s="121">
        <f>(VLOOKUP($A493,Pitchers!$A1:$S251,14,FALSE)-AVERAGE(Rankings!AM2:AM651))/STDEV(Rankings!AM2:AM651)</f>
        <v>-0.68581331760040976</v>
      </c>
      <c r="AG493" s="121">
        <f>(VLOOKUP($A493,Pitchers!$A1:$S251,15,FALSE)-AVERAGE(Rankings!AN2:AN651))/STDEV(Rankings!AN2:AN651)</f>
        <v>1.0020296001663394</v>
      </c>
      <c r="AH493" s="121">
        <f>(VLOOKUP($A493,Pitchers!$A1:$S251,16,FALSE)-AVERAGE(Rankings!AO2:AO651))/STDEV(Rankings!AO2:AO651)*-1</f>
        <v>-1.5265904444538245</v>
      </c>
      <c r="AI493" s="121">
        <f>IFERROR((VLOOKUP($A493,Pitchers!$A1:$S251,17,FALSE)-AVERAGE(Rankings!AP2:AP651))/STDEV(Rankings!AP2:AP651),0)</f>
        <v>0.73642852453443552</v>
      </c>
      <c r="AJ493" s="121">
        <f>(VLOOKUP($A493,Pitchers!$A1:$S251,18,FALSE)-AVERAGE(Rankings!AQ2:AQ651))/STDEV(Rankings!AQ2:AQ651)</f>
        <v>-0.68467156957913733</v>
      </c>
      <c r="AK493" s="121">
        <f>IFERROR((VLOOKUP($A493,Pitchers!$A1:$S251,19,FALSE)-AVERAGE(Rankings!AR2:AR651))/STDEV(Rankings!AR2:AR651)*-1,0)</f>
        <v>0.47041511698728217</v>
      </c>
    </row>
    <row r="494" spans="1:37" ht="18.600000000000001" customHeight="1">
      <c r="A494" s="25" t="s">
        <v>409</v>
      </c>
      <c r="B494" s="26" t="s">
        <v>125</v>
      </c>
      <c r="C494" s="130" t="s">
        <v>31</v>
      </c>
      <c r="D494" s="67">
        <f>(V494*Settings!$G$2)+(Y494*Settings!$G$5)+(Z494*Settings!$G$6)+(AA494*Settings!$G$7)+(AB494*Settings!$G$8)+(AC494*Settings!$G$9)+(AD494*Settings!$G$10)+(AE494*Settings!$G$11)+(AF494*Settings!$G$12)+(AG494*Settings!$G$13)+(AH494*Settings!$G$14)+(AI494*Settings!$G$15)+(AJ494*Settings!$G$16)+(AK494*Settings!$G$17)+(W494*Settings!$G$3)+(X494*Settings!$G$4)</f>
        <v>-0.90826770816279356</v>
      </c>
      <c r="E494" s="67"/>
      <c r="F494" s="67"/>
      <c r="G494" s="67"/>
      <c r="H494" s="67"/>
      <c r="I494" s="67"/>
      <c r="J494" s="67"/>
      <c r="K494" s="73"/>
      <c r="L494" s="73"/>
      <c r="M494" s="67"/>
      <c r="N494" s="67"/>
      <c r="O494" s="67"/>
      <c r="P494" s="67"/>
      <c r="Q494" s="67"/>
      <c r="R494" s="73"/>
      <c r="S494" s="73"/>
      <c r="T494" s="67"/>
      <c r="U494" s="67"/>
      <c r="V494" s="121">
        <f>(VLOOKUP($A494,Pitchers!$A1:$S251,4,FALSE)-AVERAGE(Rankings!AC2:AC651))/STDEV(Rankings!AC2:AC651)</f>
        <v>0.25601730628090302</v>
      </c>
      <c r="W494" s="121">
        <f>(VLOOKUP($A494,Pitchers!$A1:$S251,5,FALSE)-AVERAGE(Rankings!AD2:AD651))/STDEV(Rankings!AD2:AD651)*-1</f>
        <v>-0.57602161222372428</v>
      </c>
      <c r="X494" s="121">
        <f>(VLOOKUP($A494,Pitchers!$A1:$S251,6,FALSE)-AVERAGE(Rankings!AE2:AE651))/STDEV(Rankings!AE2:AE651)*-1</f>
        <v>-0.66775814093067853</v>
      </c>
      <c r="Y494" s="121">
        <f>(VLOOKUP($A494,Pitchers!$A1:$S251,7,FALSE)-AVERAGE(Rankings!AF2:AF651))/STDEV(Rankings!AF2:AF651)</f>
        <v>0.20473779283175217</v>
      </c>
      <c r="Z494" s="121">
        <f>(VLOOKUP($A494,Pitchers!$A1:$S251,8,FALSE)-AVERAGE(Rankings!AG2:AG651))/STDEV(Rankings!AG2:AG651)</f>
        <v>0.59491871431023069</v>
      </c>
      <c r="AA494" s="121">
        <f>(VLOOKUP($A494,Pitchers!$A1:$S251,9,FALSE)-AVERAGE(Rankings!AH2:AH651))/STDEV(Rankings!AH2:AH651)</f>
        <v>-0.46414446215037364</v>
      </c>
      <c r="AB494" s="121">
        <f>(VLOOKUP($A494,Pitchers!$A1:$S251,10,FALSE)-AVERAGE(Rankings!AI2:AI651))/STDEV(Rankings!AI2:AI651)*-1</f>
        <v>-0.37281535267792504</v>
      </c>
      <c r="AC494" s="121">
        <f>(VLOOKUP($A494,Pitchers!$A1:$S251,11,FALSE)-AVERAGE(Rankings!AJ2:AJ651))/STDEV(Rankings!AJ2:AJ651)*-1</f>
        <v>-0.22034622948153867</v>
      </c>
      <c r="AD494" s="121">
        <f>(VLOOKUP($A494,Pitchers!$A1:$S251,12,FALSE)-AVERAGE(Rankings!AK2:AK651))/STDEV(Rankings!AK2:AK651)*-1</f>
        <v>-0.89155818179073165</v>
      </c>
      <c r="AE494" s="121">
        <f>IFERROR((VLOOKUP($A494,Pitchers!$A1:$S251,13,FALSE)-AVERAGE(Rankings!AL2:AL651))/STDEV(Rankings!AL2:AL651)*-1,0)</f>
        <v>-0.63151587024496925</v>
      </c>
      <c r="AF494" s="121">
        <f>(VLOOKUP($A494,Pitchers!$A1:$S251,14,FALSE)-AVERAGE(Rankings!AM2:AM651))/STDEV(Rankings!AM2:AM651)</f>
        <v>-0.79046265339731214</v>
      </c>
      <c r="AG494" s="121">
        <f>(VLOOKUP($A494,Pitchers!$A1:$S251,15,FALSE)-AVERAGE(Rankings!AN2:AN651))/STDEV(Rankings!AN2:AN651)</f>
        <v>0.7475022259428864</v>
      </c>
      <c r="AH494" s="121">
        <f>(VLOOKUP($A494,Pitchers!$A1:$S251,16,FALSE)-AVERAGE(Rankings!AO2:AO651))/STDEV(Rankings!AO2:AO651)*-1</f>
        <v>-0.18007043412540805</v>
      </c>
      <c r="AI494" s="121">
        <f>IFERROR((VLOOKUP($A494,Pitchers!$A1:$S251,17,FALSE)-AVERAGE(Rankings!AP2:AP651))/STDEV(Rankings!AP2:AP651),0)</f>
        <v>0.44988046051325437</v>
      </c>
      <c r="AJ494" s="121">
        <f>(VLOOKUP($A494,Pitchers!$A1:$S251,18,FALSE)-AVERAGE(Rankings!AQ2:AQ651))/STDEV(Rankings!AQ2:AQ651)</f>
        <v>-0.68467156957913733</v>
      </c>
      <c r="AK494" s="121">
        <f>IFERROR((VLOOKUP($A494,Pitchers!$A1:$S251,19,FALSE)-AVERAGE(Rankings!AR2:AR651))/STDEV(Rankings!AR2:AR651)*-1,0)</f>
        <v>0.47041511698728217</v>
      </c>
    </row>
    <row r="495" spans="1:37" ht="18.600000000000001" customHeight="1">
      <c r="A495" s="25" t="s">
        <v>468</v>
      </c>
      <c r="B495" s="26" t="s">
        <v>101</v>
      </c>
      <c r="C495" s="130" t="s">
        <v>31</v>
      </c>
      <c r="D495" s="67">
        <f>(V495*Settings!$G$2)+(Y495*Settings!$G$5)+(Z495*Settings!$G$6)+(AA495*Settings!$G$7)+(AB495*Settings!$G$8)+(AC495*Settings!$G$9)+(AD495*Settings!$G$10)+(AE495*Settings!$G$11)+(AF495*Settings!$G$12)+(AG495*Settings!$G$13)+(AH495*Settings!$G$14)+(AI495*Settings!$G$15)+(AJ495*Settings!$G$16)+(AK495*Settings!$G$17)+(W495*Settings!$G$3)+(X495*Settings!$G$4)</f>
        <v>-1.9236856249535232</v>
      </c>
      <c r="E495" s="67"/>
      <c r="F495" s="67"/>
      <c r="G495" s="67"/>
      <c r="H495" s="67"/>
      <c r="I495" s="67"/>
      <c r="J495" s="67"/>
      <c r="K495" s="73"/>
      <c r="L495" s="73"/>
      <c r="M495" s="67"/>
      <c r="N495" s="67"/>
      <c r="O495" s="67"/>
      <c r="P495" s="67"/>
      <c r="Q495" s="67"/>
      <c r="R495" s="73"/>
      <c r="S495" s="73"/>
      <c r="T495" s="67"/>
      <c r="U495" s="67"/>
      <c r="V495" s="121">
        <f>(VLOOKUP($A495,Pitchers!$A1:$S251,4,FALSE)-AVERAGE(Rankings!AC2:AC651))/STDEV(Rankings!AC2:AC651)</f>
        <v>1.2094545457115635</v>
      </c>
      <c r="W495" s="121">
        <f>(VLOOKUP($A495,Pitchers!$A1:$S251,5,FALSE)-AVERAGE(Rankings!AD2:AD651))/STDEV(Rankings!AD2:AD651)*-1</f>
        <v>-1.4923025013222029</v>
      </c>
      <c r="X495" s="121">
        <f>(VLOOKUP($A495,Pitchers!$A1:$S251,6,FALSE)-AVERAGE(Rankings!AE2:AE651))/STDEV(Rankings!AE2:AE651)*-1</f>
        <v>-1.2796900021292938</v>
      </c>
      <c r="Y495" s="121">
        <f>(VLOOKUP($A495,Pitchers!$A1:$S251,7,FALSE)-AVERAGE(Rankings!AF2:AF651))/STDEV(Rankings!AF2:AF651)</f>
        <v>0.58666577027861833</v>
      </c>
      <c r="Z495" s="121">
        <f>(VLOOKUP($A495,Pitchers!$A1:$S251,8,FALSE)-AVERAGE(Rankings!AG2:AG651))/STDEV(Rankings!AG2:AG651)</f>
        <v>0.72578557036972891</v>
      </c>
      <c r="AA495" s="121">
        <f>(VLOOKUP($A495,Pitchers!$A1:$S251,9,FALSE)-AVERAGE(Rankings!AH2:AH651))/STDEV(Rankings!AH2:AH651)</f>
        <v>-0.46414446215037364</v>
      </c>
      <c r="AB495" s="121">
        <f>(VLOOKUP($A495,Pitchers!$A1:$S251,10,FALSE)-AVERAGE(Rankings!AI2:AI651))/STDEV(Rankings!AI2:AI651)*-1</f>
        <v>-1.6911265834891855</v>
      </c>
      <c r="AC495" s="121">
        <f>(VLOOKUP($A495,Pitchers!$A1:$S251,11,FALSE)-AVERAGE(Rankings!AJ2:AJ651))/STDEV(Rankings!AJ2:AJ651)*-1</f>
        <v>-1.5376673165698744</v>
      </c>
      <c r="AD495" s="121">
        <f>(VLOOKUP($A495,Pitchers!$A1:$S251,12,FALSE)-AVERAGE(Rankings!AK2:AK651))/STDEV(Rankings!AK2:AK651)*-1</f>
        <v>-1.3455252770472061</v>
      </c>
      <c r="AE495" s="121">
        <f>IFERROR((VLOOKUP($A495,Pitchers!$A1:$S251,13,FALSE)-AVERAGE(Rankings!AL2:AL651))/STDEV(Rankings!AL2:AL651)*-1,0)</f>
        <v>-0.89752929494798916</v>
      </c>
      <c r="AF495" s="121">
        <f>(VLOOKUP($A495,Pitchers!$A1:$S251,14,FALSE)-AVERAGE(Rankings!AM2:AM651))/STDEV(Rankings!AM2:AM651)</f>
        <v>-0.609506510248502</v>
      </c>
      <c r="AG495" s="121">
        <f>(VLOOKUP($A495,Pitchers!$A1:$S251,15,FALSE)-AVERAGE(Rankings!AN2:AN651))/STDEV(Rankings!AN2:AN651)</f>
        <v>1.0929322338175724</v>
      </c>
      <c r="AH495" s="121">
        <f>(VLOOKUP($A495,Pitchers!$A1:$S251,16,FALSE)-AVERAGE(Rankings!AO2:AO651))/STDEV(Rankings!AO2:AO651)*-1</f>
        <v>-1.4451729554572226</v>
      </c>
      <c r="AI495" s="121">
        <f>IFERROR((VLOOKUP($A495,Pitchers!$A1:$S251,17,FALSE)-AVERAGE(Rankings!AP2:AP651))/STDEV(Rankings!AP2:AP651),0)</f>
        <v>0.87970255654502605</v>
      </c>
      <c r="AJ495" s="121">
        <f>(VLOOKUP($A495,Pitchers!$A1:$S251,18,FALSE)-AVERAGE(Rankings!AQ2:AQ651))/STDEV(Rankings!AQ2:AQ651)</f>
        <v>-0.68467156957913733</v>
      </c>
      <c r="AK495" s="121">
        <f>IFERROR((VLOOKUP($A495,Pitchers!$A1:$S251,19,FALSE)-AVERAGE(Rankings!AR2:AR651))/STDEV(Rankings!AR2:AR651)*-1,0)</f>
        <v>0.47041511698728217</v>
      </c>
    </row>
    <row r="496" spans="1:37" ht="18.600000000000001" customHeight="1">
      <c r="A496" s="25" t="s">
        <v>396</v>
      </c>
      <c r="B496" s="26" t="s">
        <v>101</v>
      </c>
      <c r="C496" s="130" t="s">
        <v>31</v>
      </c>
      <c r="D496" s="67">
        <f>(V496*Settings!$G$2)+(Y496*Settings!$G$5)+(Z496*Settings!$G$6)+(AA496*Settings!$G$7)+(AB496*Settings!$G$8)+(AC496*Settings!$G$9)+(AD496*Settings!$G$10)+(AE496*Settings!$G$11)+(AF496*Settings!$G$12)+(AG496*Settings!$G$13)+(AH496*Settings!$G$14)+(AI496*Settings!$G$15)+(AJ496*Settings!$G$16)+(AK496*Settings!$G$17)+(W496*Settings!$G$3)+(X496*Settings!$G$4)</f>
        <v>-0.750407299744979</v>
      </c>
      <c r="E496" s="67"/>
      <c r="F496" s="67"/>
      <c r="G496" s="67"/>
      <c r="H496" s="67"/>
      <c r="I496" s="67"/>
      <c r="J496" s="67"/>
      <c r="K496" s="73"/>
      <c r="L496" s="73"/>
      <c r="M496" s="67"/>
      <c r="N496" s="67"/>
      <c r="O496" s="67"/>
      <c r="P496" s="67"/>
      <c r="Q496" s="67"/>
      <c r="R496" s="73"/>
      <c r="S496" s="73"/>
      <c r="T496" s="67"/>
      <c r="U496" s="67"/>
      <c r="V496" s="121">
        <f>(VLOOKUP($A496,Pitchers!$A1:$S251,4,FALSE)-AVERAGE(Rankings!AC2:AC651))/STDEV(Rankings!AC2:AC651)</f>
        <v>1.1130021245789015E-2</v>
      </c>
      <c r="W496" s="121">
        <f>(VLOOKUP($A496,Pitchers!$A1:$S251,5,FALSE)-AVERAGE(Rankings!AD2:AD651))/STDEV(Rankings!AD2:AD651)*-1</f>
        <v>-0.12128694694929347</v>
      </c>
      <c r="X496" s="121">
        <f>(VLOOKUP($A496,Pitchers!$A1:$S251,6,FALSE)-AVERAGE(Rankings!AE2:AE651))/STDEV(Rankings!AE2:AE651)*-1</f>
        <v>-8.8274100596247435E-2</v>
      </c>
      <c r="Y496" s="121">
        <f>(VLOOKUP($A496,Pitchers!$A1:$S251,7,FALSE)-AVERAGE(Rankings!AF2:AF651))/STDEV(Rankings!AF2:AF651)</f>
        <v>7.331390705630933E-2</v>
      </c>
      <c r="Z496" s="121">
        <f>(VLOOKUP($A496,Pitchers!$A1:$S251,8,FALSE)-AVERAGE(Rankings!AG2:AG651))/STDEV(Rankings!AG2:AG651)</f>
        <v>-0.15001569710537382</v>
      </c>
      <c r="AA496" s="121">
        <f>(VLOOKUP($A496,Pitchers!$A1:$S251,9,FALSE)-AVERAGE(Rankings!AH2:AH651))/STDEV(Rankings!AH2:AH651)</f>
        <v>-0.46414446215037364</v>
      </c>
      <c r="AB496" s="121">
        <f>(VLOOKUP($A496,Pitchers!$A1:$S251,10,FALSE)-AVERAGE(Rankings!AI2:AI651))/STDEV(Rankings!AI2:AI651)*-1</f>
        <v>-4.0365942058557067E-3</v>
      </c>
      <c r="AC496" s="121">
        <f>(VLOOKUP($A496,Pitchers!$A1:$S251,11,FALSE)-AVERAGE(Rankings!AJ2:AJ651))/STDEV(Rankings!AJ2:AJ651)*-1</f>
        <v>1.6387673378912643E-2</v>
      </c>
      <c r="AD496" s="121">
        <f>(VLOOKUP($A496,Pitchers!$A1:$S251,12,FALSE)-AVERAGE(Rankings!AK2:AK651))/STDEV(Rankings!AK2:AK651)*-1</f>
        <v>-0.14470908959459547</v>
      </c>
      <c r="AE496" s="121">
        <f>IFERROR((VLOOKUP($A496,Pitchers!$A1:$S251,13,FALSE)-AVERAGE(Rankings!AL2:AL651))/STDEV(Rankings!AL2:AL651)*-1,0)</f>
        <v>-0.36550244554194927</v>
      </c>
      <c r="AF496" s="121">
        <f>(VLOOKUP($A496,Pitchers!$A1:$S251,14,FALSE)-AVERAGE(Rankings!AM2:AM651))/STDEV(Rankings!AM2:AM651)</f>
        <v>-1.1872580516272331</v>
      </c>
      <c r="AG496" s="121">
        <f>(VLOOKUP($A496,Pitchers!$A1:$S251,15,FALSE)-AVERAGE(Rankings!AN2:AN651))/STDEV(Rankings!AN2:AN651)</f>
        <v>0.40466943617252155</v>
      </c>
      <c r="AH496" s="121">
        <f>(VLOOKUP($A496,Pitchers!$A1:$S251,16,FALSE)-AVERAGE(Rankings!AO2:AO651))/STDEV(Rankings!AO2:AO651)*-1</f>
        <v>-0.3804827147324284</v>
      </c>
      <c r="AI496" s="121">
        <f>IFERROR((VLOOKUP($A496,Pitchers!$A1:$S251,17,FALSE)-AVERAGE(Rankings!AP2:AP651))/STDEV(Rankings!AP2:AP651),0)</f>
        <v>0.59315449252384489</v>
      </c>
      <c r="AJ496" s="121">
        <f>(VLOOKUP($A496,Pitchers!$A1:$S251,18,FALSE)-AVERAGE(Rankings!AQ2:AQ651))/STDEV(Rankings!AQ2:AQ651)</f>
        <v>-0.68467156957913733</v>
      </c>
      <c r="AK496" s="121">
        <f>IFERROR((VLOOKUP($A496,Pitchers!$A1:$S251,19,FALSE)-AVERAGE(Rankings!AR2:AR651))/STDEV(Rankings!AR2:AR651)*-1,0)</f>
        <v>0.47041511698728217</v>
      </c>
    </row>
    <row r="497" spans="1:37" ht="18.600000000000001" customHeight="1">
      <c r="A497" s="25" t="s">
        <v>437</v>
      </c>
      <c r="B497" s="26" t="s">
        <v>139</v>
      </c>
      <c r="C497" s="130" t="s">
        <v>31</v>
      </c>
      <c r="D497" s="67">
        <f>(V497*Settings!$G$2)+(Y497*Settings!$G$5)+(Z497*Settings!$G$6)+(AA497*Settings!$G$7)+(AB497*Settings!$G$8)+(AC497*Settings!$G$9)+(AD497*Settings!$G$10)+(AE497*Settings!$G$11)+(AF497*Settings!$G$12)+(AG497*Settings!$G$13)+(AH497*Settings!$G$14)+(AI497*Settings!$G$15)+(AJ497*Settings!$G$16)+(AK497*Settings!$G$17)+(W497*Settings!$G$3)+(X497*Settings!$G$4)</f>
        <v>-1.5928694713619755</v>
      </c>
      <c r="E497" s="67"/>
      <c r="F497" s="67"/>
      <c r="G497" s="67"/>
      <c r="H497" s="67"/>
      <c r="I497" s="67"/>
      <c r="J497" s="67"/>
      <c r="K497" s="73"/>
      <c r="L497" s="73"/>
      <c r="M497" s="67"/>
      <c r="N497" s="67"/>
      <c r="O497" s="67"/>
      <c r="P497" s="67"/>
      <c r="Q497" s="67"/>
      <c r="R497" s="73"/>
      <c r="S497" s="73"/>
      <c r="T497" s="67"/>
      <c r="U497" s="67"/>
      <c r="V497" s="121">
        <f>(VLOOKUP($A497,Pitchers!$A1:$S251,4,FALSE)-AVERAGE(Rankings!AC2:AC651))/STDEV(Rankings!AC2:AC651)</f>
        <v>0.55171693864318805</v>
      </c>
      <c r="W497" s="121">
        <f>(VLOOKUP($A497,Pitchers!$A1:$S251,5,FALSE)-AVERAGE(Rankings!AD2:AD651))/STDEV(Rankings!AD2:AD651)*-1</f>
        <v>-0.92647944949743055</v>
      </c>
      <c r="X497" s="121">
        <f>(VLOOKUP($A497,Pitchers!$A1:$S251,6,FALSE)-AVERAGE(Rankings!AE2:AE651))/STDEV(Rankings!AE2:AE651)*-1</f>
        <v>-0.86017206383917566</v>
      </c>
      <c r="Y497" s="121">
        <f>(VLOOKUP($A497,Pitchers!$A1:$S251,7,FALSE)-AVERAGE(Rankings!AF2:AF651))/STDEV(Rankings!AF2:AF651)</f>
        <v>0.34487486440446175</v>
      </c>
      <c r="Z497" s="121">
        <f>(VLOOKUP($A497,Pitchers!$A1:$S251,8,FALSE)-AVERAGE(Rankings!AG2:AG651))/STDEV(Rankings!AG2:AG651)</f>
        <v>0.31305163972054262</v>
      </c>
      <c r="AA497" s="121">
        <f>(VLOOKUP($A497,Pitchers!$A1:$S251,9,FALSE)-AVERAGE(Rankings!AH2:AH651))/STDEV(Rankings!AH2:AH651)</f>
        <v>-0.46414446215037364</v>
      </c>
      <c r="AB497" s="121">
        <f>(VLOOKUP($A497,Pitchers!$A1:$S251,10,FALSE)-AVERAGE(Rankings!AI2:AI651))/STDEV(Rankings!AI2:AI651)*-1</f>
        <v>-0.7826496175292853</v>
      </c>
      <c r="AC497" s="121">
        <f>(VLOOKUP($A497,Pitchers!$A1:$S251,11,FALSE)-AVERAGE(Rankings!AJ2:AJ651))/STDEV(Rankings!AJ2:AJ651)*-1</f>
        <v>-0.58291166629484215</v>
      </c>
      <c r="AD497" s="121">
        <f>(VLOOKUP($A497,Pitchers!$A1:$S251,12,FALSE)-AVERAGE(Rankings!AK2:AK651))/STDEV(Rankings!AK2:AK651)*-1</f>
        <v>-1.1502706124207656</v>
      </c>
      <c r="AE497" s="121">
        <f>IFERROR((VLOOKUP($A497,Pitchers!$A1:$S251,13,FALSE)-AVERAGE(Rankings!AL2:AL651))/STDEV(Rankings!AL2:AL651)*-1,0)</f>
        <v>-0.76452258259647921</v>
      </c>
      <c r="AF497" s="121">
        <f>(VLOOKUP($A497,Pitchers!$A1:$S251,14,FALSE)-AVERAGE(Rankings!AM2:AM651))/STDEV(Rankings!AM2:AM651)</f>
        <v>-0.7610300277044334</v>
      </c>
      <c r="AG497" s="121">
        <f>(VLOOKUP($A497,Pitchers!$A1:$S251,15,FALSE)-AVERAGE(Rankings!AN2:AN651))/STDEV(Rankings!AN2:AN651)</f>
        <v>0.91242557556726656</v>
      </c>
      <c r="AH497" s="121">
        <f>(VLOOKUP($A497,Pitchers!$A1:$S251,16,FALSE)-AVERAGE(Rankings!AO2:AO651))/STDEV(Rankings!AO2:AO651)*-1</f>
        <v>-0.96293090524658065</v>
      </c>
      <c r="AI497" s="121">
        <f>IFERROR((VLOOKUP($A497,Pitchers!$A1:$S251,17,FALSE)-AVERAGE(Rankings!AP2:AP651))/STDEV(Rankings!AP2:AP651),0)</f>
        <v>0.59315449252384489</v>
      </c>
      <c r="AJ497" s="121">
        <f>(VLOOKUP($A497,Pitchers!$A1:$S251,18,FALSE)-AVERAGE(Rankings!AQ2:AQ651))/STDEV(Rankings!AQ2:AQ651)</f>
        <v>-0.68467156957913733</v>
      </c>
      <c r="AK497" s="121">
        <f>IFERROR((VLOOKUP($A497,Pitchers!$A1:$S251,19,FALSE)-AVERAGE(Rankings!AR2:AR651))/STDEV(Rankings!AR2:AR651)*-1,0)</f>
        <v>0.47041511698728217</v>
      </c>
    </row>
    <row r="498" spans="1:37" ht="18.600000000000001" customHeight="1">
      <c r="A498" s="25" t="s">
        <v>427</v>
      </c>
      <c r="B498" s="26" t="s">
        <v>77</v>
      </c>
      <c r="C498" s="130" t="s">
        <v>31</v>
      </c>
      <c r="D498" s="67">
        <f>(V498*Settings!$G$2)+(Y498*Settings!$G$5)+(Z498*Settings!$G$6)+(AA498*Settings!$G$7)+(AB498*Settings!$G$8)+(AC498*Settings!$G$9)+(AD498*Settings!$G$10)+(AE498*Settings!$G$11)+(AF498*Settings!$G$12)+(AG498*Settings!$G$13)+(AH498*Settings!$G$14)+(AI498*Settings!$G$15)+(AJ498*Settings!$G$16)+(AK498*Settings!$G$17)+(W498*Settings!$G$3)+(X498*Settings!$G$4)</f>
        <v>-1.4289807886197419</v>
      </c>
      <c r="E498" s="67"/>
      <c r="F498" s="67"/>
      <c r="G498" s="67"/>
      <c r="H498" s="67"/>
      <c r="I498" s="67"/>
      <c r="J498" s="67"/>
      <c r="K498" s="73"/>
      <c r="L498" s="73"/>
      <c r="M498" s="67"/>
      <c r="N498" s="67"/>
      <c r="O498" s="67"/>
      <c r="P498" s="67"/>
      <c r="Q498" s="67"/>
      <c r="R498" s="73"/>
      <c r="S498" s="73"/>
      <c r="T498" s="67"/>
      <c r="U498" s="67"/>
      <c r="V498" s="121">
        <f>(VLOOKUP($A498,Pitchers!$A1:$S251,4,FALSE)-AVERAGE(Rankings!AC2:AC651))/STDEV(Rankings!AC2:AC651)</f>
        <v>1.0781893151163724</v>
      </c>
      <c r="W498" s="121">
        <f>(VLOOKUP($A498,Pitchers!$A1:$S251,5,FALSE)-AVERAGE(Rankings!AD2:AD651))/STDEV(Rankings!AD2:AD651)*-1</f>
        <v>-1.448338191308435</v>
      </c>
      <c r="X498" s="121">
        <f>(VLOOKUP($A498,Pitchers!$A1:$S251,6,FALSE)-AVERAGE(Rankings!AE2:AE651))/STDEV(Rankings!AE2:AE651)*-1</f>
        <v>-0.99817937981988436</v>
      </c>
      <c r="Y498" s="121">
        <f>(VLOOKUP($A498,Pitchers!$A1:$S251,7,FALSE)-AVERAGE(Rankings!AF2:AF651))/STDEV(Rankings!AF2:AF651)</f>
        <v>0.24249493128657548</v>
      </c>
      <c r="Z498" s="121">
        <f>(VLOOKUP($A498,Pitchers!$A1:$S251,8,FALSE)-AVERAGE(Rankings!AG2:AG651))/STDEV(Rankings!AG2:AG651)</f>
        <v>1.2391863133723757</v>
      </c>
      <c r="AA498" s="121">
        <f>(VLOOKUP($A498,Pitchers!$A1:$S251,9,FALSE)-AVERAGE(Rankings!AH2:AH651))/STDEV(Rankings!AH2:AH651)</f>
        <v>-0.46414446215037364</v>
      </c>
      <c r="AB498" s="121">
        <f>(VLOOKUP($A498,Pitchers!$A1:$S251,10,FALSE)-AVERAGE(Rankings!AI2:AI651))/STDEV(Rankings!AI2:AI651)*-1</f>
        <v>-1.5320102171413537</v>
      </c>
      <c r="AC498" s="121">
        <f>(VLOOKUP($A498,Pitchers!$A1:$S251,11,FALSE)-AVERAGE(Rankings!AJ2:AJ651))/STDEV(Rankings!AJ2:AJ651)*-1</f>
        <v>-1.4281867729046811</v>
      </c>
      <c r="AD498" s="121">
        <f>(VLOOKUP($A498,Pitchers!$A1:$S251,12,FALSE)-AVERAGE(Rankings!AK2:AK651))/STDEV(Rankings!AK2:AK651)*-1</f>
        <v>-0.77928674963052835</v>
      </c>
      <c r="AE498" s="121">
        <f>IFERROR((VLOOKUP($A498,Pitchers!$A1:$S251,13,FALSE)-AVERAGE(Rankings!AL2:AL651))/STDEV(Rankings!AL2:AL651)*-1,0)</f>
        <v>-1.296549432002519</v>
      </c>
      <c r="AF498" s="121">
        <f>(VLOOKUP($A498,Pitchers!$A1:$S251,14,FALSE)-AVERAGE(Rankings!AM2:AM651))/STDEV(Rankings!AM2:AM651)</f>
        <v>-0.4568928955446861</v>
      </c>
      <c r="AG498" s="121">
        <f>(VLOOKUP($A498,Pitchers!$A1:$S251,15,FALSE)-AVERAGE(Rankings!AN2:AN651))/STDEV(Rankings!AN2:AN651)</f>
        <v>0.93709914755831547</v>
      </c>
      <c r="AH498" s="121">
        <f>(VLOOKUP($A498,Pitchers!$A1:$S251,16,FALSE)-AVERAGE(Rankings!AO2:AO651))/STDEV(Rankings!AO2:AO651)*-1</f>
        <v>-0.45563731996006096</v>
      </c>
      <c r="AI498" s="121">
        <f>IFERROR((VLOOKUP($A498,Pitchers!$A1:$S251,17,FALSE)-AVERAGE(Rankings!AP2:AP651))/STDEV(Rankings!AP2:AP651),0)</f>
        <v>0.73642852453443552</v>
      </c>
      <c r="AJ498" s="121">
        <f>(VLOOKUP($A498,Pitchers!$A1:$S251,18,FALSE)-AVERAGE(Rankings!AQ2:AQ651))/STDEV(Rankings!AQ2:AQ651)</f>
        <v>-0.60435400698013797</v>
      </c>
      <c r="AK498" s="121">
        <f>IFERROR((VLOOKUP($A498,Pitchers!$A1:$S251,19,FALSE)-AVERAGE(Rankings!AR2:AR651))/STDEV(Rankings!AR2:AR651)*-1,0)</f>
        <v>0.47041511698728217</v>
      </c>
    </row>
    <row r="499" spans="1:37" ht="18.600000000000001" customHeight="1">
      <c r="A499" s="25" t="s">
        <v>413</v>
      </c>
      <c r="B499" s="26" t="s">
        <v>97</v>
      </c>
      <c r="C499" s="130" t="s">
        <v>31</v>
      </c>
      <c r="D499" s="67">
        <f>(V499*Settings!$G$2)+(Y499*Settings!$G$5)+(Z499*Settings!$G$6)+(AA499*Settings!$G$7)+(AB499*Settings!$G$8)+(AC499*Settings!$G$9)+(AD499*Settings!$G$10)+(AE499*Settings!$G$11)+(AF499*Settings!$G$12)+(AG499*Settings!$G$13)+(AH499*Settings!$G$14)+(AI499*Settings!$G$15)+(AJ499*Settings!$G$16)+(AK499*Settings!$G$17)+(W499*Settings!$G$3)+(X499*Settings!$G$4)</f>
        <v>-1.1334452578903895</v>
      </c>
      <c r="E499" s="67"/>
      <c r="F499" s="67"/>
      <c r="G499" s="67"/>
      <c r="H499" s="67"/>
      <c r="I499" s="67"/>
      <c r="J499" s="67"/>
      <c r="K499" s="73"/>
      <c r="L499" s="73"/>
      <c r="M499" s="67"/>
      <c r="N499" s="67"/>
      <c r="O499" s="67"/>
      <c r="P499" s="67"/>
      <c r="Q499" s="67"/>
      <c r="R499" s="73"/>
      <c r="S499" s="73"/>
      <c r="T499" s="67"/>
      <c r="U499" s="67"/>
      <c r="V499" s="121">
        <f>(VLOOKUP($A499,Pitchers!$A1:$S251,4,FALSE)-AVERAGE(Rankings!AC2:AC651))/STDEV(Rankings!AC2:AC651)</f>
        <v>-0.14554138301298697</v>
      </c>
      <c r="W499" s="121">
        <f>(VLOOKUP($A499,Pitchers!$A1:$S251,5,FALSE)-AVERAGE(Rankings!AD2:AD651))/STDEV(Rankings!AD2:AD651)*-1</f>
        <v>-0.16365510365439576</v>
      </c>
      <c r="X499" s="121">
        <f>(VLOOKUP($A499,Pitchers!$A1:$S251,6,FALSE)-AVERAGE(Rankings!AE2:AE651))/STDEV(Rankings!AE2:AE651)*-1</f>
        <v>-0.38108489889353864</v>
      </c>
      <c r="Y499" s="121">
        <f>(VLOOKUP($A499,Pitchers!$A1:$S251,7,FALSE)-AVERAGE(Rankings!AF2:AF651))/STDEV(Rankings!AF2:AF651)</f>
        <v>0.10598835379606025</v>
      </c>
      <c r="Z499" s="121">
        <f>(VLOOKUP($A499,Pitchers!$A1:$S251,8,FALSE)-AVERAGE(Rankings!AG2:AG651))/STDEV(Rankings!AG2:AG651)</f>
        <v>-0.23054914698814188</v>
      </c>
      <c r="AA499" s="121">
        <f>(VLOOKUP($A499,Pitchers!$A1:$S251,9,FALSE)-AVERAGE(Rankings!AH2:AH651))/STDEV(Rankings!AH2:AH651)</f>
        <v>-0.46414446215037364</v>
      </c>
      <c r="AB499" s="121">
        <f>(VLOOKUP($A499,Pitchers!$A1:$S251,10,FALSE)-AVERAGE(Rankings!AI2:AI651))/STDEV(Rankings!AI2:AI651)*-1</f>
        <v>0.12510654948906219</v>
      </c>
      <c r="AC499" s="121">
        <f>(VLOOKUP($A499,Pitchers!$A1:$S251,11,FALSE)-AVERAGE(Rankings!AJ2:AJ651))/STDEV(Rankings!AJ2:AJ651)*-1</f>
        <v>0.30572911020835281</v>
      </c>
      <c r="AD499" s="121">
        <f>(VLOOKUP($A499,Pitchers!$A1:$S251,12,FALSE)-AVERAGE(Rankings!AK2:AK651))/STDEV(Rankings!AK2:AK651)*-1</f>
        <v>-0.69874420047212149</v>
      </c>
      <c r="AE499" s="121">
        <f>IFERROR((VLOOKUP($A499,Pitchers!$A1:$S251,13,FALSE)-AVERAGE(Rankings!AL2:AL651))/STDEV(Rankings!AL2:AL651)*-1,0)</f>
        <v>1.2305781026761702</v>
      </c>
      <c r="AF499" s="121">
        <f>(VLOOKUP($A499,Pitchers!$A1:$S251,14,FALSE)-AVERAGE(Rankings!AM2:AM651))/STDEV(Rankings!AM2:AM651)</f>
        <v>-0.2475942239508814</v>
      </c>
      <c r="AG499" s="121">
        <f>(VLOOKUP($A499,Pitchers!$A1:$S251,15,FALSE)-AVERAGE(Rankings!AN2:AN651))/STDEV(Rankings!AN2:AN651)</f>
        <v>-0.12256583900463071</v>
      </c>
      <c r="AH499" s="121">
        <f>(VLOOKUP($A499,Pitchers!$A1:$S251,16,FALSE)-AVERAGE(Rankings!AO2:AO651))/STDEV(Rankings!AO2:AO651)*-1</f>
        <v>0.83451673644763058</v>
      </c>
      <c r="AI499" s="121">
        <f>IFERROR((VLOOKUP($A499,Pitchers!$A1:$S251,17,FALSE)-AVERAGE(Rankings!AP2:AP651))/STDEV(Rankings!AP2:AP651),0)</f>
        <v>-0.8395858275820608</v>
      </c>
      <c r="AJ499" s="121">
        <f>(VLOOKUP($A499,Pitchers!$A1:$S251,18,FALSE)-AVERAGE(Rankings!AQ2:AQ651))/STDEV(Rankings!AQ2:AQ651)</f>
        <v>-0.36340131918314017</v>
      </c>
      <c r="AK499" s="121">
        <f>IFERROR((VLOOKUP($A499,Pitchers!$A1:$S251,19,FALSE)-AVERAGE(Rankings!AR2:AR651))/STDEV(Rankings!AR2:AR651)*-1,0)</f>
        <v>0.47041511698728217</v>
      </c>
    </row>
    <row r="500" spans="1:37" ht="18.600000000000001" customHeight="1">
      <c r="A500" s="25" t="s">
        <v>403</v>
      </c>
      <c r="B500" s="26" t="s">
        <v>158</v>
      </c>
      <c r="C500" s="130" t="s">
        <v>31</v>
      </c>
      <c r="D500" s="67">
        <f>(V500*Settings!$G$2)+(Y500*Settings!$G$5)+(Z500*Settings!$G$6)+(AA500*Settings!$G$7)+(AB500*Settings!$G$8)+(AC500*Settings!$G$9)+(AD500*Settings!$G$10)+(AE500*Settings!$G$11)+(AF500*Settings!$G$12)+(AG500*Settings!$G$13)+(AH500*Settings!$G$14)+(AI500*Settings!$G$15)+(AJ500*Settings!$G$16)+(AK500*Settings!$G$17)+(W500*Settings!$G$3)+(X500*Settings!$G$4)</f>
        <v>-0.83017752150200153</v>
      </c>
      <c r="E500" s="67"/>
      <c r="F500" s="67"/>
      <c r="G500" s="67"/>
      <c r="H500" s="67"/>
      <c r="I500" s="67"/>
      <c r="J500" s="67"/>
      <c r="K500" s="73"/>
      <c r="L500" s="73"/>
      <c r="M500" s="67"/>
      <c r="N500" s="67"/>
      <c r="O500" s="67"/>
      <c r="P500" s="67"/>
      <c r="Q500" s="67"/>
      <c r="R500" s="73"/>
      <c r="S500" s="73"/>
      <c r="T500" s="67"/>
      <c r="U500" s="67"/>
      <c r="V500" s="121">
        <f>(VLOOKUP($A500,Pitchers!$A1:$S251,4,FALSE)-AVERAGE(Rankings!AC2:AC651))/STDEV(Rankings!AC2:AC651)</f>
        <v>4.1476284232849339E-2</v>
      </c>
      <c r="W500" s="121">
        <f>(VLOOKUP($A500,Pitchers!$A1:$S251,5,FALSE)-AVERAGE(Rankings!AD2:AD651))/STDEV(Rankings!AD2:AD651)*-1</f>
        <v>-0.28620175861718838</v>
      </c>
      <c r="X500" s="121">
        <f>(VLOOKUP($A500,Pitchers!$A1:$S251,6,FALSE)-AVERAGE(Rankings!AE2:AE651))/STDEV(Rankings!AE2:AE651)*-1</f>
        <v>0.34352257950412574</v>
      </c>
      <c r="Y500" s="121">
        <f>(VLOOKUP($A500,Pitchers!$A1:$S251,7,FALSE)-AVERAGE(Rankings!AF2:AF651))/STDEV(Rankings!AF2:AF651)</f>
        <v>-8.2071239661617071E-2</v>
      </c>
      <c r="Z500" s="121">
        <f>(VLOOKUP($A500,Pitchers!$A1:$S251,8,FALSE)-AVERAGE(Rankings!AG2:AG651))/STDEV(Rankings!AG2:AG651)</f>
        <v>-0.34128264057694813</v>
      </c>
      <c r="AA500" s="121">
        <f>(VLOOKUP($A500,Pitchers!$A1:$S251,9,FALSE)-AVERAGE(Rankings!AH2:AH651))/STDEV(Rankings!AH2:AH651)</f>
        <v>-0.46414446215037364</v>
      </c>
      <c r="AB500" s="121">
        <f>(VLOOKUP($A500,Pitchers!$A1:$S251,10,FALSE)-AVERAGE(Rankings!AI2:AI651))/STDEV(Rankings!AI2:AI651)*-1</f>
        <v>-8.0831714770484855E-2</v>
      </c>
      <c r="AC500" s="121">
        <f>(VLOOKUP($A500,Pitchers!$A1:$S251,11,FALSE)-AVERAGE(Rankings!AJ2:AJ651))/STDEV(Rankings!AJ2:AJ651)*-1</f>
        <v>-0.14285675377046023</v>
      </c>
      <c r="AD500" s="121">
        <f>(VLOOKUP($A500,Pitchers!$A1:$S251,12,FALSE)-AVERAGE(Rankings!AK2:AK651))/STDEV(Rankings!AK2:AK651)*-1</f>
        <v>0.63142820229550656</v>
      </c>
      <c r="AE500" s="121">
        <f>IFERROR((VLOOKUP($A500,Pitchers!$A1:$S251,13,FALSE)-AVERAGE(Rankings!AL2:AL651))/STDEV(Rankings!AL2:AL651)*-1,0)</f>
        <v>3.3517691512580598E-2</v>
      </c>
      <c r="AF500" s="121">
        <f>(VLOOKUP($A500,Pitchers!$A1:$S251,14,FALSE)-AVERAGE(Rankings!AM2:AM651))/STDEV(Rankings!AM2:AM651)</f>
        <v>-0.99540093599957924</v>
      </c>
      <c r="AG500" s="121">
        <f>(VLOOKUP($A500,Pitchers!$A1:$S251,15,FALSE)-AVERAGE(Rankings!AN2:AN651))/STDEV(Rankings!AN2:AN651)</f>
        <v>0.37350281892067028</v>
      </c>
      <c r="AH500" s="121">
        <f>(VLOOKUP($A500,Pitchers!$A1:$S251,16,FALSE)-AVERAGE(Rankings!AO2:AO651))/STDEV(Rankings!AO2:AO651)*-1</f>
        <v>-0.15501889904953062</v>
      </c>
      <c r="AI500" s="121">
        <f>IFERROR((VLOOKUP($A500,Pitchers!$A1:$S251,17,FALSE)-AVERAGE(Rankings!AP2:AP651))/STDEV(Rankings!AP2:AP651),0)</f>
        <v>-0.26648969953969853</v>
      </c>
      <c r="AJ500" s="121">
        <f>(VLOOKUP($A500,Pitchers!$A1:$S251,18,FALSE)-AVERAGE(Rankings!AQ2:AQ651))/STDEV(Rankings!AQ2:AQ651)</f>
        <v>-0.68467156957913733</v>
      </c>
      <c r="AK500" s="121">
        <f>IFERROR((VLOOKUP($A500,Pitchers!$A1:$S251,19,FALSE)-AVERAGE(Rankings!AR2:AR651))/STDEV(Rankings!AR2:AR651)*-1,0)</f>
        <v>0.47041511698728217</v>
      </c>
    </row>
    <row r="501" spans="1:37" ht="18.600000000000001" customHeight="1">
      <c r="A501" s="25" t="s">
        <v>411</v>
      </c>
      <c r="B501" s="26" t="s">
        <v>103</v>
      </c>
      <c r="C501" s="130" t="s">
        <v>31</v>
      </c>
      <c r="D501" s="67">
        <f>(V501*Settings!$G$2)+(Y501*Settings!$G$5)+(Z501*Settings!$G$6)+(AA501*Settings!$G$7)+(AB501*Settings!$G$8)+(AC501*Settings!$G$9)+(AD501*Settings!$G$10)+(AE501*Settings!$G$11)+(AF501*Settings!$G$12)+(AG501*Settings!$G$13)+(AH501*Settings!$G$14)+(AI501*Settings!$G$15)+(AJ501*Settings!$G$16)+(AK501*Settings!$G$17)+(W501*Settings!$G$3)+(X501*Settings!$G$4)</f>
        <v>-1.0315259038880857</v>
      </c>
      <c r="E501" s="67"/>
      <c r="F501" s="67"/>
      <c r="G501" s="67"/>
      <c r="H501" s="67"/>
      <c r="I501" s="67"/>
      <c r="J501" s="67"/>
      <c r="K501" s="73"/>
      <c r="L501" s="73"/>
      <c r="M501" s="67"/>
      <c r="N501" s="67"/>
      <c r="O501" s="67"/>
      <c r="P501" s="67"/>
      <c r="Q501" s="67"/>
      <c r="R501" s="73"/>
      <c r="S501" s="73"/>
      <c r="T501" s="67"/>
      <c r="U501" s="67"/>
      <c r="V501" s="121">
        <f>(VLOOKUP($A501,Pitchers!$A1:$S251,4,FALSE)-AVERAGE(Rankings!AC2:AC651))/STDEV(Rankings!AC2:AC651)</f>
        <v>0.23202258670973927</v>
      </c>
      <c r="W501" s="121">
        <f>(VLOOKUP($A501,Pitchers!$A1:$S251,5,FALSE)-AVERAGE(Rankings!AD2:AD651))/STDEV(Rankings!AD2:AD651)*-1</f>
        <v>-0.51055977756654913</v>
      </c>
      <c r="X501" s="121">
        <f>(VLOOKUP($A501,Pitchers!$A1:$S251,6,FALSE)-AVERAGE(Rankings!AE2:AE651))/STDEV(Rankings!AE2:AE651)*-1</f>
        <v>3.7839373847910189E-2</v>
      </c>
      <c r="Y501" s="121">
        <f>(VLOOKUP($A501,Pitchers!$A1:$S251,7,FALSE)-AVERAGE(Rankings!AF2:AF651))/STDEV(Rankings!AF2:AF651)</f>
        <v>-0.10022371007258971</v>
      </c>
      <c r="Z501" s="121">
        <f>(VLOOKUP($A501,Pitchers!$A1:$S251,8,FALSE)-AVERAGE(Rankings!AG2:AG651))/STDEV(Rankings!AG2:AG651)</f>
        <v>-3.9282203516567853E-2</v>
      </c>
      <c r="AA501" s="121">
        <f>(VLOOKUP($A501,Pitchers!$A1:$S251,9,FALSE)-AVERAGE(Rankings!AH2:AH651))/STDEV(Rankings!AH2:AH651)</f>
        <v>-0.41929958658028921</v>
      </c>
      <c r="AB501" s="121">
        <f>(VLOOKUP($A501,Pitchers!$A1:$S251,10,FALSE)-AVERAGE(Rankings!AI2:AI651))/STDEV(Rankings!AI2:AI651)*-1</f>
        <v>-0.32869645079703286</v>
      </c>
      <c r="AC501" s="121">
        <f>(VLOOKUP($A501,Pitchers!$A1:$S251,11,FALSE)-AVERAGE(Rankings!AJ2:AJ651))/STDEV(Rankings!AJ2:AJ651)*-1</f>
        <v>-0.44926009350876167</v>
      </c>
      <c r="AD501" s="121">
        <f>(VLOOKUP($A501,Pitchers!$A1:$S251,12,FALSE)-AVERAGE(Rankings!AK2:AK651))/STDEV(Rankings!AK2:AK651)*-1</f>
        <v>0.63142820229550656</v>
      </c>
      <c r="AE501" s="121">
        <f>IFERROR((VLOOKUP($A501,Pitchers!$A1:$S251,13,FALSE)-AVERAGE(Rankings!AL2:AL651))/STDEV(Rankings!AL2:AL651)*-1,0)</f>
        <v>-0.63151587024496925</v>
      </c>
      <c r="AF501" s="121">
        <f>(VLOOKUP($A501,Pitchers!$A1:$S251,14,FALSE)-AVERAGE(Rankings!AM2:AM651))/STDEV(Rankings!AM2:AM651)</f>
        <v>-0.97795938003342842</v>
      </c>
      <c r="AG501" s="121">
        <f>(VLOOKUP($A501,Pitchers!$A1:$S251,15,FALSE)-AVERAGE(Rankings!AN2:AN651))/STDEV(Rankings!AN2:AN651)</f>
        <v>0.55011365001449464</v>
      </c>
      <c r="AH501" s="121">
        <f>(VLOOKUP($A501,Pitchers!$A1:$S251,16,FALSE)-AVERAGE(Rankings!AO2:AO651))/STDEV(Rankings!AO2:AO651)*-1</f>
        <v>-0.41806001734624487</v>
      </c>
      <c r="AI501" s="121">
        <f>IFERROR((VLOOKUP($A501,Pitchers!$A1:$S251,17,FALSE)-AVERAGE(Rankings!AP2:AP651))/STDEV(Rankings!AP2:AP651),0)</f>
        <v>0.59315449252384489</v>
      </c>
      <c r="AJ501" s="121">
        <f>(VLOOKUP($A501,Pitchers!$A1:$S251,18,FALSE)-AVERAGE(Rankings!AQ2:AQ651))/STDEV(Rankings!AQ2:AQ651)</f>
        <v>-0.60435400698013797</v>
      </c>
      <c r="AK501" s="121">
        <f>IFERROR((VLOOKUP($A501,Pitchers!$A1:$S251,19,FALSE)-AVERAGE(Rankings!AR2:AR651))/STDEV(Rankings!AR2:AR651)*-1,0)</f>
        <v>0.47041511698728217</v>
      </c>
    </row>
    <row r="502" spans="1:37" ht="18.600000000000001" customHeight="1">
      <c r="A502" s="25" t="s">
        <v>430</v>
      </c>
      <c r="B502" s="26" t="s">
        <v>219</v>
      </c>
      <c r="C502" s="130" t="s">
        <v>31</v>
      </c>
      <c r="D502" s="67">
        <f>(V502*Settings!$G$2)+(Y502*Settings!$G$5)+(Z502*Settings!$G$6)+(AA502*Settings!$G$7)+(AB502*Settings!$G$8)+(AC502*Settings!$G$9)+(AD502*Settings!$G$10)+(AE502*Settings!$G$11)+(AF502*Settings!$G$12)+(AG502*Settings!$G$13)+(AH502*Settings!$G$14)+(AI502*Settings!$G$15)+(AJ502*Settings!$G$16)+(AK502*Settings!$G$17)+(W502*Settings!$G$3)+(X502*Settings!$G$4)</f>
        <v>-1.4474188008657571</v>
      </c>
      <c r="E502" s="67"/>
      <c r="F502" s="67"/>
      <c r="G502" s="67"/>
      <c r="H502" s="67"/>
      <c r="I502" s="67"/>
      <c r="J502" s="67"/>
      <c r="K502" s="73"/>
      <c r="L502" s="73"/>
      <c r="M502" s="67"/>
      <c r="N502" s="67"/>
      <c r="O502" s="67"/>
      <c r="P502" s="67"/>
      <c r="Q502" s="67"/>
      <c r="R502" s="73"/>
      <c r="S502" s="73"/>
      <c r="T502" s="67"/>
      <c r="U502" s="67"/>
      <c r="V502" s="121">
        <f>(VLOOKUP($A502,Pitchers!$A1:$S251,4,FALSE)-AVERAGE(Rankings!AC2:AC651))/STDEV(Rankings!AC2:AC651)</f>
        <v>8.45256340517022E-2</v>
      </c>
      <c r="W502" s="121">
        <f>(VLOOKUP($A502,Pitchers!$A1:$S251,5,FALSE)-AVERAGE(Rankings!AD2:AD651))/STDEV(Rankings!AD2:AD651)*-1</f>
        <v>-0.81947651129789612</v>
      </c>
      <c r="X502" s="121">
        <f>(VLOOKUP($A502,Pitchers!$A1:$S251,6,FALSE)-AVERAGE(Rankings!AE2:AE651))/STDEV(Rankings!AE2:AE651)*-1</f>
        <v>-0.28697746444246536</v>
      </c>
      <c r="Y502" s="121">
        <f>(VLOOKUP($A502,Pitchers!$A1:$S251,7,FALSE)-AVERAGE(Rankings!AF2:AF651))/STDEV(Rankings!AF2:AF651)</f>
        <v>7.1861709423431605E-2</v>
      </c>
      <c r="Z502" s="121">
        <f>(VLOOKUP($A502,Pitchers!$A1:$S251,8,FALSE)-AVERAGE(Rankings!AG2:AG651))/STDEV(Rankings!AG2:AG651)</f>
        <v>5.1317927601546458E-2</v>
      </c>
      <c r="AA502" s="121">
        <f>(VLOOKUP($A502,Pitchers!$A1:$S251,9,FALSE)-AVERAGE(Rankings!AH2:AH651))/STDEV(Rankings!AH2:AH651)</f>
        <v>-0.46414446215037364</v>
      </c>
      <c r="AB502" s="121">
        <f>(VLOOKUP($A502,Pitchers!$A1:$S251,10,FALSE)-AVERAGE(Rankings!AI2:AI651))/STDEV(Rankings!AI2:AI651)*-1</f>
        <v>-0.28334618405765466</v>
      </c>
      <c r="AC502" s="121">
        <f>(VLOOKUP($A502,Pitchers!$A1:$S251,11,FALSE)-AVERAGE(Rankings!AJ2:AJ651))/STDEV(Rankings!AJ2:AJ651)*-1</f>
        <v>-0.26157916151128696</v>
      </c>
      <c r="AD502" s="121">
        <f>(VLOOKUP($A502,Pitchers!$A1:$S251,12,FALSE)-AVERAGE(Rankings!AK2:AK651))/STDEV(Rankings!AK2:AK651)*-1</f>
        <v>0.33122415543235395</v>
      </c>
      <c r="AE502" s="121">
        <f>IFERROR((VLOOKUP($A502,Pitchers!$A1:$S251,13,FALSE)-AVERAGE(Rankings!AL2:AL651))/STDEV(Rankings!AL2:AL651)*-1,0)</f>
        <v>0.16652440386409056</v>
      </c>
      <c r="AF502" s="121">
        <f>(VLOOKUP($A502,Pitchers!$A1:$S251,14,FALSE)-AVERAGE(Rankings!AM2:AM651))/STDEV(Rankings!AM2:AM651)</f>
        <v>-0.82098537633807533</v>
      </c>
      <c r="AG502" s="121">
        <f>(VLOOKUP($A502,Pitchers!$A1:$S251,15,FALSE)-AVERAGE(Rankings!AN2:AN651))/STDEV(Rankings!AN2:AN651)</f>
        <v>0.39947499996387936</v>
      </c>
      <c r="AH502" s="121">
        <f>(VLOOKUP($A502,Pitchers!$A1:$S251,16,FALSE)-AVERAGE(Rankings!AO2:AO651))/STDEV(Rankings!AO2:AO651)*-1</f>
        <v>-0.48068885503593839</v>
      </c>
      <c r="AI502" s="121">
        <f>IFERROR((VLOOKUP($A502,Pitchers!$A1:$S251,17,FALSE)-AVERAGE(Rankings!AP2:AP651))/STDEV(Rankings!AP2:AP651),0)</f>
        <v>2.0058364481482634E-2</v>
      </c>
      <c r="AJ502" s="121">
        <f>(VLOOKUP($A502,Pitchers!$A1:$S251,18,FALSE)-AVERAGE(Rankings!AQ2:AQ651))/STDEV(Rankings!AQ2:AQ651)</f>
        <v>-0.68467156957913733</v>
      </c>
      <c r="AK502" s="121">
        <f>IFERROR((VLOOKUP($A502,Pitchers!$A1:$S251,19,FALSE)-AVERAGE(Rankings!AR2:AR651))/STDEV(Rankings!AR2:AR651)*-1,0)</f>
        <v>0.47041511698728217</v>
      </c>
    </row>
    <row r="503" spans="1:37" ht="18.600000000000001" customHeight="1">
      <c r="A503" s="25" t="s">
        <v>585</v>
      </c>
      <c r="B503" s="26" t="s">
        <v>309</v>
      </c>
      <c r="C503" s="130" t="s">
        <v>31</v>
      </c>
      <c r="D503" s="67">
        <f>(V503*Settings!$G$2)+(Y503*Settings!$G$5)+(Z503*Settings!$G$6)+(AA503*Settings!$G$7)+(AB503*Settings!$G$8)+(AC503*Settings!$G$9)+(AD503*Settings!$G$10)+(AE503*Settings!$G$11)+(AF503*Settings!$G$12)+(AG503*Settings!$G$13)+(AH503*Settings!$G$14)+(AI503*Settings!$G$15)+(AJ503*Settings!$G$16)+(AK503*Settings!$G$17)+(W503*Settings!$G$3)+(X503*Settings!$G$4)</f>
        <v>-3.3560790788355561</v>
      </c>
      <c r="E503" s="67"/>
      <c r="F503" s="67"/>
      <c r="G503" s="67"/>
      <c r="H503" s="67"/>
      <c r="I503" s="67"/>
      <c r="J503" s="67"/>
      <c r="K503" s="73"/>
      <c r="L503" s="73"/>
      <c r="M503" s="67"/>
      <c r="N503" s="67"/>
      <c r="O503" s="67"/>
      <c r="P503" s="67"/>
      <c r="Q503" s="67"/>
      <c r="R503" s="73"/>
      <c r="S503" s="73"/>
      <c r="T503" s="67"/>
      <c r="U503" s="67"/>
      <c r="V503" s="121">
        <f>(VLOOKUP($A503,Pitchers!$A1:$S251,4,FALSE)-AVERAGE(Rankings!AC2:AC651))/STDEV(Rankings!AC2:AC651)</f>
        <v>0.76202359841397782</v>
      </c>
      <c r="W503" s="121">
        <f>(VLOOKUP($A503,Pitchers!$A1:$S251,5,FALSE)-AVERAGE(Rankings!AD2:AD651))/STDEV(Rankings!AD2:AD651)*-1</f>
        <v>-2.39864553247812</v>
      </c>
      <c r="X503" s="121">
        <f>(VLOOKUP($A503,Pitchers!$A1:$S251,6,FALSE)-AVERAGE(Rankings!AE2:AE651))/STDEV(Rankings!AE2:AE651)*-1</f>
        <v>-1.301772118302724</v>
      </c>
      <c r="Y503" s="121">
        <f>(VLOOKUP($A503,Pitchers!$A1:$S251,7,FALSE)-AVERAGE(Rankings!AF2:AF651))/STDEV(Rankings!AF2:AF651)</f>
        <v>0.81756519390619142</v>
      </c>
      <c r="Z503" s="121">
        <f>(VLOOKUP($A503,Pitchers!$A1:$S251,8,FALSE)-AVERAGE(Rankings!AG2:AG651))/STDEV(Rankings!AG2:AG651)</f>
        <v>-9.0821598105296584E-3</v>
      </c>
      <c r="AA503" s="121">
        <f>(VLOOKUP($A503,Pitchers!$A1:$S251,9,FALSE)-AVERAGE(Rankings!AH2:AH651))/STDEV(Rankings!AH2:AH651)</f>
        <v>-0.46414446215037364</v>
      </c>
      <c r="AB503" s="121">
        <f>(VLOOKUP($A503,Pitchers!$A1:$S251,10,FALSE)-AVERAGE(Rankings!AI2:AI651))/STDEV(Rankings!AI2:AI651)*-1</f>
        <v>-1.5657676342374207</v>
      </c>
      <c r="AC503" s="121">
        <f>(VLOOKUP($A503,Pitchers!$A1:$S251,11,FALSE)-AVERAGE(Rankings!AJ2:AJ651))/STDEV(Rankings!AJ2:AJ651)*-1</f>
        <v>-0.74428883130782231</v>
      </c>
      <c r="AD503" s="121">
        <f>(VLOOKUP($A503,Pitchers!$A1:$S251,12,FALSE)-AVERAGE(Rankings!AK2:AK651))/STDEV(Rankings!AK2:AK651)*-1</f>
        <v>-2.016713186700597</v>
      </c>
      <c r="AE503" s="121">
        <f>IFERROR((VLOOKUP($A503,Pitchers!$A1:$S251,13,FALSE)-AVERAGE(Rankings!AL2:AL651))/STDEV(Rankings!AL2:AL651)*-1,0)</f>
        <v>-2.0945897061115786</v>
      </c>
      <c r="AF503" s="121">
        <f>(VLOOKUP($A503,Pitchers!$A1:$S251,14,FALSE)-AVERAGE(Rankings!AM2:AM651))/STDEV(Rankings!AM2:AM651)</f>
        <v>-0.74031817999462979</v>
      </c>
      <c r="AG503" s="121">
        <f>(VLOOKUP($A503,Pitchers!$A1:$S251,15,FALSE)-AVERAGE(Rankings!AN2:AN651))/STDEV(Rankings!AN2:AN651)</f>
        <v>0.88515478547189652</v>
      </c>
      <c r="AH503" s="121">
        <f>(VLOOKUP($A503,Pitchers!$A1:$S251,16,FALSE)-AVERAGE(Rankings!AO2:AO651))/STDEV(Rankings!AO2:AO651)*-1</f>
        <v>-1.2572864423881414</v>
      </c>
      <c r="AI503" s="121">
        <f>IFERROR((VLOOKUP($A503,Pitchers!$A1:$S251,17,FALSE)-AVERAGE(Rankings!AP2:AP651))/STDEV(Rankings!AP2:AP651),0)</f>
        <v>0.59315449252384489</v>
      </c>
      <c r="AJ503" s="121">
        <f>(VLOOKUP($A503,Pitchers!$A1:$S251,18,FALSE)-AVERAGE(Rankings!AQ2:AQ651))/STDEV(Rankings!AQ2:AQ651)</f>
        <v>-0.68467156957913733</v>
      </c>
      <c r="AK503" s="121">
        <f>IFERROR((VLOOKUP($A503,Pitchers!$A1:$S251,19,FALSE)-AVERAGE(Rankings!AR2:AR651))/STDEV(Rankings!AR2:AR651)*-1,0)</f>
        <v>0.47041511698728217</v>
      </c>
    </row>
    <row r="504" spans="1:37" ht="18.600000000000001" customHeight="1">
      <c r="A504" s="25" t="s">
        <v>435</v>
      </c>
      <c r="B504" s="26" t="s">
        <v>82</v>
      </c>
      <c r="C504" s="130" t="s">
        <v>31</v>
      </c>
      <c r="D504" s="67">
        <f>(V504*Settings!$G$2)+(Y504*Settings!$G$5)+(Z504*Settings!$G$6)+(AA504*Settings!$G$7)+(AB504*Settings!$G$8)+(AC504*Settings!$G$9)+(AD504*Settings!$G$10)+(AE504*Settings!$G$11)+(AF504*Settings!$G$12)+(AG504*Settings!$G$13)+(AH504*Settings!$G$14)+(AI504*Settings!$G$15)+(AJ504*Settings!$G$16)+(AK504*Settings!$G$17)+(W504*Settings!$G$3)+(X504*Settings!$G$4)</f>
        <v>-1.5818954828012741</v>
      </c>
      <c r="E504" s="67"/>
      <c r="F504" s="67"/>
      <c r="G504" s="67"/>
      <c r="H504" s="67"/>
      <c r="I504" s="67"/>
      <c r="J504" s="67"/>
      <c r="K504" s="73"/>
      <c r="L504" s="73"/>
      <c r="M504" s="67"/>
      <c r="N504" s="67"/>
      <c r="O504" s="67"/>
      <c r="P504" s="67"/>
      <c r="Q504" s="67"/>
      <c r="R504" s="73"/>
      <c r="S504" s="73"/>
      <c r="T504" s="67"/>
      <c r="U504" s="67"/>
      <c r="V504" s="121">
        <f>(VLOOKUP($A504,Pitchers!$A1:$S251,4,FALSE)-AVERAGE(Rankings!AC2:AC651))/STDEV(Rankings!AC2:AC651)</f>
        <v>0.67874780696111403</v>
      </c>
      <c r="W504" s="121">
        <f>(VLOOKUP($A504,Pitchers!$A1:$S251,5,FALSE)-AVERAGE(Rankings!AD2:AD651))/STDEV(Rankings!AD2:AD651)*-1</f>
        <v>-1.3450355819769166</v>
      </c>
      <c r="X504" s="121">
        <f>(VLOOKUP($A504,Pitchers!$A1:$S251,6,FALSE)-AVERAGE(Rankings!AE2:AE651))/STDEV(Rankings!AE2:AE651)*-1</f>
        <v>-0.73403790691403981</v>
      </c>
      <c r="Y504" s="121">
        <f>(VLOOKUP($A504,Pitchers!$A1:$S251,7,FALSE)-AVERAGE(Rankings!AF2:AF651))/STDEV(Rankings!AF2:AF651)</f>
        <v>4.4269954398753072E-2</v>
      </c>
      <c r="Z504" s="121">
        <f>(VLOOKUP($A504,Pitchers!$A1:$S251,8,FALSE)-AVERAGE(Rankings!AG2:AG651))/STDEV(Rankings!AG2:AG651)</f>
        <v>0.91705251384130293</v>
      </c>
      <c r="AA504" s="121">
        <f>(VLOOKUP($A504,Pitchers!$A1:$S251,9,FALSE)-AVERAGE(Rankings!AH2:AH651))/STDEV(Rankings!AH2:AH651)</f>
        <v>-0.46414446215037364</v>
      </c>
      <c r="AB504" s="121">
        <f>(VLOOKUP($A504,Pitchers!$A1:$S251,10,FALSE)-AVERAGE(Rankings!AI2:AI651))/STDEV(Rankings!AI2:AI651)*-1</f>
        <v>-1.0681460649627472</v>
      </c>
      <c r="AC504" s="121">
        <f>(VLOOKUP($A504,Pitchers!$A1:$S251,11,FALSE)-AVERAGE(Rankings!AJ2:AJ651))/STDEV(Rankings!AJ2:AJ651)*-1</f>
        <v>-1.0464266953189083</v>
      </c>
      <c r="AD504" s="121">
        <f>(VLOOKUP($A504,Pitchers!$A1:$S251,12,FALSE)-AVERAGE(Rankings!AK2:AK651))/STDEV(Rankings!AK2:AK651)*-1</f>
        <v>1.7319088752351295E-3</v>
      </c>
      <c r="AE504" s="121">
        <f>IFERROR((VLOOKUP($A504,Pitchers!$A1:$S251,13,FALSE)-AVERAGE(Rankings!AL2:AL651))/STDEV(Rankings!AL2:AL651)*-1,0)</f>
        <v>-1.1635427196510091</v>
      </c>
      <c r="AF504" s="121">
        <f>(VLOOKUP($A504,Pitchers!$A1:$S251,14,FALSE)-AVERAGE(Rankings!AM2:AM651))/STDEV(Rankings!AM2:AM651)</f>
        <v>-0.83842693230422571</v>
      </c>
      <c r="AG504" s="121">
        <f>(VLOOKUP($A504,Pitchers!$A1:$S251,15,FALSE)-AVERAGE(Rankings!AN2:AN651))/STDEV(Rankings!AN2:AN651)</f>
        <v>0.79425215182066355</v>
      </c>
      <c r="AH504" s="121">
        <f>(VLOOKUP($A504,Pitchers!$A1:$S251,16,FALSE)-AVERAGE(Rankings!AO2:AO651))/STDEV(Rankings!AO2:AO651)*-1</f>
        <v>-0.756255740870591</v>
      </c>
      <c r="AI504" s="121">
        <f>IFERROR((VLOOKUP($A504,Pitchers!$A1:$S251,17,FALSE)-AVERAGE(Rankings!AP2:AP651))/STDEV(Rankings!AP2:AP651),0)</f>
        <v>0.30660642850266379</v>
      </c>
      <c r="AJ504" s="121">
        <f>(VLOOKUP($A504,Pitchers!$A1:$S251,18,FALSE)-AVERAGE(Rankings!AQ2:AQ651))/STDEV(Rankings!AQ2:AQ651)</f>
        <v>-0.68467156957913733</v>
      </c>
      <c r="AK504" s="121">
        <f>IFERROR((VLOOKUP($A504,Pitchers!$A1:$S251,19,FALSE)-AVERAGE(Rankings!AR2:AR651))/STDEV(Rankings!AR2:AR651)*-1,0)</f>
        <v>0.47041511698728217</v>
      </c>
    </row>
    <row r="505" spans="1:37" ht="18.600000000000001" customHeight="1">
      <c r="A505" s="25" t="s">
        <v>434</v>
      </c>
      <c r="B505" s="26" t="s">
        <v>72</v>
      </c>
      <c r="C505" s="130" t="s">
        <v>31</v>
      </c>
      <c r="D505" s="67">
        <f>(V505*Settings!$G$2)+(Y505*Settings!$G$5)+(Z505*Settings!$G$6)+(AA505*Settings!$G$7)+(AB505*Settings!$G$8)+(AC505*Settings!$G$9)+(AD505*Settings!$G$10)+(AE505*Settings!$G$11)+(AF505*Settings!$G$12)+(AG505*Settings!$G$13)+(AH505*Settings!$G$14)+(AI505*Settings!$G$15)+(AJ505*Settings!$G$16)+(AK505*Settings!$G$17)+(W505*Settings!$G$3)+(X505*Settings!$G$4)</f>
        <v>-1.5774945541760541</v>
      </c>
      <c r="E505" s="67"/>
      <c r="F505" s="67"/>
      <c r="G505" s="67"/>
      <c r="H505" s="67"/>
      <c r="I505" s="67"/>
      <c r="J505" s="67"/>
      <c r="K505" s="73"/>
      <c r="L505" s="73"/>
      <c r="M505" s="67"/>
      <c r="N505" s="67"/>
      <c r="O505" s="67"/>
      <c r="P505" s="67"/>
      <c r="Q505" s="67"/>
      <c r="R505" s="73"/>
      <c r="S505" s="73"/>
      <c r="T505" s="67"/>
      <c r="U505" s="67"/>
      <c r="V505" s="121">
        <f>(VLOOKUP($A505,Pitchers!$A1:$S251,4,FALSE)-AVERAGE(Rankings!AC2:AC651))/STDEV(Rankings!AC2:AC651)</f>
        <v>1.2461523521145199</v>
      </c>
      <c r="W505" s="121">
        <f>(VLOOKUP($A505,Pitchers!$A1:$S251,5,FALSE)-AVERAGE(Rankings!AD2:AD651))/STDEV(Rankings!AD2:AD651)*-1</f>
        <v>-1.296980241488656</v>
      </c>
      <c r="X505" s="121">
        <f>(VLOOKUP($A505,Pitchers!$A1:$S251,6,FALSE)-AVERAGE(Rankings!AE2:AE651))/STDEV(Rankings!AE2:AE651)*-1</f>
        <v>-0.89436848854504492</v>
      </c>
      <c r="Y505" s="121">
        <f>(VLOOKUP($A505,Pitchers!$A1:$S251,7,FALSE)-AVERAGE(Rankings!AF2:AF651))/STDEV(Rankings!AF2:AF651)</f>
        <v>-1.0187456834165122E-2</v>
      </c>
      <c r="Z505" s="121">
        <f>(VLOOKUP($A505,Pitchers!$A1:$S251,8,FALSE)-AVERAGE(Rankings!AG2:AG651))/STDEV(Rankings!AG2:AG651)</f>
        <v>1.0881860948421855</v>
      </c>
      <c r="AA505" s="121">
        <f>(VLOOKUP($A505,Pitchers!$A1:$S251,9,FALSE)-AVERAGE(Rankings!AH2:AH651))/STDEV(Rankings!AH2:AH651)</f>
        <v>-0.46414446215037364</v>
      </c>
      <c r="AB505" s="121">
        <f>(VLOOKUP($A505,Pitchers!$A1:$S251,10,FALSE)-AVERAGE(Rankings!AI2:AI651))/STDEV(Rankings!AI2:AI651)*-1</f>
        <v>-1.6426228213805127</v>
      </c>
      <c r="AC505" s="121">
        <f>(VLOOKUP($A505,Pitchers!$A1:$S251,11,FALSE)-AVERAGE(Rankings!AJ2:AJ651))/STDEV(Rankings!AJ2:AJ651)*-1</f>
        <v>-1.632218695189815</v>
      </c>
      <c r="AD505" s="121">
        <f>(VLOOKUP($A505,Pitchers!$A1:$S251,12,FALSE)-AVERAGE(Rankings!AK2:AK651))/STDEV(Rankings!AK2:AK651)*-1</f>
        <v>-0.71338830031910416</v>
      </c>
      <c r="AE505" s="121">
        <f>IFERROR((VLOOKUP($A505,Pitchers!$A1:$S251,13,FALSE)-AVERAGE(Rankings!AL2:AL651))/STDEV(Rankings!AL2:AL651)*-1,0)</f>
        <v>-1.562562856705539</v>
      </c>
      <c r="AF505" s="121">
        <f>(VLOOKUP($A505,Pitchers!$A1:$S251,14,FALSE)-AVERAGE(Rankings!AM2:AM651))/STDEV(Rankings!AM2:AM651)</f>
        <v>-0.653110400163878</v>
      </c>
      <c r="AG505" s="121">
        <f>(VLOOKUP($A505,Pitchers!$A1:$S251,15,FALSE)-AVERAGE(Rankings!AN2:AN651))/STDEV(Rankings!AN2:AN651)</f>
        <v>1.0409878717311534</v>
      </c>
      <c r="AH505" s="121">
        <f>(VLOOKUP($A505,Pitchers!$A1:$S251,16,FALSE)-AVERAGE(Rankings!AO2:AO651))/STDEV(Rankings!AO2:AO651)*-1</f>
        <v>-1.7207398412918748</v>
      </c>
      <c r="AI505" s="121">
        <f>IFERROR((VLOOKUP($A505,Pitchers!$A1:$S251,17,FALSE)-AVERAGE(Rankings!AP2:AP651))/STDEV(Rankings!AP2:AP651),0)</f>
        <v>0.59315449252384489</v>
      </c>
      <c r="AJ505" s="121">
        <f>(VLOOKUP($A505,Pitchers!$A1:$S251,18,FALSE)-AVERAGE(Rankings!AQ2:AQ651))/STDEV(Rankings!AQ2:AQ651)</f>
        <v>-0.68467156957913733</v>
      </c>
      <c r="AK505" s="121">
        <f>IFERROR((VLOOKUP($A505,Pitchers!$A1:$S251,19,FALSE)-AVERAGE(Rankings!AR2:AR651))/STDEV(Rankings!AR2:AR651)*-1,0)</f>
        <v>0.47041511698728217</v>
      </c>
    </row>
    <row r="506" spans="1:37" ht="18.600000000000001" customHeight="1">
      <c r="A506" s="25" t="s">
        <v>453</v>
      </c>
      <c r="B506" s="26" t="s">
        <v>101</v>
      </c>
      <c r="C506" s="130" t="s">
        <v>31</v>
      </c>
      <c r="D506" s="67">
        <f>(V506*Settings!$G$2)+(Y506*Settings!$G$5)+(Z506*Settings!$G$6)+(AA506*Settings!$G$7)+(AB506*Settings!$G$8)+(AC506*Settings!$G$9)+(AD506*Settings!$G$10)+(AE506*Settings!$G$11)+(AF506*Settings!$G$12)+(AG506*Settings!$G$13)+(AH506*Settings!$G$14)+(AI506*Settings!$G$15)+(AJ506*Settings!$G$16)+(AK506*Settings!$G$17)+(W506*Settings!$G$3)+(X506*Settings!$G$4)</f>
        <v>-1.7658187317615557</v>
      </c>
      <c r="E506" s="67"/>
      <c r="F506" s="67"/>
      <c r="G506" s="67"/>
      <c r="H506" s="67"/>
      <c r="I506" s="67"/>
      <c r="J506" s="67"/>
      <c r="K506" s="73"/>
      <c r="L506" s="73"/>
      <c r="M506" s="67"/>
      <c r="N506" s="67"/>
      <c r="O506" s="67"/>
      <c r="P506" s="67"/>
      <c r="Q506" s="67"/>
      <c r="R506" s="73"/>
      <c r="S506" s="73"/>
      <c r="T506" s="67"/>
      <c r="U506" s="67"/>
      <c r="V506" s="121">
        <f>(VLOOKUP($A506,Pitchers!$A1:$S251,4,FALSE)-AVERAGE(Rankings!AC2:AC651))/STDEV(Rankings!AC2:AC651)</f>
        <v>1.1000668535489047</v>
      </c>
      <c r="W506" s="121">
        <f>(VLOOKUP($A506,Pitchers!$A1:$S251,5,FALSE)-AVERAGE(Rankings!AD2:AD651))/STDEV(Rankings!AD2:AD651)*-1</f>
        <v>-1.3175943423947478</v>
      </c>
      <c r="X506" s="121">
        <f>(VLOOKUP($A506,Pitchers!$A1:$S251,6,FALSE)-AVERAGE(Rankings!AE2:AE651))/STDEV(Rankings!AE2:AE651)*-1</f>
        <v>-0.61320191469007235</v>
      </c>
      <c r="Y506" s="121">
        <f>(VLOOKUP($A506,Pitchers!$A1:$S251,7,FALSE)-AVERAGE(Rankings!AF2:AF651))/STDEV(Rankings!AF2:AF651)</f>
        <v>4.4269954398753072E-2</v>
      </c>
      <c r="Z506" s="121">
        <f>(VLOOKUP($A506,Pitchers!$A1:$S251,8,FALSE)-AVERAGE(Rankings!AG2:AG651))/STDEV(Rankings!AG2:AG651)</f>
        <v>0.5848520330748852</v>
      </c>
      <c r="AA506" s="121">
        <f>(VLOOKUP($A506,Pitchers!$A1:$S251,9,FALSE)-AVERAGE(Rankings!AH2:AH651))/STDEV(Rankings!AH2:AH651)</f>
        <v>-0.46414446215037364</v>
      </c>
      <c r="AB506" s="121">
        <f>(VLOOKUP($A506,Pitchers!$A1:$S251,10,FALSE)-AVERAGE(Rankings!AI2:AI651))/STDEV(Rankings!AI2:AI651)*-1</f>
        <v>-1.4989135324083775</v>
      </c>
      <c r="AC506" s="121">
        <f>(VLOOKUP($A506,Pitchers!$A1:$S251,11,FALSE)-AVERAGE(Rankings!AJ2:AJ651))/STDEV(Rankings!AJ2:AJ651)*-1</f>
        <v>-1.521316326282216</v>
      </c>
      <c r="AD506" s="121">
        <f>(VLOOKUP($A506,Pitchers!$A1:$S251,12,FALSE)-AVERAGE(Rankings!AK2:AK651))/STDEV(Rankings!AK2:AK651)*-1</f>
        <v>-0.10077679005364618</v>
      </c>
      <c r="AE506" s="121">
        <f>IFERROR((VLOOKUP($A506,Pitchers!$A1:$S251,13,FALSE)-AVERAGE(Rankings!AL2:AL651))/STDEV(Rankings!AL2:AL651)*-1,0)</f>
        <v>-1.562562856705539</v>
      </c>
      <c r="AF506" s="121">
        <f>(VLOOKUP($A506,Pitchers!$A1:$S251,14,FALSE)-AVERAGE(Rankings!AM2:AM651))/STDEV(Rankings!AM2:AM651)</f>
        <v>-0.67491234512156595</v>
      </c>
      <c r="AG506" s="121">
        <f>(VLOOKUP($A506,Pitchers!$A1:$S251,15,FALSE)-AVERAGE(Rankings!AN2:AN651))/STDEV(Rankings!AN2:AN651)</f>
        <v>0.96307132860152489</v>
      </c>
      <c r="AH506" s="121">
        <f>(VLOOKUP($A506,Pitchers!$A1:$S251,16,FALSE)-AVERAGE(Rankings!AO2:AO651))/STDEV(Rankings!AO2:AO651)*-1</f>
        <v>-2.0213582622024053</v>
      </c>
      <c r="AI506" s="121">
        <f>IFERROR((VLOOKUP($A506,Pitchers!$A1:$S251,17,FALSE)-AVERAGE(Rankings!AP2:AP651))/STDEV(Rankings!AP2:AP651),0)</f>
        <v>0.73642852453443552</v>
      </c>
      <c r="AJ506" s="121">
        <f>(VLOOKUP($A506,Pitchers!$A1:$S251,18,FALSE)-AVERAGE(Rankings!AQ2:AQ651))/STDEV(Rankings!AQ2:AQ651)</f>
        <v>-0.68467156957913733</v>
      </c>
      <c r="AK506" s="121">
        <f>IFERROR((VLOOKUP($A506,Pitchers!$A1:$S251,19,FALSE)-AVERAGE(Rankings!AR2:AR651))/STDEV(Rankings!AR2:AR651)*-1,0)</f>
        <v>0.47041511698728217</v>
      </c>
    </row>
    <row r="507" spans="1:37" ht="18.600000000000001" customHeight="1">
      <c r="A507" s="25" t="s">
        <v>446</v>
      </c>
      <c r="B507" s="26" t="s">
        <v>142</v>
      </c>
      <c r="C507" s="130" t="s">
        <v>31</v>
      </c>
      <c r="D507" s="67">
        <f>(V507*Settings!$G$2)+(Y507*Settings!$G$5)+(Z507*Settings!$G$6)+(AA507*Settings!$G$7)+(AB507*Settings!$G$8)+(AC507*Settings!$G$9)+(AD507*Settings!$G$10)+(AE507*Settings!$G$11)+(AF507*Settings!$G$12)+(AG507*Settings!$G$13)+(AH507*Settings!$G$14)+(AI507*Settings!$G$15)+(AJ507*Settings!$G$16)+(AK507*Settings!$G$17)+(W507*Settings!$G$3)+(X507*Settings!$G$4)</f>
        <v>-0.46069937242155573</v>
      </c>
      <c r="E507" s="67"/>
      <c r="F507" s="67"/>
      <c r="G507" s="67"/>
      <c r="H507" s="67"/>
      <c r="I507" s="67"/>
      <c r="J507" s="67"/>
      <c r="K507" s="73"/>
      <c r="L507" s="73"/>
      <c r="M507" s="67"/>
      <c r="N507" s="67"/>
      <c r="O507" s="67"/>
      <c r="P507" s="67"/>
      <c r="Q507" s="67"/>
      <c r="R507" s="73"/>
      <c r="S507" s="73"/>
      <c r="T507" s="67"/>
      <c r="U507" s="67"/>
      <c r="V507" s="121">
        <f>(VLOOKUP($A507,Pitchers!$A1:$S251,4,FALSE)-AVERAGE(Rankings!AC2:AC651))/STDEV(Rankings!AC2:AC651)</f>
        <v>0.63746277475778823</v>
      </c>
      <c r="W507" s="121">
        <f>(VLOOKUP($A507,Pitchers!$A1:$S251,5,FALSE)-AVERAGE(Rankings!AD2:AD651))/STDEV(Rankings!AD2:AD651)*-1</f>
        <v>-0.32954739180322751</v>
      </c>
      <c r="X507" s="121">
        <f>(VLOOKUP($A507,Pitchers!$A1:$S251,6,FALSE)-AVERAGE(Rankings!AE2:AE651))/STDEV(Rankings!AE2:AE651)*-1</f>
        <v>-0.46532859321534359</v>
      </c>
      <c r="Y507" s="121">
        <f>(VLOOKUP($A507,Pitchers!$A1:$S251,7,FALSE)-AVERAGE(Rankings!AF2:AF651))/STDEV(Rankings!AF2:AF651)</f>
        <v>0.69666974096911272</v>
      </c>
      <c r="Z507" s="121">
        <f>(VLOOKUP($A507,Pitchers!$A1:$S251,8,FALSE)-AVERAGE(Rankings!AG2:AG651))/STDEV(Rankings!AG2:AG651)</f>
        <v>0.10165133377827633</v>
      </c>
      <c r="AA507" s="121">
        <f>(VLOOKUP($A507,Pitchers!$A1:$S251,9,FALSE)-AVERAGE(Rankings!AH2:AH651))/STDEV(Rankings!AH2:AH651)</f>
        <v>-0.46414446215037364</v>
      </c>
      <c r="AB507" s="121">
        <f>(VLOOKUP($A507,Pitchers!$A1:$S251,10,FALSE)-AVERAGE(Rankings!AI2:AI651))/STDEV(Rankings!AI2:AI651)*-1</f>
        <v>-0.64511216949419758</v>
      </c>
      <c r="AC507" s="121">
        <f>(VLOOKUP($A507,Pitchers!$A1:$S251,11,FALSE)-AVERAGE(Rankings!AJ2:AJ651))/STDEV(Rankings!AJ2:AJ651)*-1</f>
        <v>-0.5562524429997463</v>
      </c>
      <c r="AD507" s="121">
        <f>(VLOOKUP($A507,Pitchers!$A1:$S251,12,FALSE)-AVERAGE(Rankings!AK2:AK651))/STDEV(Rankings!AK2:AK651)*-1</f>
        <v>-1.2198300866939353</v>
      </c>
      <c r="AE507" s="121">
        <f>IFERROR((VLOOKUP($A507,Pitchers!$A1:$S251,13,FALSE)-AVERAGE(Rankings!AL2:AL651))/STDEV(Rankings!AL2:AL651)*-1,0)</f>
        <v>-1.0305360072994991</v>
      </c>
      <c r="AF507" s="121">
        <f>(VLOOKUP($A507,Pitchers!$A1:$S251,14,FALSE)-AVERAGE(Rankings!AM2:AM651))/STDEV(Rankings!AM2:AM651)</f>
        <v>-0.5713531065725479</v>
      </c>
      <c r="AG507" s="121">
        <f>(VLOOKUP($A507,Pitchers!$A1:$S251,15,FALSE)-AVERAGE(Rankings!AN2:AN651))/STDEV(Rankings!AN2:AN651)</f>
        <v>1.0215087359487465</v>
      </c>
      <c r="AH507" s="121">
        <f>(VLOOKUP($A507,Pitchers!$A1:$S251,16,FALSE)-AVERAGE(Rankings!AO2:AO651))/STDEV(Rankings!AO2:AO651)*-1</f>
        <v>-1.6956883062159975</v>
      </c>
      <c r="AI507" s="121">
        <f>IFERROR((VLOOKUP($A507,Pitchers!$A1:$S251,17,FALSE)-AVERAGE(Rankings!AP2:AP651))/STDEV(Rankings!AP2:AP651),0)</f>
        <v>0.30660642850266379</v>
      </c>
      <c r="AJ507" s="121">
        <f>(VLOOKUP($A507,Pitchers!$A1:$S251,18,FALSE)-AVERAGE(Rankings!AQ2:AQ651))/STDEV(Rankings!AQ2:AQ651)</f>
        <v>-0.68467156957913733</v>
      </c>
      <c r="AK507" s="121">
        <f>IFERROR((VLOOKUP($A507,Pitchers!$A1:$S251,19,FALSE)-AVERAGE(Rankings!AR2:AR651))/STDEV(Rankings!AR2:AR651)*-1,0)</f>
        <v>0.47041511698728217</v>
      </c>
    </row>
    <row r="508" spans="1:37" ht="18.600000000000001" customHeight="1">
      <c r="A508" s="25" t="s">
        <v>444</v>
      </c>
      <c r="B508" s="26" t="s">
        <v>260</v>
      </c>
      <c r="C508" s="130" t="s">
        <v>31</v>
      </c>
      <c r="D508" s="67">
        <f>(V508*Settings!$G$2)+(Y508*Settings!$G$5)+(Z508*Settings!$G$6)+(AA508*Settings!$G$7)+(AB508*Settings!$G$8)+(AC508*Settings!$G$9)+(AD508*Settings!$G$10)+(AE508*Settings!$G$11)+(AF508*Settings!$G$12)+(AG508*Settings!$G$13)+(AH508*Settings!$G$14)+(AI508*Settings!$G$15)+(AJ508*Settings!$G$16)+(AK508*Settings!$G$17)+(W508*Settings!$G$3)+(X508*Settings!$G$4)</f>
        <v>-1.6819054893064389</v>
      </c>
      <c r="E508" s="67"/>
      <c r="F508" s="67"/>
      <c r="G508" s="67"/>
      <c r="H508" s="67"/>
      <c r="I508" s="67"/>
      <c r="J508" s="67"/>
      <c r="K508" s="73"/>
      <c r="L508" s="73"/>
      <c r="M508" s="67"/>
      <c r="N508" s="67"/>
      <c r="O508" s="67"/>
      <c r="P508" s="67"/>
      <c r="Q508" s="67"/>
      <c r="R508" s="73"/>
      <c r="S508" s="73"/>
      <c r="T508" s="67"/>
      <c r="U508" s="67"/>
      <c r="V508" s="121">
        <f>(VLOOKUP($A508,Pitchers!$A1:$S251,4,FALSE)-AVERAGE(Rankings!AC2:AC651))/STDEV(Rankings!AC2:AC651)</f>
        <v>0.16321419970419568</v>
      </c>
      <c r="W508" s="121">
        <f>(VLOOKUP($A508,Pitchers!$A1:$S251,5,FALSE)-AVERAGE(Rankings!AD2:AD651))/STDEV(Rankings!AD2:AD651)*-1</f>
        <v>-0.73729372147678174</v>
      </c>
      <c r="X508" s="121">
        <f>(VLOOKUP($A508,Pitchers!$A1:$S251,6,FALSE)-AVERAGE(Rankings!AE2:AE651))/STDEV(Rankings!AE2:AE651)*-1</f>
        <v>-0.11259646615634405</v>
      </c>
      <c r="Y508" s="121">
        <f>(VLOOKUP($A508,Pitchers!$A1:$S251,7,FALSE)-AVERAGE(Rankings!AF2:AF651))/STDEV(Rankings!AF2:AF651)</f>
        <v>-0.10712164882875956</v>
      </c>
      <c r="Z508" s="121">
        <f>(VLOOKUP($A508,Pitchers!$A1:$S251,8,FALSE)-AVERAGE(Rankings!AG2:AG651))/STDEV(Rankings!AG2:AG651)</f>
        <v>-0.26074919069417984</v>
      </c>
      <c r="AA508" s="121">
        <f>(VLOOKUP($A508,Pitchers!$A1:$S251,9,FALSE)-AVERAGE(Rankings!AH2:AH651))/STDEV(Rankings!AH2:AH651)</f>
        <v>-0.46414446215037364</v>
      </c>
      <c r="AB508" s="121">
        <f>(VLOOKUP($A508,Pitchers!$A1:$S251,10,FALSE)-AVERAGE(Rankings!AI2:AI651))/STDEV(Rankings!AI2:AI651)*-1</f>
        <v>-0.33498842489100605</v>
      </c>
      <c r="AC508" s="121">
        <f>(VLOOKUP($A508,Pitchers!$A1:$S251,11,FALSE)-AVERAGE(Rankings!AJ2:AJ651))/STDEV(Rankings!AJ2:AJ651)*-1</f>
        <v>-0.21927986054973489</v>
      </c>
      <c r="AD508" s="121">
        <f>(VLOOKUP($A508,Pitchers!$A1:$S251,12,FALSE)-AVERAGE(Rankings!AK2:AK651))/STDEV(Rankings!AK2:AK651)*-1</f>
        <v>-7.0877443259524165E-4</v>
      </c>
      <c r="AE508" s="121">
        <f>IFERROR((VLOOKUP($A508,Pitchers!$A1:$S251,13,FALSE)-AVERAGE(Rankings!AL2:AL651))/STDEV(Rankings!AL2:AL651)*-1,0)</f>
        <v>-0.89752929494798916</v>
      </c>
      <c r="AF508" s="121">
        <f>(VLOOKUP($A508,Pitchers!$A1:$S251,14,FALSE)-AVERAGE(Rankings!AM2:AM651))/STDEV(Rankings!AM2:AM651)</f>
        <v>-0.9768692827855443</v>
      </c>
      <c r="AG508" s="121">
        <f>(VLOOKUP($A508,Pitchers!$A1:$S251,15,FALSE)-AVERAGE(Rankings!AN2:AN651))/STDEV(Rankings!AN2:AN651)</f>
        <v>0.61634271167467858</v>
      </c>
      <c r="AH508" s="121">
        <f>(VLOOKUP($A508,Pitchers!$A1:$S251,16,FALSE)-AVERAGE(Rankings!AO2:AO651))/STDEV(Rankings!AO2:AO651)*-1</f>
        <v>-1.0944514643949375</v>
      </c>
      <c r="AI508" s="121">
        <f>IFERROR((VLOOKUP($A508,Pitchers!$A1:$S251,17,FALSE)-AVERAGE(Rankings!AP2:AP651))/STDEV(Rankings!AP2:AP651),0)</f>
        <v>0.73642852453443552</v>
      </c>
      <c r="AJ508" s="121">
        <f>(VLOOKUP($A508,Pitchers!$A1:$S251,18,FALSE)-AVERAGE(Rankings!AQ2:AQ651))/STDEV(Rankings!AQ2:AQ651)</f>
        <v>-0.68467156957913733</v>
      </c>
      <c r="AK508" s="121">
        <f>IFERROR((VLOOKUP($A508,Pitchers!$A1:$S251,19,FALSE)-AVERAGE(Rankings!AR2:AR651))/STDEV(Rankings!AR2:AR651)*-1,0)</f>
        <v>0.47041511698728217</v>
      </c>
    </row>
    <row r="509" spans="1:37" ht="18.600000000000001" customHeight="1">
      <c r="A509" s="25" t="s">
        <v>476</v>
      </c>
      <c r="B509" s="26" t="s">
        <v>64</v>
      </c>
      <c r="C509" s="130" t="s">
        <v>31</v>
      </c>
      <c r="D509" s="67">
        <f>(V509*Settings!$G$2)+(Y509*Settings!$G$5)+(Z509*Settings!$G$6)+(AA509*Settings!$G$7)+(AB509*Settings!$G$8)+(AC509*Settings!$G$9)+(AD509*Settings!$G$10)+(AE509*Settings!$G$11)+(AF509*Settings!$G$12)+(AG509*Settings!$G$13)+(AH509*Settings!$G$14)+(AI509*Settings!$G$15)+(AJ509*Settings!$G$16)+(AK509*Settings!$G$17)+(W509*Settings!$G$3)+(X509*Settings!$G$4)</f>
        <v>-2.0195001621861053</v>
      </c>
      <c r="E509" s="67"/>
      <c r="F509" s="67"/>
      <c r="G509" s="67"/>
      <c r="H509" s="67"/>
      <c r="I509" s="67"/>
      <c r="J509" s="67"/>
      <c r="K509" s="73"/>
      <c r="L509" s="73"/>
      <c r="M509" s="67"/>
      <c r="N509" s="67"/>
      <c r="O509" s="67"/>
      <c r="P509" s="67"/>
      <c r="Q509" s="67"/>
      <c r="R509" s="73"/>
      <c r="S509" s="73"/>
      <c r="T509" s="67"/>
      <c r="U509" s="67"/>
      <c r="V509" s="121">
        <f>(VLOOKUP($A509,Pitchers!$A1:$S251,4,FALSE)-AVERAGE(Rankings!AC2:AC651))/STDEV(Rankings!AC2:AC651)</f>
        <v>0.34211600591860902</v>
      </c>
      <c r="W509" s="121">
        <f>(VLOOKUP($A509,Pitchers!$A1:$S251,5,FALSE)-AVERAGE(Rankings!AD2:AD651))/STDEV(Rankings!AD2:AD651)*-1</f>
        <v>-1.2079100794504996</v>
      </c>
      <c r="X509" s="121">
        <f>(VLOOKUP($A509,Pitchers!$A1:$S251,6,FALSE)-AVERAGE(Rankings!AE2:AE651))/STDEV(Rankings!AE2:AE651)*-1</f>
        <v>-0.6197149509863763</v>
      </c>
      <c r="Y509" s="121">
        <f>(VLOOKUP($A509,Pitchers!$A1:$S251,7,FALSE)-AVERAGE(Rankings!AF2:AF651))/STDEV(Rankings!AF2:AF651)</f>
        <v>-5.0848990554744206E-2</v>
      </c>
      <c r="Z509" s="121">
        <f>(VLOOKUP($A509,Pitchers!$A1:$S251,8,FALSE)-AVERAGE(Rankings!AG2:AG651))/STDEV(Rankings!AG2:AG651)</f>
        <v>0.32311832095588855</v>
      </c>
      <c r="AA509" s="121">
        <f>(VLOOKUP($A509,Pitchers!$A1:$S251,9,FALSE)-AVERAGE(Rankings!AH2:AH651))/STDEV(Rankings!AH2:AH651)</f>
        <v>-0.46414446215037364</v>
      </c>
      <c r="AB509" s="121">
        <f>(VLOOKUP($A509,Pitchers!$A1:$S251,10,FALSE)-AVERAGE(Rankings!AI2:AI651))/STDEV(Rankings!AI2:AI651)*-1</f>
        <v>-0.66825281884697296</v>
      </c>
      <c r="AC509" s="121">
        <f>(VLOOKUP($A509,Pitchers!$A1:$S251,11,FALSE)-AVERAGE(Rankings!AJ2:AJ651))/STDEV(Rankings!AJ2:AJ651)*-1</f>
        <v>-0.61205908376414708</v>
      </c>
      <c r="AD509" s="121">
        <f>(VLOOKUP($A509,Pitchers!$A1:$S251,12,FALSE)-AVERAGE(Rankings!AK2:AK651))/STDEV(Rankings!AK2:AK651)*-1</f>
        <v>0.11644402434326934</v>
      </c>
      <c r="AE509" s="121">
        <f>IFERROR((VLOOKUP($A509,Pitchers!$A1:$S251,13,FALSE)-AVERAGE(Rankings!AL2:AL651))/STDEV(Rankings!AL2:AL651)*-1,0)</f>
        <v>-1.1635427196510091</v>
      </c>
      <c r="AF509" s="121">
        <f>(VLOOKUP($A509,Pitchers!$A1:$S251,14,FALSE)-AVERAGE(Rankings!AM2:AM651))/STDEV(Rankings!AM2:AM651)</f>
        <v>-0.96051782406727815</v>
      </c>
      <c r="AG509" s="121">
        <f>(VLOOKUP($A509,Pitchers!$A1:$S251,15,FALSE)-AVERAGE(Rankings!AN2:AN651))/STDEV(Rankings!AN2:AN651)</f>
        <v>0.59686357589227179</v>
      </c>
      <c r="AH509" s="121">
        <f>(VLOOKUP($A509,Pitchers!$A1:$S251,16,FALSE)-AVERAGE(Rankings!AO2:AO651))/STDEV(Rankings!AO2:AO651)*-1</f>
        <v>-0.25522503935304097</v>
      </c>
      <c r="AI509" s="121">
        <f>IFERROR((VLOOKUP($A509,Pitchers!$A1:$S251,17,FALSE)-AVERAGE(Rankings!AP2:AP651))/STDEV(Rankings!AP2:AP651),0)</f>
        <v>0.44988046051325437</v>
      </c>
      <c r="AJ509" s="121">
        <f>(VLOOKUP($A509,Pitchers!$A1:$S251,18,FALSE)-AVERAGE(Rankings!AQ2:AQ651))/STDEV(Rankings!AQ2:AQ651)</f>
        <v>-0.60435400698013797</v>
      </c>
      <c r="AK509" s="121">
        <f>IFERROR((VLOOKUP($A509,Pitchers!$A1:$S251,19,FALSE)-AVERAGE(Rankings!AR2:AR651))/STDEV(Rankings!AR2:AR651)*-1,0)</f>
        <v>0.47041511698728217</v>
      </c>
    </row>
    <row r="510" spans="1:37" ht="18.600000000000001" customHeight="1">
      <c r="A510" s="25" t="s">
        <v>756</v>
      </c>
      <c r="B510" s="26" t="s">
        <v>260</v>
      </c>
      <c r="C510" s="130" t="s">
        <v>31</v>
      </c>
      <c r="D510" s="67">
        <f>(V510*Settings!$G$2)+(Y510*Settings!$G$5)+(Z510*Settings!$G$6)+(AA510*Settings!$G$7)+(AB510*Settings!$G$8)+(AC510*Settings!$G$9)+(AD510*Settings!$G$10)+(AE510*Settings!$G$11)+(AF510*Settings!$G$12)+(AG510*Settings!$G$13)+(AH510*Settings!$G$14)+(AI510*Settings!$G$15)+(AJ510*Settings!$G$16)+(AK510*Settings!$G$17)+(W510*Settings!$G$3)+(X510*Settings!$G$4)</f>
        <v>-4.6329365327231047</v>
      </c>
      <c r="E510" s="67"/>
      <c r="F510" s="67"/>
      <c r="G510" s="67"/>
      <c r="H510" s="67"/>
      <c r="I510" s="67"/>
      <c r="J510" s="67"/>
      <c r="K510" s="73"/>
      <c r="L510" s="73"/>
      <c r="M510" s="67"/>
      <c r="N510" s="67"/>
      <c r="O510" s="67"/>
      <c r="P510" s="67"/>
      <c r="Q510" s="67"/>
      <c r="R510" s="73"/>
      <c r="S510" s="73"/>
      <c r="T510" s="67"/>
      <c r="U510" s="67"/>
      <c r="V510" s="121">
        <f>(VLOOKUP($A510,Pitchers!$A1:$S251,4,FALSE)-AVERAGE(Rankings!AC2:AC651))/STDEV(Rankings!AC2:AC651)</f>
        <v>-0.99100238437340971</v>
      </c>
      <c r="W510" s="121">
        <f>(VLOOKUP($A510,Pitchers!$A1:$S251,5,FALSE)-AVERAGE(Rankings!AD2:AD651))/STDEV(Rankings!AD2:AD651)*-1</f>
        <v>-0.84107330501640765</v>
      </c>
      <c r="X510" s="121">
        <f>(VLOOKUP($A510,Pitchers!$A1:$S251,6,FALSE)-AVERAGE(Rankings!AE2:AE651))/STDEV(Rankings!AE2:AE651)*-1</f>
        <v>-1.0535184577237435</v>
      </c>
      <c r="Y510" s="121">
        <f>(VLOOKUP($A510,Pitchers!$A1:$S251,7,FALSE)-AVERAGE(Rankings!AF2:AF651))/STDEV(Rankings!AF2:AF651)</f>
        <v>-1.2685167057227948</v>
      </c>
      <c r="Z510" s="121">
        <f>(VLOOKUP($A510,Pitchers!$A1:$S251,8,FALSE)-AVERAGE(Rankings!AG2:AG651))/STDEV(Rankings!AG2:AG651)</f>
        <v>-1.0056836021097846</v>
      </c>
      <c r="AA510" s="121">
        <f>(VLOOKUP($A510,Pitchers!$A1:$S251,9,FALSE)-AVERAGE(Rankings!AH2:AH651))/STDEV(Rankings!AH2:AH651)</f>
        <v>-0.46414446215037364</v>
      </c>
      <c r="AB510" s="121">
        <f>(VLOOKUP($A510,Pitchers!$A1:$S251,10,FALSE)-AVERAGE(Rankings!AI2:AI651))/STDEV(Rankings!AI2:AI651)*-1</f>
        <v>0.7728945649206167</v>
      </c>
      <c r="AC510" s="121">
        <f>(VLOOKUP($A510,Pitchers!$A1:$S251,11,FALSE)-AVERAGE(Rankings!AJ2:AJ651))/STDEV(Rankings!AJ2:AJ651)*-1</f>
        <v>0.89791932367008187</v>
      </c>
      <c r="AD510" s="121">
        <f>(VLOOKUP($A510,Pitchers!$A1:$S251,12,FALSE)-AVERAGE(Rankings!AK2:AK651))/STDEV(Rankings!AK2:AK651)*-1</f>
        <v>0.61190273583286248</v>
      </c>
      <c r="AE510" s="121">
        <f>IFERROR((VLOOKUP($A510,Pitchers!$A1:$S251,13,FALSE)-AVERAGE(Rankings!AL2:AL651))/STDEV(Rankings!AL2:AL651)*-1,0)</f>
        <v>0.43253782856711048</v>
      </c>
      <c r="AF510" s="121">
        <f>(VLOOKUP($A510,Pitchers!$A1:$S251,14,FALSE)-AVERAGE(Rankings!AM2:AM651))/STDEV(Rankings!AM2:AM651)</f>
        <v>-1.2548440809960657</v>
      </c>
      <c r="AG510" s="121">
        <f>(VLOOKUP($A510,Pitchers!$A1:$S251,15,FALSE)-AVERAGE(Rankings!AN2:AN651))/STDEV(Rankings!AN2:AN651)</f>
        <v>-0.30437110630709691</v>
      </c>
      <c r="AH510" s="121">
        <f>(VLOOKUP($A510,Pitchers!$A1:$S251,16,FALSE)-AVERAGE(Rankings!AO2:AO651))/STDEV(Rankings!AO2:AO651)*-1</f>
        <v>0.4712694778474068</v>
      </c>
      <c r="AI510" s="121">
        <f>IFERROR((VLOOKUP($A510,Pitchers!$A1:$S251,17,FALSE)-AVERAGE(Rankings!AP2:AP651))/STDEV(Rankings!AP2:AP651),0)</f>
        <v>-0.26648969953969853</v>
      </c>
      <c r="AJ510" s="121">
        <f>(VLOOKUP($A510,Pitchers!$A1:$S251,18,FALSE)-AVERAGE(Rankings!AQ2:AQ651))/STDEV(Rankings!AQ2:AQ651)</f>
        <v>-0.47271116676479136</v>
      </c>
      <c r="AK510" s="121">
        <f>IFERROR((VLOOKUP($A510,Pitchers!$A1:$S251,19,FALSE)-AVERAGE(Rankings!AR2:AR651))/STDEV(Rankings!AR2:AR651)*-1,0)</f>
        <v>0.47041511698728217</v>
      </c>
    </row>
    <row r="511" spans="1:37" ht="18.600000000000001" customHeight="1">
      <c r="A511" s="25" t="s">
        <v>498</v>
      </c>
      <c r="B511" s="26" t="s">
        <v>105</v>
      </c>
      <c r="C511" s="130" t="s">
        <v>31</v>
      </c>
      <c r="D511" s="67">
        <f>(V511*Settings!$G$2)+(Y511*Settings!$G$5)+(Z511*Settings!$G$6)+(AA511*Settings!$G$7)+(AB511*Settings!$G$8)+(AC511*Settings!$G$9)+(AD511*Settings!$G$10)+(AE511*Settings!$G$11)+(AF511*Settings!$G$12)+(AG511*Settings!$G$13)+(AH511*Settings!$G$14)+(AI511*Settings!$G$15)+(AJ511*Settings!$G$16)+(AK511*Settings!$G$17)+(W511*Settings!$G$3)+(X511*Settings!$G$4)</f>
        <v>-2.2938271876462024</v>
      </c>
      <c r="E511" s="67"/>
      <c r="F511" s="67"/>
      <c r="G511" s="67"/>
      <c r="H511" s="67"/>
      <c r="I511" s="67"/>
      <c r="J511" s="67"/>
      <c r="K511" s="73"/>
      <c r="L511" s="73"/>
      <c r="M511" s="67"/>
      <c r="N511" s="67"/>
      <c r="O511" s="67"/>
      <c r="P511" s="67"/>
      <c r="Q511" s="67"/>
      <c r="R511" s="73"/>
      <c r="S511" s="73"/>
      <c r="T511" s="67"/>
      <c r="U511" s="67"/>
      <c r="V511" s="121">
        <f>(VLOOKUP($A511,Pitchers!$A1:$S251,4,FALSE)-AVERAGE(Rankings!AC2:AC651))/STDEV(Rankings!AC2:AC651)</f>
        <v>0.56371429842876997</v>
      </c>
      <c r="W511" s="121">
        <f>(VLOOKUP($A511,Pitchers!$A1:$S251,5,FALSE)-AVERAGE(Rankings!AD2:AD651))/STDEV(Rankings!AD2:AD651)*-1</f>
        <v>-1.5887253867335001</v>
      </c>
      <c r="X511" s="121">
        <f>(VLOOKUP($A511,Pitchers!$A1:$S251,6,FALSE)-AVERAGE(Rankings!AE2:AE651))/STDEV(Rankings!AE2:AE651)*-1</f>
        <v>-0.76297632672935534</v>
      </c>
      <c r="Y511" s="121">
        <f>(VLOOKUP($A511,Pitchers!$A1:$S251,7,FALSE)-AVERAGE(Rankings!AF2:AF651))/STDEV(Rankings!AF2:AF651)</f>
        <v>4.7900448480947717E-2</v>
      </c>
      <c r="Z511" s="121">
        <f>(VLOOKUP($A511,Pitchers!$A1:$S251,8,FALSE)-AVERAGE(Rankings!AG2:AG651))/STDEV(Rankings!AG2:AG651)</f>
        <v>0.47411853948607896</v>
      </c>
      <c r="AA511" s="121">
        <f>(VLOOKUP($A511,Pitchers!$A1:$S251,9,FALSE)-AVERAGE(Rankings!AH2:AH651))/STDEV(Rankings!AH2:AH651)</f>
        <v>-0.46414446215037364</v>
      </c>
      <c r="AB511" s="121">
        <f>(VLOOKUP($A511,Pitchers!$A1:$S251,10,FALSE)-AVERAGE(Rankings!AI2:AI651))/STDEV(Rankings!AI2:AI651)*-1</f>
        <v>-1.0361906452205636</v>
      </c>
      <c r="AC511" s="121">
        <f>(VLOOKUP($A511,Pitchers!$A1:$S251,11,FALSE)-AVERAGE(Rankings!AJ2:AJ651))/STDEV(Rankings!AJ2:AJ651)*-1</f>
        <v>-1.0080374137739707</v>
      </c>
      <c r="AD511" s="121">
        <f>(VLOOKUP($A511,Pitchers!$A1:$S251,12,FALSE)-AVERAGE(Rankings!AK2:AK651))/STDEV(Rankings!AK2:AK651)*-1</f>
        <v>0.35319030520282835</v>
      </c>
      <c r="AE511" s="121">
        <f>IFERROR((VLOOKUP($A511,Pitchers!$A1:$S251,13,FALSE)-AVERAGE(Rankings!AL2:AL651))/STDEV(Rankings!AL2:AL651)*-1,0)</f>
        <v>-1.296549432002519</v>
      </c>
      <c r="AF511" s="121">
        <f>(VLOOKUP($A511,Pitchers!$A1:$S251,14,FALSE)-AVERAGE(Rankings!AM2:AM651))/STDEV(Rankings!AM2:AM651)</f>
        <v>-0.86240907175768222</v>
      </c>
      <c r="AG511" s="121">
        <f>(VLOOKUP($A511,Pitchers!$A1:$S251,15,FALSE)-AVERAGE(Rankings!AN2:AN651))/STDEV(Rankings!AN2:AN651)</f>
        <v>0.76568275267313313</v>
      </c>
      <c r="AH511" s="121">
        <f>(VLOOKUP($A511,Pitchers!$A1:$S251,16,FALSE)-AVERAGE(Rankings!AO2:AO651))/STDEV(Rankings!AO2:AO651)*-1</f>
        <v>-0.756255740870591</v>
      </c>
      <c r="AI511" s="121">
        <f>IFERROR((VLOOKUP($A511,Pitchers!$A1:$S251,17,FALSE)-AVERAGE(Rankings!AP2:AP651))/STDEV(Rankings!AP2:AP651),0)</f>
        <v>0.59315449252384489</v>
      </c>
      <c r="AJ511" s="121">
        <f>(VLOOKUP($A511,Pitchers!$A1:$S251,18,FALSE)-AVERAGE(Rankings!AQ2:AQ651))/STDEV(Rankings!AQ2:AQ651)</f>
        <v>-0.68467156957913733</v>
      </c>
      <c r="AK511" s="121">
        <f>IFERROR((VLOOKUP($A511,Pitchers!$A1:$S251,19,FALSE)-AVERAGE(Rankings!AR2:AR651))/STDEV(Rankings!AR2:AR651)*-1,0)</f>
        <v>0.47041511698728217</v>
      </c>
    </row>
    <row r="512" spans="1:37" ht="18.600000000000001" customHeight="1">
      <c r="A512" s="25" t="s">
        <v>500</v>
      </c>
      <c r="B512" s="26" t="s">
        <v>101</v>
      </c>
      <c r="C512" s="130" t="s">
        <v>31</v>
      </c>
      <c r="D512" s="67">
        <f>(V512*Settings!$G$2)+(Y512*Settings!$G$5)+(Z512*Settings!$G$6)+(AA512*Settings!$G$7)+(AB512*Settings!$G$8)+(AC512*Settings!$G$9)+(AD512*Settings!$G$10)+(AE512*Settings!$G$11)+(AF512*Settings!$G$12)+(AG512*Settings!$G$13)+(AH512*Settings!$G$14)+(AI512*Settings!$G$15)+(AJ512*Settings!$G$16)+(AK512*Settings!$G$17)+(W512*Settings!$G$3)+(X512*Settings!$G$4)</f>
        <v>-2.3329842993664527</v>
      </c>
      <c r="E512" s="67"/>
      <c r="F512" s="67"/>
      <c r="G512" s="67"/>
      <c r="H512" s="67"/>
      <c r="I512" s="67"/>
      <c r="J512" s="67"/>
      <c r="K512" s="73"/>
      <c r="L512" s="73"/>
      <c r="M512" s="67"/>
      <c r="N512" s="67"/>
      <c r="O512" s="67"/>
      <c r="P512" s="67"/>
      <c r="Q512" s="67"/>
      <c r="R512" s="73"/>
      <c r="S512" s="73"/>
      <c r="T512" s="67"/>
      <c r="U512" s="67"/>
      <c r="V512" s="121">
        <f>(VLOOKUP($A512,Pitchers!$A1:$S251,4,FALSE)-AVERAGE(Rankings!AC2:AC651))/STDEV(Rankings!AC2:AC651)</f>
        <v>0.73485310713486507</v>
      </c>
      <c r="W512" s="121">
        <f>(VLOOKUP($A512,Pitchers!$A1:$S251,5,FALSE)-AVERAGE(Rankings!AD2:AD651))/STDEV(Rankings!AD2:AD651)*-1</f>
        <v>-1.3491644766544471</v>
      </c>
      <c r="X512" s="121">
        <f>(VLOOKUP($A512,Pitchers!$A1:$S251,6,FALSE)-AVERAGE(Rankings!AE2:AE651))/STDEV(Rankings!AE2:AE651)*-1</f>
        <v>-1.1282515850589592</v>
      </c>
      <c r="Y512" s="121">
        <f>(VLOOKUP($A512,Pitchers!$A1:$S251,7,FALSE)-AVERAGE(Rankings!AF2:AF651))/STDEV(Rankings!AF2:AF651)</f>
        <v>3.8824213275461247E-2</v>
      </c>
      <c r="Z512" s="121">
        <f>(VLOOKUP($A512,Pitchers!$A1:$S251,8,FALSE)-AVERAGE(Rankings!AG2:AG651))/STDEV(Rankings!AG2:AG651)</f>
        <v>0.56975201122186603</v>
      </c>
      <c r="AA512" s="121">
        <f>(VLOOKUP($A512,Pitchers!$A1:$S251,9,FALSE)-AVERAGE(Rankings!AH2:AH651))/STDEV(Rankings!AH2:AH651)</f>
        <v>-0.46414446215037364</v>
      </c>
      <c r="AB512" s="121">
        <f>(VLOOKUP($A512,Pitchers!$A1:$S251,10,FALSE)-AVERAGE(Rankings!AI2:AI651))/STDEV(Rankings!AI2:AI651)*-1</f>
        <v>-1.128678159408586</v>
      </c>
      <c r="AC512" s="121">
        <f>(VLOOKUP($A512,Pitchers!$A1:$S251,11,FALSE)-AVERAGE(Rankings!AJ2:AJ651))/STDEV(Rankings!AJ2:AJ651)*-1</f>
        <v>-1.020122928334414</v>
      </c>
      <c r="AD512" s="121">
        <f>(VLOOKUP($A512,Pitchers!$A1:$S251,12,FALSE)-AVERAGE(Rankings!AK2:AK651))/STDEV(Rankings!AK2:AK651)*-1</f>
        <v>-0.75854094151396867</v>
      </c>
      <c r="AE512" s="121">
        <f>IFERROR((VLOOKUP($A512,Pitchers!$A1:$S251,13,FALSE)-AVERAGE(Rankings!AL2:AL651))/STDEV(Rankings!AL2:AL651)*-1,0)</f>
        <v>-0.89752929494798916</v>
      </c>
      <c r="AF512" s="121">
        <f>(VLOOKUP($A512,Pitchers!$A1:$S251,14,FALSE)-AVERAGE(Rankings!AM2:AM651))/STDEV(Rankings!AM2:AM651)</f>
        <v>-0.83951702955211005</v>
      </c>
      <c r="AG512" s="121">
        <f>(VLOOKUP($A512,Pitchers!$A1:$S251,15,FALSE)-AVERAGE(Rankings!AN2:AN651))/STDEV(Rankings!AN2:AN651)</f>
        <v>0.81892572381171247</v>
      </c>
      <c r="AH512" s="121">
        <f>(VLOOKUP($A512,Pitchers!$A1:$S251,16,FALSE)-AVERAGE(Rankings!AO2:AO651))/STDEV(Rankings!AO2:AO651)*-1</f>
        <v>-1.3199152800778349</v>
      </c>
      <c r="AI512" s="121">
        <f>IFERROR((VLOOKUP($A512,Pitchers!$A1:$S251,17,FALSE)-AVERAGE(Rankings!AP2:AP651))/STDEV(Rankings!AP2:AP651),0)</f>
        <v>0.30660642850266379</v>
      </c>
      <c r="AJ512" s="121">
        <f>(VLOOKUP($A512,Pitchers!$A1:$S251,18,FALSE)-AVERAGE(Rankings!AQ2:AQ651))/STDEV(Rankings!AQ2:AQ651)</f>
        <v>-0.68467156957913733</v>
      </c>
      <c r="AK512" s="121">
        <f>IFERROR((VLOOKUP($A512,Pitchers!$A1:$S251,19,FALSE)-AVERAGE(Rankings!AR2:AR651))/STDEV(Rankings!AR2:AR651)*-1,0)</f>
        <v>0.47041511698728217</v>
      </c>
    </row>
    <row r="513" spans="1:37" ht="18.600000000000001" customHeight="1">
      <c r="A513" s="25" t="s">
        <v>462</v>
      </c>
      <c r="B513" s="26" t="s">
        <v>125</v>
      </c>
      <c r="C513" s="130" t="s">
        <v>31</v>
      </c>
      <c r="D513" s="67">
        <f>(V513*Settings!$G$2)+(Y513*Settings!$G$5)+(Z513*Settings!$G$6)+(AA513*Settings!$G$7)+(AB513*Settings!$G$8)+(AC513*Settings!$G$9)+(AD513*Settings!$G$10)+(AE513*Settings!$G$11)+(AF513*Settings!$G$12)+(AG513*Settings!$G$13)+(AH513*Settings!$G$14)+(AI513*Settings!$G$15)+(AJ513*Settings!$G$16)+(AK513*Settings!$G$17)+(W513*Settings!$G$3)+(X513*Settings!$G$4)</f>
        <v>-1.8591939389400309</v>
      </c>
      <c r="E513" s="67"/>
      <c r="F513" s="67"/>
      <c r="G513" s="67"/>
      <c r="H513" s="67"/>
      <c r="I513" s="67"/>
      <c r="J513" s="67"/>
      <c r="K513" s="73"/>
      <c r="L513" s="73"/>
      <c r="M513" s="67"/>
      <c r="N513" s="67"/>
      <c r="O513" s="67"/>
      <c r="P513" s="67"/>
      <c r="Q513" s="67"/>
      <c r="R513" s="73"/>
      <c r="S513" s="73"/>
      <c r="T513" s="67"/>
      <c r="U513" s="67"/>
      <c r="V513" s="121">
        <f>(VLOOKUP($A513,Pitchers!$A1:$S251,4,FALSE)-AVERAGE(Rankings!AC2:AC651))/STDEV(Rankings!AC2:AC651)</f>
        <v>-0.11801802821076959</v>
      </c>
      <c r="W513" s="121">
        <f>(VLOOKUP($A513,Pitchers!$A1:$S251,5,FALSE)-AVERAGE(Rankings!AD2:AD651))/STDEV(Rankings!AD2:AD651)*-1</f>
        <v>-0.84296957616307666</v>
      </c>
      <c r="X513" s="121">
        <f>(VLOOKUP($A513,Pitchers!$A1:$S251,6,FALSE)-AVERAGE(Rankings!AE2:AE651))/STDEV(Rankings!AE2:AE651)*-1</f>
        <v>-0.59579032478621874</v>
      </c>
      <c r="Y513" s="121">
        <f>(VLOOKUP($A513,Pitchers!$A1:$S251,7,FALSE)-AVERAGE(Rankings!AF2:AF651))/STDEV(Rankings!AF2:AF651)</f>
        <v>-0.18880776567813684</v>
      </c>
      <c r="Z513" s="121">
        <f>(VLOOKUP($A513,Pitchers!$A1:$S251,8,FALSE)-AVERAGE(Rankings!AG2:AG651))/STDEV(Rankings!AG2:AG651)</f>
        <v>0.23251818983777481</v>
      </c>
      <c r="AA513" s="121">
        <f>(VLOOKUP($A513,Pitchers!$A1:$S251,9,FALSE)-AVERAGE(Rankings!AH2:AH651))/STDEV(Rankings!AH2:AH651)</f>
        <v>-0.46414446215037364</v>
      </c>
      <c r="AB513" s="121">
        <f>(VLOOKUP($A513,Pitchers!$A1:$S251,10,FALSE)-AVERAGE(Rankings!AI2:AI651))/STDEV(Rankings!AI2:AI651)*-1</f>
        <v>-9.0322234167599824E-2</v>
      </c>
      <c r="AC513" s="121">
        <f>(VLOOKUP($A513,Pitchers!$A1:$S251,11,FALSE)-AVERAGE(Rankings!AJ2:AJ651))/STDEV(Rankings!AJ2:AJ651)*-1</f>
        <v>-0.10944386057393987</v>
      </c>
      <c r="AD513" s="121">
        <f>(VLOOKUP($A513,Pitchers!$A1:$S251,12,FALSE)-AVERAGE(Rankings!AK2:AK651))/STDEV(Rankings!AK2:AK651)*-1</f>
        <v>0.44105490428472693</v>
      </c>
      <c r="AE513" s="121">
        <f>IFERROR((VLOOKUP($A513,Pitchers!$A1:$S251,13,FALSE)-AVERAGE(Rankings!AL2:AL651))/STDEV(Rankings!AL2:AL651)*-1,0)</f>
        <v>3.3517691512580598E-2</v>
      </c>
      <c r="AF513" s="121">
        <f>(VLOOKUP($A513,Pitchers!$A1:$S251,14,FALSE)-AVERAGE(Rankings!AM2:AM651))/STDEV(Rankings!AM2:AM651)</f>
        <v>-0.90383276717728955</v>
      </c>
      <c r="AG513" s="121">
        <f>(VLOOKUP($A513,Pitchers!$A1:$S251,15,FALSE)-AVERAGE(Rankings!AN2:AN651))/STDEV(Rankings!AN2:AN651)</f>
        <v>0.35272507408610249</v>
      </c>
      <c r="AH513" s="121">
        <f>(VLOOKUP($A513,Pitchers!$A1:$S251,16,FALSE)-AVERAGE(Rankings!AO2:AO651))/STDEV(Rankings!AO2:AO651)*-1</f>
        <v>-0.15501889904953062</v>
      </c>
      <c r="AI513" s="121">
        <f>IFERROR((VLOOKUP($A513,Pitchers!$A1:$S251,17,FALSE)-AVERAGE(Rankings!AP2:AP651))/STDEV(Rankings!AP2:AP651),0)</f>
        <v>0.16333239649207321</v>
      </c>
      <c r="AJ513" s="121">
        <f>(VLOOKUP($A513,Pitchers!$A1:$S251,18,FALSE)-AVERAGE(Rankings!AQ2:AQ651))/STDEV(Rankings!AQ2:AQ651)</f>
        <v>-0.60435400698013797</v>
      </c>
      <c r="AK513" s="121">
        <f>IFERROR((VLOOKUP($A513,Pitchers!$A1:$S251,19,FALSE)-AVERAGE(Rankings!AR2:AR651))/STDEV(Rankings!AR2:AR651)*-1,0)</f>
        <v>0.47041511698728217</v>
      </c>
    </row>
    <row r="514" spans="1:37" ht="18.600000000000001" customHeight="1">
      <c r="A514" s="25" t="s">
        <v>441</v>
      </c>
      <c r="B514" s="26" t="s">
        <v>116</v>
      </c>
      <c r="C514" s="130" t="s">
        <v>31</v>
      </c>
      <c r="D514" s="67">
        <f>(V514*Settings!$G$2)+(Y514*Settings!$G$5)+(Z514*Settings!$G$6)+(AA514*Settings!$G$7)+(AB514*Settings!$G$8)+(AC514*Settings!$G$9)+(AD514*Settings!$G$10)+(AE514*Settings!$G$11)+(AF514*Settings!$G$12)+(AG514*Settings!$G$13)+(AH514*Settings!$G$14)+(AI514*Settings!$G$15)+(AJ514*Settings!$G$16)+(AK514*Settings!$G$17)+(W514*Settings!$G$3)+(X514*Settings!$G$4)</f>
        <v>-1.6132803868456658</v>
      </c>
      <c r="E514" s="67"/>
      <c r="F514" s="67"/>
      <c r="G514" s="67"/>
      <c r="H514" s="67"/>
      <c r="I514" s="67"/>
      <c r="J514" s="67"/>
      <c r="K514" s="73"/>
      <c r="L514" s="73"/>
      <c r="M514" s="67"/>
      <c r="N514" s="67"/>
      <c r="O514" s="67"/>
      <c r="P514" s="67"/>
      <c r="Q514" s="67"/>
      <c r="R514" s="73"/>
      <c r="S514" s="73"/>
      <c r="T514" s="67"/>
      <c r="U514" s="67"/>
      <c r="V514" s="121">
        <f>(VLOOKUP($A514,Pitchers!$A1:$S251,4,FALSE)-AVERAGE(Rankings!AC2:AC651))/STDEV(Rankings!AC2:AC651)</f>
        <v>-0.13566120436603737</v>
      </c>
      <c r="W514" s="121">
        <f>(VLOOKUP($A514,Pitchers!$A1:$S251,5,FALSE)-AVERAGE(Rankings!AD2:AD651))/STDEV(Rankings!AD2:AD651)*-1</f>
        <v>-0.82566629173803874</v>
      </c>
      <c r="X514" s="121">
        <f>(VLOOKUP($A514,Pitchers!$A1:$S251,6,FALSE)-AVERAGE(Rankings!AE2:AE651))/STDEV(Rankings!AE2:AE651)*-1</f>
        <v>-5.5380710116457774E-2</v>
      </c>
      <c r="Y514" s="121">
        <f>(VLOOKUP($A514,Pitchers!$A1:$S251,7,FALSE)-AVERAGE(Rankings!AF2:AF651))/STDEV(Rankings!AF2:AF651)</f>
        <v>-0.30934016920699575</v>
      </c>
      <c r="Z514" s="121">
        <f>(VLOOKUP($A514,Pitchers!$A1:$S251,8,FALSE)-AVERAGE(Rankings!AG2:AG651))/STDEV(Rankings!AG2:AG651)</f>
        <v>4.1251246366200214E-2</v>
      </c>
      <c r="AA514" s="121">
        <f>(VLOOKUP($A514,Pitchers!$A1:$S251,9,FALSE)-AVERAGE(Rankings!AH2:AH651))/STDEV(Rankings!AH2:AH651)</f>
        <v>-0.46414446215037364</v>
      </c>
      <c r="AB514" s="121">
        <f>(VLOOKUP($A514,Pitchers!$A1:$S251,10,FALSE)-AVERAGE(Rankings!AI2:AI651))/STDEV(Rankings!AI2:AI651)*-1</f>
        <v>-6.8067566847150027E-2</v>
      </c>
      <c r="AC514" s="121">
        <f>(VLOOKUP($A514,Pitchers!$A1:$S251,11,FALSE)-AVERAGE(Rankings!AJ2:AJ651))/STDEV(Rankings!AJ2:AJ651)*-1</f>
        <v>9.0322585983978187E-2</v>
      </c>
      <c r="AD514" s="121">
        <f>(VLOOKUP($A514,Pitchers!$A1:$S251,12,FALSE)-AVERAGE(Rankings!AK2:AK651))/STDEV(Rankings!AK2:AK651)*-1</f>
        <v>0.24824092296611666</v>
      </c>
      <c r="AE514" s="121">
        <f>IFERROR((VLOOKUP($A514,Pitchers!$A1:$S251,13,FALSE)-AVERAGE(Rankings!AL2:AL651))/STDEV(Rankings!AL2:AL651)*-1,0)</f>
        <v>-1.296549432002519</v>
      </c>
      <c r="AF514" s="121">
        <f>(VLOOKUP($A514,Pitchers!$A1:$S251,14,FALSE)-AVERAGE(Rankings!AM2:AM651))/STDEV(Rankings!AM2:AM651)</f>
        <v>-1.2592044699876035</v>
      </c>
      <c r="AG514" s="121">
        <f>(VLOOKUP($A514,Pitchers!$A1:$S251,15,FALSE)-AVERAGE(Rankings!AN2:AN651))/STDEV(Rankings!AN2:AN651)</f>
        <v>0.29298905768672079</v>
      </c>
      <c r="AH514" s="121">
        <f>(VLOOKUP($A514,Pitchers!$A1:$S251,16,FALSE)-AVERAGE(Rankings!AO2:AO651))/STDEV(Rankings!AO2:AO651)*-1</f>
        <v>2.0341846481611629E-2</v>
      </c>
      <c r="AI514" s="121">
        <f>IFERROR((VLOOKUP($A514,Pitchers!$A1:$S251,17,FALSE)-AVERAGE(Rankings!AP2:AP651))/STDEV(Rankings!AP2:AP651),0)</f>
        <v>0.30660642850266379</v>
      </c>
      <c r="AJ514" s="121">
        <f>(VLOOKUP($A514,Pitchers!$A1:$S251,18,FALSE)-AVERAGE(Rankings!AQ2:AQ651))/STDEV(Rankings!AQ2:AQ651)</f>
        <v>-0.68467156957913733</v>
      </c>
      <c r="AK514" s="121">
        <f>IFERROR((VLOOKUP($A514,Pitchers!$A1:$S251,19,FALSE)-AVERAGE(Rankings!AR2:AR651))/STDEV(Rankings!AR2:AR651)*-1,0)</f>
        <v>0.47041511698728217</v>
      </c>
    </row>
    <row r="515" spans="1:37" ht="18.600000000000001" customHeight="1">
      <c r="A515" s="25" t="s">
        <v>578</v>
      </c>
      <c r="B515" s="26" t="s">
        <v>101</v>
      </c>
      <c r="C515" s="130" t="s">
        <v>31</v>
      </c>
      <c r="D515" s="67">
        <f>(V515*Settings!$G$2)+(Y515*Settings!$G$5)+(Z515*Settings!$G$6)+(AA515*Settings!$G$7)+(AB515*Settings!$G$8)+(AC515*Settings!$G$9)+(AD515*Settings!$G$10)+(AE515*Settings!$G$11)+(AF515*Settings!$G$12)+(AG515*Settings!$G$13)+(AH515*Settings!$G$14)+(AI515*Settings!$G$15)+(AJ515*Settings!$G$16)+(AK515*Settings!$G$17)+(W515*Settings!$G$3)+(X515*Settings!$G$4)</f>
        <v>-3.2648036913351879</v>
      </c>
      <c r="E515" s="67"/>
      <c r="F515" s="67"/>
      <c r="G515" s="67"/>
      <c r="H515" s="67"/>
      <c r="I515" s="67"/>
      <c r="J515" s="67"/>
      <c r="K515" s="73"/>
      <c r="L515" s="73"/>
      <c r="M515" s="67"/>
      <c r="N515" s="67"/>
      <c r="O515" s="67"/>
      <c r="P515" s="67"/>
      <c r="Q515" s="67"/>
      <c r="R515" s="73"/>
      <c r="S515" s="73"/>
      <c r="T515" s="67"/>
      <c r="U515" s="67"/>
      <c r="V515" s="121">
        <f>(VLOOKUP($A515,Pitchers!$A1:$S251,4,FALSE)-AVERAGE(Rankings!AC2:AC651))/STDEV(Rankings!AC2:AC651)</f>
        <v>0.532662308395499</v>
      </c>
      <c r="W515" s="121">
        <f>(VLOOKUP($A515,Pitchers!$A1:$S251,5,FALSE)-AVERAGE(Rankings!AD2:AD651))/STDEV(Rankings!AD2:AD651)*-1</f>
        <v>-1.5106110990762802</v>
      </c>
      <c r="X515" s="121">
        <f>(VLOOKUP($A515,Pitchers!$A1:$S251,6,FALSE)-AVERAGE(Rankings!AE2:AE651))/STDEV(Rankings!AE2:AE651)*-1</f>
        <v>-1.4580416411993817</v>
      </c>
      <c r="Y515" s="121">
        <f>(VLOOKUP($A515,Pitchers!$A1:$S251,7,FALSE)-AVERAGE(Rankings!AF2:AF651))/STDEV(Rankings!AF2:AF651)</f>
        <v>0.31800920819622175</v>
      </c>
      <c r="Z515" s="121">
        <f>(VLOOKUP($A515,Pitchers!$A1:$S251,8,FALSE)-AVERAGE(Rankings!AG2:AG651))/STDEV(Rankings!AG2:AG651)</f>
        <v>-0.15001569710537382</v>
      </c>
      <c r="AA515" s="121">
        <f>(VLOOKUP($A515,Pitchers!$A1:$S251,9,FALSE)-AVERAGE(Rankings!AH2:AH651))/STDEV(Rankings!AH2:AH651)</f>
        <v>-0.46414446215037364</v>
      </c>
      <c r="AB515" s="121">
        <f>(VLOOKUP($A515,Pitchers!$A1:$S251,10,FALSE)-AVERAGE(Rankings!AI2:AI651))/STDEV(Rankings!AI2:AI651)*-1</f>
        <v>-0.97444220256085412</v>
      </c>
      <c r="AC515" s="121">
        <f>(VLOOKUP($A515,Pitchers!$A1:$S251,11,FALSE)-AVERAGE(Rankings!AJ2:AJ651))/STDEV(Rankings!AJ2:AJ651)*-1</f>
        <v>-0.73007057888377136</v>
      </c>
      <c r="AD515" s="121">
        <f>(VLOOKUP($A515,Pitchers!$A1:$S251,12,FALSE)-AVERAGE(Rankings!AK2:AK651))/STDEV(Rankings!AK2:AK651)*-1</f>
        <v>-1.1551519790364264</v>
      </c>
      <c r="AE515" s="121">
        <f>IFERROR((VLOOKUP($A515,Pitchers!$A1:$S251,13,FALSE)-AVERAGE(Rankings!AL2:AL651))/STDEV(Rankings!AL2:AL651)*-1,0)</f>
        <v>-0.49850915789345923</v>
      </c>
      <c r="AF515" s="121">
        <f>(VLOOKUP($A515,Pitchers!$A1:$S251,14,FALSE)-AVERAGE(Rankings!AM2:AM651))/STDEV(Rankings!AM2:AM651)</f>
        <v>-0.81662498734653777</v>
      </c>
      <c r="AG515" s="121">
        <f>(VLOOKUP($A515,Pitchers!$A1:$S251,15,FALSE)-AVERAGE(Rankings!AN2:AN651))/STDEV(Rankings!AN2:AN651)</f>
        <v>0.82022433286387286</v>
      </c>
      <c r="AH515" s="121">
        <f>(VLOOKUP($A515,Pitchers!$A1:$S251,16,FALSE)-AVERAGE(Rankings!AO2:AO651))/STDEV(Rankings!AO2:AO651)*-1</f>
        <v>-0.90656495132585613</v>
      </c>
      <c r="AI515" s="121">
        <f>IFERROR((VLOOKUP($A515,Pitchers!$A1:$S251,17,FALSE)-AVERAGE(Rankings!AP2:AP651))/STDEV(Rankings!AP2:AP651),0)</f>
        <v>0.59315449252384489</v>
      </c>
      <c r="AJ515" s="121">
        <f>(VLOOKUP($A515,Pitchers!$A1:$S251,18,FALSE)-AVERAGE(Rankings!AQ2:AQ651))/STDEV(Rankings!AQ2:AQ651)</f>
        <v>-0.68467156957913733</v>
      </c>
      <c r="AK515" s="121">
        <f>IFERROR((VLOOKUP($A515,Pitchers!$A1:$S251,19,FALSE)-AVERAGE(Rankings!AR2:AR651))/STDEV(Rankings!AR2:AR651)*-1,0)</f>
        <v>0.47041511698728217</v>
      </c>
    </row>
    <row r="516" spans="1:37" ht="18.600000000000001" customHeight="1">
      <c r="A516" s="25" t="s">
        <v>488</v>
      </c>
      <c r="B516" s="26" t="s">
        <v>105</v>
      </c>
      <c r="C516" s="130" t="s">
        <v>31</v>
      </c>
      <c r="D516" s="67">
        <f>(V516*Settings!$G$2)+(Y516*Settings!$G$5)+(Z516*Settings!$G$6)+(AA516*Settings!$G$7)+(AB516*Settings!$G$8)+(AC516*Settings!$G$9)+(AD516*Settings!$G$10)+(AE516*Settings!$G$11)+(AF516*Settings!$G$12)+(AG516*Settings!$G$13)+(AH516*Settings!$G$14)+(AI516*Settings!$G$15)+(AJ516*Settings!$G$16)+(AK516*Settings!$G$17)+(W516*Settings!$G$3)+(X516*Settings!$G$4)</f>
        <v>-2.1719262189835988</v>
      </c>
      <c r="E516" s="67"/>
      <c r="F516" s="67"/>
      <c r="G516" s="67"/>
      <c r="H516" s="67"/>
      <c r="I516" s="67"/>
      <c r="J516" s="67"/>
      <c r="K516" s="73"/>
      <c r="L516" s="73"/>
      <c r="M516" s="67"/>
      <c r="N516" s="67"/>
      <c r="O516" s="67"/>
      <c r="P516" s="67"/>
      <c r="Q516" s="67"/>
      <c r="R516" s="73"/>
      <c r="S516" s="73"/>
      <c r="T516" s="67"/>
      <c r="U516" s="67"/>
      <c r="V516" s="121">
        <f>(VLOOKUP($A516,Pitchers!$A1:$S251,4,FALSE)-AVERAGE(Rankings!AC2:AC651))/STDEV(Rankings!AC2:AC651)</f>
        <v>6.8293911988855746E-2</v>
      </c>
      <c r="W516" s="121">
        <f>(VLOOKUP($A516,Pitchers!$A1:$S251,5,FALSE)-AVERAGE(Rankings!AD2:AD651))/STDEV(Rankings!AD2:AD651)*-1</f>
        <v>-0.34348057065396476</v>
      </c>
      <c r="X516" s="121">
        <f>(VLOOKUP($A516,Pitchers!$A1:$S251,6,FALSE)-AVERAGE(Rankings!AE2:AE651))/STDEV(Rankings!AE2:AE651)*-1</f>
        <v>-0.82754200492857888</v>
      </c>
      <c r="Y516" s="121">
        <f>(VLOOKUP($A516,Pitchers!$A1:$S251,7,FALSE)-AVERAGE(Rankings!AF2:AF651))/STDEV(Rankings!AF2:AF651)</f>
        <v>-0.13507645326165751</v>
      </c>
      <c r="Z516" s="121">
        <f>(VLOOKUP($A516,Pitchers!$A1:$S251,8,FALSE)-AVERAGE(Rankings!AG2:AG651))/STDEV(Rankings!AG2:AG651)</f>
        <v>-0.40168272798902399</v>
      </c>
      <c r="AA516" s="121">
        <f>(VLOOKUP($A516,Pitchers!$A1:$S251,9,FALSE)-AVERAGE(Rankings!AH2:AH651))/STDEV(Rankings!AH2:AH651)</f>
        <v>-0.46414446215037364</v>
      </c>
      <c r="AB516" s="121">
        <f>(VLOOKUP($A516,Pitchers!$A1:$S251,10,FALSE)-AVERAGE(Rankings!AI2:AI651))/STDEV(Rankings!AI2:AI651)*-1</f>
        <v>-0.12287831969441178</v>
      </c>
      <c r="AC516" s="121">
        <f>(VLOOKUP($A516,Pitchers!$A1:$S251,11,FALSE)-AVERAGE(Rankings!AJ2:AJ651))/STDEV(Rankings!AJ2:AJ651)*-1</f>
        <v>-0.24380634598122319</v>
      </c>
      <c r="AD516" s="121">
        <f>(VLOOKUP($A516,Pitchers!$A1:$S251,12,FALSE)-AVERAGE(Rankings!AK2:AK651))/STDEV(Rankings!AK2:AK651)*-1</f>
        <v>-0.11298020659279907</v>
      </c>
      <c r="AE516" s="121">
        <f>IFERROR((VLOOKUP($A516,Pitchers!$A1:$S251,13,FALSE)-AVERAGE(Rankings!AL2:AL651))/STDEV(Rankings!AL2:AL651)*-1,0)</f>
        <v>0.56554454091862039</v>
      </c>
      <c r="AF516" s="121">
        <f>(VLOOKUP($A516,Pitchers!$A1:$S251,14,FALSE)-AVERAGE(Rankings!AM2:AM651))/STDEV(Rankings!AM2:AM651)</f>
        <v>-1.0760681323430243</v>
      </c>
      <c r="AG516" s="121">
        <f>(VLOOKUP($A516,Pitchers!$A1:$S251,15,FALSE)-AVERAGE(Rankings!AN2:AN651))/STDEV(Rankings!AN2:AN651)</f>
        <v>0.35532229219042361</v>
      </c>
      <c r="AH516" s="121">
        <f>(VLOOKUP($A516,Pitchers!$A1:$S251,16,FALSE)-AVERAGE(Rankings!AO2:AO651))/STDEV(Rankings!AO2:AO651)*-1</f>
        <v>-0.4932146225738771</v>
      </c>
      <c r="AI516" s="121">
        <f>IFERROR((VLOOKUP($A516,Pitchers!$A1:$S251,17,FALSE)-AVERAGE(Rankings!AP2:AP651))/STDEV(Rankings!AP2:AP651),0)</f>
        <v>0.16333239649207321</v>
      </c>
      <c r="AJ516" s="121">
        <f>(VLOOKUP($A516,Pitchers!$A1:$S251,18,FALSE)-AVERAGE(Rankings!AQ2:AQ651))/STDEV(Rankings!AQ2:AQ651)</f>
        <v>-0.68467156957913733</v>
      </c>
      <c r="AK516" s="121">
        <f>IFERROR((VLOOKUP($A516,Pitchers!$A1:$S251,19,FALSE)-AVERAGE(Rankings!AR2:AR651))/STDEV(Rankings!AR2:AR651)*-1,0)</f>
        <v>0.47041511698728217</v>
      </c>
    </row>
    <row r="517" spans="1:37" ht="18.600000000000001" customHeight="1">
      <c r="A517" s="25" t="s">
        <v>431</v>
      </c>
      <c r="B517" s="26" t="s">
        <v>158</v>
      </c>
      <c r="C517" s="130" t="s">
        <v>31</v>
      </c>
      <c r="D517" s="67">
        <f>(V517*Settings!$G$2)+(Y517*Settings!$G$5)+(Z517*Settings!$G$6)+(AA517*Settings!$G$7)+(AB517*Settings!$G$8)+(AC517*Settings!$G$9)+(AD517*Settings!$G$10)+(AE517*Settings!$G$11)+(AF517*Settings!$G$12)+(AG517*Settings!$G$13)+(AH517*Settings!$G$14)+(AI517*Settings!$G$15)+(AJ517*Settings!$G$16)+(AK517*Settings!$G$17)+(W517*Settings!$G$3)+(X517*Settings!$G$4)</f>
        <v>-1.4926523319966745</v>
      </c>
      <c r="E517" s="67"/>
      <c r="F517" s="67"/>
      <c r="G517" s="67"/>
      <c r="H517" s="67"/>
      <c r="I517" s="67"/>
      <c r="J517" s="67"/>
      <c r="K517" s="73"/>
      <c r="L517" s="73"/>
      <c r="M517" s="67"/>
      <c r="N517" s="67"/>
      <c r="O517" s="67"/>
      <c r="P517" s="67"/>
      <c r="Q517" s="67"/>
      <c r="R517" s="73"/>
      <c r="S517" s="73"/>
      <c r="T517" s="67"/>
      <c r="U517" s="67"/>
      <c r="V517" s="121">
        <f>(VLOOKUP($A517,Pitchers!$A1:$S251,4,FALSE)-AVERAGE(Rankings!AC2:AC651))/STDEV(Rankings!AC2:AC651)</f>
        <v>-0.32585464331982195</v>
      </c>
      <c r="W517" s="121">
        <f>(VLOOKUP($A517,Pitchers!$A1:$S251,5,FALSE)-AVERAGE(Rankings!AD2:AD651))/STDEV(Rankings!AD2:AD651)*-1</f>
        <v>-0.18347930653965058</v>
      </c>
      <c r="X517" s="121">
        <f>(VLOOKUP($A517,Pitchers!$A1:$S251,6,FALSE)-AVERAGE(Rankings!AE2:AE651))/STDEV(Rankings!AE2:AE651)*-1</f>
        <v>-6.9467405997814785E-2</v>
      </c>
      <c r="Y517" s="121">
        <f>(VLOOKUP($A517,Pitchers!$A1:$S251,7,FALSE)-AVERAGE(Rankings!AF2:AF651))/STDEV(Rankings!AF2:AF651)</f>
        <v>-0.43931185734956052</v>
      </c>
      <c r="Z517" s="121">
        <f>(VLOOKUP($A517,Pitchers!$A1:$S251,8,FALSE)-AVERAGE(Rankings!AG2:AG651))/STDEV(Rankings!AG2:AG651)</f>
        <v>-0.33624929995927488</v>
      </c>
      <c r="AA517" s="121">
        <f>(VLOOKUP($A517,Pitchers!$A1:$S251,9,FALSE)-AVERAGE(Rankings!AH2:AH651))/STDEV(Rankings!AH2:AH651)</f>
        <v>-0.46414446215037364</v>
      </c>
      <c r="AB517" s="121">
        <f>(VLOOKUP($A517,Pitchers!$A1:$S251,10,FALSE)-AVERAGE(Rankings!AI2:AI651))/STDEV(Rankings!AI2:AI651)*-1</f>
        <v>0.28314171742456384</v>
      </c>
      <c r="AC517" s="121">
        <f>(VLOOKUP($A517,Pitchers!$A1:$S251,11,FALSE)-AVERAGE(Rankings!AJ2:AJ651))/STDEV(Rankings!AJ2:AJ651)*-1</f>
        <v>0.20513497430819111</v>
      </c>
      <c r="AD517" s="121">
        <f>(VLOOKUP($A517,Pitchers!$A1:$S251,12,FALSE)-AVERAGE(Rankings!AK2:AK651))/STDEV(Rankings!AK2:AK651)*-1</f>
        <v>0.64729264379640494</v>
      </c>
      <c r="AE517" s="121">
        <f>IFERROR((VLOOKUP($A517,Pitchers!$A1:$S251,13,FALSE)-AVERAGE(Rankings!AL2:AL651))/STDEV(Rankings!AL2:AL651)*-1,0)</f>
        <v>-0.76452258259647921</v>
      </c>
      <c r="AF517" s="121">
        <f>(VLOOKUP($A517,Pitchers!$A1:$S251,14,FALSE)-AVERAGE(Rankings!AM2:AM651))/STDEV(Rankings!AM2:AM651)</f>
        <v>-0.64656981667657154</v>
      </c>
      <c r="AG517" s="121">
        <f>(VLOOKUP($A517,Pitchers!$A1:$S251,15,FALSE)-AVERAGE(Rankings!AN2:AN651))/STDEV(Rankings!AN2:AN651)</f>
        <v>0.22286416887005536</v>
      </c>
      <c r="AH517" s="121">
        <f>(VLOOKUP($A517,Pitchers!$A1:$S251,16,FALSE)-AVERAGE(Rankings!AO2:AO651))/STDEV(Rankings!AO2:AO651)*-1</f>
        <v>0.12681087055409099</v>
      </c>
      <c r="AI517" s="121">
        <f>IFERROR((VLOOKUP($A517,Pitchers!$A1:$S251,17,FALSE)-AVERAGE(Rankings!AP2:AP651))/STDEV(Rankings!AP2:AP651),0)</f>
        <v>0.44988046051325437</v>
      </c>
      <c r="AJ517" s="121">
        <f>(VLOOKUP($A517,Pitchers!$A1:$S251,18,FALSE)-AVERAGE(Rankings!AQ2:AQ651))/STDEV(Rankings!AQ2:AQ651)</f>
        <v>-0.36340131918314017</v>
      </c>
      <c r="AK517" s="121">
        <f>IFERROR((VLOOKUP($A517,Pitchers!$A1:$S251,19,FALSE)-AVERAGE(Rankings!AR2:AR651))/STDEV(Rankings!AR2:AR651)*-1,0)</f>
        <v>0.47041511698728217</v>
      </c>
    </row>
    <row r="518" spans="1:37" ht="18.600000000000001" customHeight="1">
      <c r="A518" s="25" t="s">
        <v>554</v>
      </c>
      <c r="B518" s="26" t="s">
        <v>225</v>
      </c>
      <c r="C518" s="130" t="s">
        <v>31</v>
      </c>
      <c r="D518" s="67">
        <f>(V518*Settings!$G$2)+(Y518*Settings!$G$5)+(Z518*Settings!$G$6)+(AA518*Settings!$G$7)+(AB518*Settings!$G$8)+(AC518*Settings!$G$9)+(AD518*Settings!$G$10)+(AE518*Settings!$G$11)+(AF518*Settings!$G$12)+(AG518*Settings!$G$13)+(AH518*Settings!$G$14)+(AI518*Settings!$G$15)+(AJ518*Settings!$G$16)+(AK518*Settings!$G$17)+(W518*Settings!$G$3)+(X518*Settings!$G$4)</f>
        <v>-2.8832775216793385</v>
      </c>
      <c r="E518" s="67"/>
      <c r="F518" s="67"/>
      <c r="G518" s="67"/>
      <c r="H518" s="67"/>
      <c r="I518" s="67"/>
      <c r="J518" s="67"/>
      <c r="K518" s="73"/>
      <c r="L518" s="73"/>
      <c r="M518" s="67"/>
      <c r="N518" s="67"/>
      <c r="O518" s="67"/>
      <c r="P518" s="67"/>
      <c r="Q518" s="67"/>
      <c r="R518" s="73"/>
      <c r="S518" s="73"/>
      <c r="T518" s="67"/>
      <c r="U518" s="67"/>
      <c r="V518" s="121">
        <f>(VLOOKUP($A518,Pitchers!$A1:$S251,4,FALSE)-AVERAGE(Rankings!AC2:AC651))/STDEV(Rankings!AC2:AC651)</f>
        <v>0.85588529556000081</v>
      </c>
      <c r="W518" s="121">
        <f>(VLOOKUP($A518,Pitchers!$A1:$S251,5,FALSE)-AVERAGE(Rankings!AD2:AD651))/STDEV(Rankings!AD2:AD651)*-1</f>
        <v>-1.3852000350440083</v>
      </c>
      <c r="X518" s="121">
        <f>(VLOOKUP($A518,Pitchers!$A1:$S251,6,FALSE)-AVERAGE(Rankings!AE2:AE651))/STDEV(Rankings!AE2:AE651)*-1</f>
        <v>-1.317749569043428</v>
      </c>
      <c r="Y518" s="121">
        <f>(VLOOKUP($A518,Pitchers!$A1:$S251,7,FALSE)-AVERAGE(Rankings!AF2:AF651))/STDEV(Rankings!AF2:AF651)</f>
        <v>0.10163176089742673</v>
      </c>
      <c r="Z518" s="121">
        <f>(VLOOKUP($A518,Pitchers!$A1:$S251,8,FALSE)-AVERAGE(Rankings!AG2:AG651))/STDEV(Rankings!AG2:AG651)</f>
        <v>0.18218478366104465</v>
      </c>
      <c r="AA518" s="121">
        <f>(VLOOKUP($A518,Pitchers!$A1:$S251,9,FALSE)-AVERAGE(Rankings!AH2:AH651))/STDEV(Rankings!AH2:AH651)</f>
        <v>-0.46414446215037364</v>
      </c>
      <c r="AB518" s="121">
        <f>(VLOOKUP($A518,Pitchers!$A1:$S251,10,FALSE)-AVERAGE(Rankings!AI2:AI651))/STDEV(Rankings!AI2:AI651)*-1</f>
        <v>-1.2703301680683723</v>
      </c>
      <c r="AC518" s="121">
        <f>(VLOOKUP($A518,Pitchers!$A1:$S251,11,FALSE)-AVERAGE(Rankings!AJ2:AJ651))/STDEV(Rankings!AJ2:AJ651)*-1</f>
        <v>-1.2298421515891682</v>
      </c>
      <c r="AD518" s="121">
        <f>(VLOOKUP($A518,Pitchers!$A1:$S251,12,FALSE)-AVERAGE(Rankings!AK2:AK651))/STDEV(Rankings!AK2:AK651)*-1</f>
        <v>-0.80369358270883362</v>
      </c>
      <c r="AE518" s="121">
        <f>IFERROR((VLOOKUP($A518,Pitchers!$A1:$S251,13,FALSE)-AVERAGE(Rankings!AL2:AL651))/STDEV(Rankings!AL2:AL651)*-1,0)</f>
        <v>-0.36550244554194927</v>
      </c>
      <c r="AF518" s="121">
        <f>(VLOOKUP($A518,Pitchers!$A1:$S251,14,FALSE)-AVERAGE(Rankings!AM2:AM651))/STDEV(Rankings!AM2:AM651)</f>
        <v>-0.84060712679999439</v>
      </c>
      <c r="AG518" s="121">
        <f>(VLOOKUP($A518,Pitchers!$A1:$S251,15,FALSE)-AVERAGE(Rankings!AN2:AN651))/STDEV(Rankings!AN2:AN651)</f>
        <v>0.79165493371634277</v>
      </c>
      <c r="AH518" s="121">
        <f>(VLOOKUP($A518,Pitchers!$A1:$S251,16,FALSE)-AVERAGE(Rankings!AO2:AO651))/STDEV(Rankings!AO2:AO651)*-1</f>
        <v>-1.0318226267052433</v>
      </c>
      <c r="AI518" s="121">
        <f>IFERROR((VLOOKUP($A518,Pitchers!$A1:$S251,17,FALSE)-AVERAGE(Rankings!AP2:AP651))/STDEV(Rankings!AP2:AP651),0)</f>
        <v>0.59315449252384489</v>
      </c>
      <c r="AJ518" s="121">
        <f>(VLOOKUP($A518,Pitchers!$A1:$S251,18,FALSE)-AVERAGE(Rankings!AQ2:AQ651))/STDEV(Rankings!AQ2:AQ651)</f>
        <v>-0.68467156957913733</v>
      </c>
      <c r="AK518" s="121">
        <f>IFERROR((VLOOKUP($A518,Pitchers!$A1:$S251,19,FALSE)-AVERAGE(Rankings!AR2:AR651))/STDEV(Rankings!AR2:AR651)*-1,0)</f>
        <v>0.47041511698728217</v>
      </c>
    </row>
    <row r="519" spans="1:37" ht="18.600000000000001" customHeight="1">
      <c r="A519" s="25" t="s">
        <v>445</v>
      </c>
      <c r="B519" s="26" t="s">
        <v>69</v>
      </c>
      <c r="C519" s="130" t="s">
        <v>31</v>
      </c>
      <c r="D519" s="67">
        <f>(V519*Settings!$G$2)+(Y519*Settings!$G$5)+(Z519*Settings!$G$6)+(AA519*Settings!$G$7)+(AB519*Settings!$G$8)+(AC519*Settings!$G$9)+(AD519*Settings!$G$10)+(AE519*Settings!$G$11)+(AF519*Settings!$G$12)+(AG519*Settings!$G$13)+(AH519*Settings!$G$14)+(AI519*Settings!$G$15)+(AJ519*Settings!$G$16)+(AK519*Settings!$G$17)+(W519*Settings!$G$3)+(X519*Settings!$G$4)</f>
        <v>-1.6851292379457754</v>
      </c>
      <c r="E519" s="67"/>
      <c r="F519" s="67"/>
      <c r="G519" s="67"/>
      <c r="H519" s="67"/>
      <c r="I519" s="67"/>
      <c r="J519" s="67"/>
      <c r="K519" s="73"/>
      <c r="L519" s="73"/>
      <c r="M519" s="67"/>
      <c r="N519" s="67"/>
      <c r="O519" s="67"/>
      <c r="P519" s="67"/>
      <c r="Q519" s="67"/>
      <c r="R519" s="73"/>
      <c r="S519" s="73"/>
      <c r="T519" s="67"/>
      <c r="U519" s="67"/>
      <c r="V519" s="121">
        <f>(VLOOKUP($A519,Pitchers!$A1:$S251,4,FALSE)-AVERAGE(Rankings!AC2:AC651))/STDEV(Rankings!AC2:AC651)</f>
        <v>-0.19635373034015802</v>
      </c>
      <c r="W519" s="121">
        <f>(VLOOKUP($A519,Pitchers!$A1:$S251,5,FALSE)-AVERAGE(Rankings!AD2:AD651))/STDEV(Rankings!AD2:AD651)*-1</f>
        <v>-0.85296612694325114</v>
      </c>
      <c r="X519" s="121">
        <f>(VLOOKUP($A519,Pitchers!$A1:$S251,6,FALSE)-AVERAGE(Rankings!AE2:AE651))/STDEV(Rankings!AE2:AE651)*-1</f>
        <v>4.9054417006267753E-2</v>
      </c>
      <c r="Y519" s="121">
        <f>(VLOOKUP($A519,Pitchers!$A1:$S251,7,FALSE)-AVERAGE(Rankings!AF2:AF651))/STDEV(Rankings!AF2:AF651)</f>
        <v>-0.39792422481254258</v>
      </c>
      <c r="Z519" s="121">
        <f>(VLOOKUP($A519,Pitchers!$A1:$S251,8,FALSE)-AVERAGE(Rankings!AG2:AG651))/STDEV(Rankings!AG2:AG651)</f>
        <v>-1.9148841045875633E-2</v>
      </c>
      <c r="AA519" s="121">
        <f>(VLOOKUP($A519,Pitchers!$A1:$S251,9,FALSE)-AVERAGE(Rankings!AH2:AH651))/STDEV(Rankings!AH2:AH651)</f>
        <v>-0.46414446215037364</v>
      </c>
      <c r="AB519" s="121">
        <f>(VLOOKUP($A519,Pitchers!$A1:$S251,10,FALSE)-AVERAGE(Rankings!AI2:AI651))/STDEV(Rankings!AI2:AI651)*-1</f>
        <v>-1.5599410559935611E-2</v>
      </c>
      <c r="AC519" s="121">
        <f>(VLOOKUP($A519,Pitchers!$A1:$S251,11,FALSE)-AVERAGE(Rankings!AJ2:AJ651))/STDEV(Rankings!AJ2:AJ651)*-1</f>
        <v>7.6104333559926976E-2</v>
      </c>
      <c r="AD519" s="121">
        <f>(VLOOKUP($A519,Pitchers!$A1:$S251,12,FALSE)-AVERAGE(Rankings!AK2:AK651))/STDEV(Rankings!AK2:AK651)*-1</f>
        <v>0.63142820229550656</v>
      </c>
      <c r="AE519" s="121">
        <f>IFERROR((VLOOKUP($A519,Pitchers!$A1:$S251,13,FALSE)-AVERAGE(Rankings!AL2:AL651))/STDEV(Rankings!AL2:AL651)*-1,0)</f>
        <v>-1.1635427196510091</v>
      </c>
      <c r="AF519" s="121">
        <f>(VLOOKUP($A519,Pitchers!$A1:$S251,14,FALSE)-AVERAGE(Rankings!AM2:AM651))/STDEV(Rankings!AM2:AM651)</f>
        <v>-0.34788317075624642</v>
      </c>
      <c r="AG519" s="121">
        <f>(VLOOKUP($A519,Pitchers!$A1:$S251,15,FALSE)-AVERAGE(Rankings!AN2:AN651))/STDEV(Rankings!AN2:AN651)</f>
        <v>-8.6204785544137449E-2</v>
      </c>
      <c r="AH519" s="121">
        <f>(VLOOKUP($A519,Pitchers!$A1:$S251,16,FALSE)-AVERAGE(Rankings!AO2:AO651))/STDEV(Rankings!AO2:AO651)*-1</f>
        <v>0.27085719724038682</v>
      </c>
      <c r="AI519" s="121">
        <f>IFERROR((VLOOKUP($A519,Pitchers!$A1:$S251,17,FALSE)-AVERAGE(Rankings!AP2:AP651))/STDEV(Rankings!AP2:AP651),0)</f>
        <v>0.16333239649207321</v>
      </c>
      <c r="AJ519" s="121">
        <f>(VLOOKUP($A519,Pitchers!$A1:$S251,18,FALSE)-AVERAGE(Rankings!AQ2:AQ651))/STDEV(Rankings!AQ2:AQ651)</f>
        <v>-0.36340131918314017</v>
      </c>
      <c r="AK519" s="121">
        <f>IFERROR((VLOOKUP($A519,Pitchers!$A1:$S251,19,FALSE)-AVERAGE(Rankings!AR2:AR651))/STDEV(Rankings!AR2:AR651)*-1,0)</f>
        <v>0.47041511698728217</v>
      </c>
    </row>
    <row r="520" spans="1:37" ht="18.600000000000001" customHeight="1">
      <c r="A520" s="25" t="s">
        <v>542</v>
      </c>
      <c r="B520" s="26" t="s">
        <v>116</v>
      </c>
      <c r="C520" s="130" t="s">
        <v>31</v>
      </c>
      <c r="D520" s="67">
        <f>(V520*Settings!$G$2)+(Y520*Settings!$G$5)+(Z520*Settings!$G$6)+(AA520*Settings!$G$7)+(AB520*Settings!$G$8)+(AC520*Settings!$G$9)+(AD520*Settings!$G$10)+(AE520*Settings!$G$11)+(AF520*Settings!$G$12)+(AG520*Settings!$G$13)+(AH520*Settings!$G$14)+(AI520*Settings!$G$15)+(AJ520*Settings!$G$16)+(AK520*Settings!$G$17)+(W520*Settings!$G$3)+(X520*Settings!$G$4)</f>
        <v>-2.7818785481268224</v>
      </c>
      <c r="E520" s="67"/>
      <c r="F520" s="67"/>
      <c r="G520" s="67"/>
      <c r="H520" s="67"/>
      <c r="I520" s="67"/>
      <c r="J520" s="67"/>
      <c r="K520" s="73"/>
      <c r="L520" s="73"/>
      <c r="M520" s="67"/>
      <c r="N520" s="67"/>
      <c r="O520" s="67"/>
      <c r="P520" s="67"/>
      <c r="Q520" s="67"/>
      <c r="R520" s="73"/>
      <c r="S520" s="73"/>
      <c r="T520" s="67"/>
      <c r="U520" s="67"/>
      <c r="V520" s="121">
        <f>(VLOOKUP($A520,Pitchers!$A1:$S251,4,FALSE)-AVERAGE(Rankings!AC2:AC651))/STDEV(Rankings!AC2:AC651)</f>
        <v>3.4419013770742406E-2</v>
      </c>
      <c r="W520" s="121">
        <f>(VLOOKUP($A520,Pitchers!$A1:$S251,5,FALSE)-AVERAGE(Rankings!AD2:AD651))/STDEV(Rankings!AD2:AD651)*-1</f>
        <v>-1.1594400701183956</v>
      </c>
      <c r="X520" s="121">
        <f>(VLOOKUP($A520,Pitchers!$A1:$S251,6,FALSE)-AVERAGE(Rankings!AE2:AE651))/STDEV(Rankings!AE2:AE651)*-1</f>
        <v>-0.7751716771080247</v>
      </c>
      <c r="Y520" s="121">
        <f>(VLOOKUP($A520,Pitchers!$A1:$S251,7,FALSE)-AVERAGE(Rankings!AF2:AF651))/STDEV(Rankings!AF2:AF651)</f>
        <v>-1.1639654467042859E-2</v>
      </c>
      <c r="Z520" s="121">
        <f>(VLOOKUP($A520,Pitchers!$A1:$S251,8,FALSE)-AVERAGE(Rankings!AG2:AG651))/STDEV(Rankings!AG2:AG651)</f>
        <v>-0.37148268428298581</v>
      </c>
      <c r="AA520" s="121">
        <f>(VLOOKUP($A520,Pitchers!$A1:$S251,9,FALSE)-AVERAGE(Rankings!AH2:AH651))/STDEV(Rankings!AH2:AH651)</f>
        <v>-0.46414446215037364</v>
      </c>
      <c r="AB520" s="121">
        <f>(VLOOKUP($A520,Pitchers!$A1:$S251,10,FALSE)-AVERAGE(Rankings!AI2:AI651))/STDEV(Rankings!AI2:AI651)*-1</f>
        <v>-0.33572424047717486</v>
      </c>
      <c r="AC520" s="121">
        <f>(VLOOKUP($A520,Pitchers!$A1:$S251,11,FALSE)-AVERAGE(Rankings!AJ2:AJ651))/STDEV(Rankings!AJ2:AJ651)*-1</f>
        <v>5.0511479196635206E-2</v>
      </c>
      <c r="AD520" s="121">
        <f>(VLOOKUP($A520,Pitchers!$A1:$S251,12,FALSE)-AVERAGE(Rankings!AK2:AK651))/STDEV(Rankings!AK2:AK651)*-1</f>
        <v>-0.92816843140818939</v>
      </c>
      <c r="AE520" s="121">
        <f>IFERROR((VLOOKUP($A520,Pitchers!$A1:$S251,13,FALSE)-AVERAGE(Rankings!AL2:AL651))/STDEV(Rankings!AL2:AL651)*-1,0)</f>
        <v>-1.1635427196510091</v>
      </c>
      <c r="AF520" s="121">
        <f>(VLOOKUP($A520,Pitchers!$A1:$S251,14,FALSE)-AVERAGE(Rankings!AM2:AM651))/STDEV(Rankings!AM2:AM651)</f>
        <v>-0.68799351209617865</v>
      </c>
      <c r="AG520" s="121">
        <f>(VLOOKUP($A520,Pitchers!$A1:$S251,15,FALSE)-AVERAGE(Rankings!AN2:AN651))/STDEV(Rankings!AN2:AN651)</f>
        <v>0.45401658015461949</v>
      </c>
      <c r="AH520" s="121">
        <f>(VLOOKUP($A520,Pitchers!$A1:$S251,16,FALSE)-AVERAGE(Rankings!AO2:AO651))/STDEV(Rankings!AO2:AO651)*-1</f>
        <v>-0.45563731996006096</v>
      </c>
      <c r="AI520" s="121">
        <f>IFERROR((VLOOKUP($A520,Pitchers!$A1:$S251,17,FALSE)-AVERAGE(Rankings!AP2:AP651))/STDEV(Rankings!AP2:AP651),0)</f>
        <v>0.16333239649207321</v>
      </c>
      <c r="AJ520" s="121">
        <f>(VLOOKUP($A520,Pitchers!$A1:$S251,18,FALSE)-AVERAGE(Rankings!AQ2:AQ651))/STDEV(Rankings!AQ2:AQ651)</f>
        <v>-0.28308375658414087</v>
      </c>
      <c r="AK520" s="121">
        <f>IFERROR((VLOOKUP($A520,Pitchers!$A1:$S251,19,FALSE)-AVERAGE(Rankings!AR2:AR651))/STDEV(Rankings!AR2:AR651)*-1,0)</f>
        <v>0.47041511698728217</v>
      </c>
    </row>
    <row r="521" spans="1:37" ht="18.600000000000001" customHeight="1">
      <c r="A521" s="25" t="s">
        <v>567</v>
      </c>
      <c r="B521" s="26" t="s">
        <v>95</v>
      </c>
      <c r="C521" s="130" t="s">
        <v>31</v>
      </c>
      <c r="D521" s="67">
        <f>(V521*Settings!$G$2)+(Y521*Settings!$G$5)+(Z521*Settings!$G$6)+(AA521*Settings!$G$7)+(AB521*Settings!$G$8)+(AC521*Settings!$G$9)+(AD521*Settings!$G$10)+(AE521*Settings!$G$11)+(AF521*Settings!$G$12)+(AG521*Settings!$G$13)+(AH521*Settings!$G$14)+(AI521*Settings!$G$15)+(AJ521*Settings!$G$16)+(AK521*Settings!$G$17)+(W521*Settings!$G$3)+(X521*Settings!$G$4)</f>
        <v>-3.0793103038495602</v>
      </c>
      <c r="E521" s="67"/>
      <c r="F521" s="67"/>
      <c r="G521" s="67"/>
      <c r="H521" s="67"/>
      <c r="I521" s="67"/>
      <c r="J521" s="67"/>
      <c r="K521" s="73"/>
      <c r="L521" s="73"/>
      <c r="M521" s="67"/>
      <c r="N521" s="67"/>
      <c r="O521" s="67"/>
      <c r="P521" s="67"/>
      <c r="Q521" s="67"/>
      <c r="R521" s="73"/>
      <c r="S521" s="73"/>
      <c r="T521" s="67"/>
      <c r="U521" s="67"/>
      <c r="V521" s="121">
        <f>(VLOOKUP($A521,Pitchers!$A1:$S251,4,FALSE)-AVERAGE(Rankings!AC2:AC651))/STDEV(Rankings!AC2:AC651)</f>
        <v>-8.5554584085077268E-2</v>
      </c>
      <c r="W521" s="121">
        <f>(VLOOKUP($A521,Pitchers!$A1:$S251,5,FALSE)-AVERAGE(Rankings!AD2:AD651))/STDEV(Rankings!AD2:AD651)*-1</f>
        <v>-1.2080827216071146</v>
      </c>
      <c r="X521" s="121">
        <f>(VLOOKUP($A521,Pitchers!$A1:$S251,6,FALSE)-AVERAGE(Rankings!AE2:AE651))/STDEV(Rankings!AE2:AE651)*-1</f>
        <v>-1.3053868335873098</v>
      </c>
      <c r="Y521" s="121">
        <f>(VLOOKUP($A521,Pitchers!$A1:$S251,7,FALSE)-AVERAGE(Rankings!AF2:AF651))/STDEV(Rankings!AF2:AF651)</f>
        <v>6.3874622442603432E-2</v>
      </c>
      <c r="Z521" s="121">
        <f>(VLOOKUP($A521,Pitchers!$A1:$S251,8,FALSE)-AVERAGE(Rankings!AG2:AG651))/STDEV(Rankings!AG2:AG651)</f>
        <v>-0.21041578451744994</v>
      </c>
      <c r="AA521" s="121">
        <f>(VLOOKUP($A521,Pitchers!$A1:$S251,9,FALSE)-AVERAGE(Rankings!AH2:AH651))/STDEV(Rankings!AH2:AH651)</f>
        <v>-0.41929958658028921</v>
      </c>
      <c r="AB521" s="121">
        <f>(VLOOKUP($A521,Pitchers!$A1:$S251,10,FALSE)-AVERAGE(Rankings!AI2:AI651))/STDEV(Rankings!AI2:AI651)*-1</f>
        <v>-0.22628293451804016</v>
      </c>
      <c r="AC521" s="121">
        <f>(VLOOKUP($A521,Pitchers!$A1:$S251,11,FALSE)-AVERAGE(Rankings!AJ2:AJ651))/STDEV(Rankings!AJ2:AJ651)*-1</f>
        <v>5.122239181783772E-2</v>
      </c>
      <c r="AD521" s="121">
        <f>(VLOOKUP($A521,Pitchers!$A1:$S251,12,FALSE)-AVERAGE(Rankings!AK2:AK651))/STDEV(Rankings!AK2:AK651)*-1</f>
        <v>-0.81101563263232479</v>
      </c>
      <c r="AE521" s="121">
        <f>IFERROR((VLOOKUP($A521,Pitchers!$A1:$S251,13,FALSE)-AVERAGE(Rankings!AL2:AL651))/STDEV(Rankings!AL2:AL651)*-1,0)</f>
        <v>-9.9489020838929354E-2</v>
      </c>
      <c r="AF521" s="121">
        <f>(VLOOKUP($A521,Pitchers!$A1:$S251,14,FALSE)-AVERAGE(Rankings!AM2:AM651))/STDEV(Rankings!AM2:AM651)</f>
        <v>-0.53101950840082512</v>
      </c>
      <c r="AG521" s="121">
        <f>(VLOOKUP($A521,Pitchers!$A1:$S251,15,FALSE)-AVERAGE(Rankings!AN2:AN651))/STDEV(Rankings!AN2:AN651)</f>
        <v>0.29818349389536269</v>
      </c>
      <c r="AH521" s="121">
        <f>(VLOOKUP($A521,Pitchers!$A1:$S251,16,FALSE)-AVERAGE(Rankings!AO2:AO651))/STDEV(Rankings!AO2:AO651)*-1</f>
        <v>-9.2390061359837086E-2</v>
      </c>
      <c r="AI521" s="121">
        <f>IFERROR((VLOOKUP($A521,Pitchers!$A1:$S251,17,FALSE)-AVERAGE(Rankings!AP2:AP651))/STDEV(Rankings!AP2:AP651),0)</f>
        <v>-0.12321566752910794</v>
      </c>
      <c r="AJ521" s="121">
        <f>(VLOOKUP($A521,Pitchers!$A1:$S251,18,FALSE)-AVERAGE(Rankings!AQ2:AQ651))/STDEV(Rankings!AQ2:AQ651)</f>
        <v>-0.52403644438113872</v>
      </c>
      <c r="AK521" s="121">
        <f>IFERROR((VLOOKUP($A521,Pitchers!$A1:$S251,19,FALSE)-AVERAGE(Rankings!AR2:AR651))/STDEV(Rankings!AR2:AR651)*-1,0)</f>
        <v>0.47041511698728217</v>
      </c>
    </row>
    <row r="522" spans="1:37" ht="18.600000000000001" customHeight="1">
      <c r="A522" s="25" t="s">
        <v>522</v>
      </c>
      <c r="B522" s="26" t="s">
        <v>142</v>
      </c>
      <c r="C522" s="130" t="s">
        <v>31</v>
      </c>
      <c r="D522" s="67">
        <f>(V522*Settings!$G$2)+(Y522*Settings!$G$5)+(Z522*Settings!$G$6)+(AA522*Settings!$G$7)+(AB522*Settings!$G$8)+(AC522*Settings!$G$9)+(AD522*Settings!$G$10)+(AE522*Settings!$G$11)+(AF522*Settings!$G$12)+(AG522*Settings!$G$13)+(AH522*Settings!$G$14)+(AI522*Settings!$G$15)+(AJ522*Settings!$G$16)+(AK522*Settings!$G$17)+(W522*Settings!$G$3)+(X522*Settings!$G$4)</f>
        <v>-2.6014055063544399</v>
      </c>
      <c r="E522" s="67"/>
      <c r="F522" s="67"/>
      <c r="G522" s="67"/>
      <c r="H522" s="67"/>
      <c r="I522" s="67"/>
      <c r="J522" s="67"/>
      <c r="K522" s="73"/>
      <c r="L522" s="73"/>
      <c r="M522" s="67"/>
      <c r="N522" s="67"/>
      <c r="O522" s="67"/>
      <c r="P522" s="67"/>
      <c r="Q522" s="67"/>
      <c r="R522" s="73"/>
      <c r="S522" s="73"/>
      <c r="T522" s="67"/>
      <c r="U522" s="67"/>
      <c r="V522" s="121">
        <f>(VLOOKUP($A522,Pitchers!$A1:$S251,4,FALSE)-AVERAGE(Rankings!AC2:AC651))/STDEV(Rankings!AC2:AC651)</f>
        <v>0.72215002030307318</v>
      </c>
      <c r="W522" s="121">
        <f>(VLOOKUP($A522,Pitchers!$A1:$S251,5,FALSE)-AVERAGE(Rankings!AD2:AD651))/STDEV(Rankings!AD2:AD651)*-1</f>
        <v>-1.0527750894363863</v>
      </c>
      <c r="X522" s="121">
        <f>(VLOOKUP($A522,Pitchers!$A1:$S251,6,FALSE)-AVERAGE(Rankings!AE2:AE651))/STDEV(Rankings!AE2:AE651)*-1</f>
        <v>-1.0313892244166252</v>
      </c>
      <c r="Y522" s="121">
        <f>(VLOOKUP($A522,Pitchers!$A1:$S251,7,FALSE)-AVERAGE(Rankings!AF2:AF651))/STDEV(Rankings!AF2:AF651)</f>
        <v>-0.12454802042329333</v>
      </c>
      <c r="Z522" s="121">
        <f>(VLOOKUP($A522,Pitchers!$A1:$S251,8,FALSE)-AVERAGE(Rankings!AG2:AG651))/STDEV(Rankings!AG2:AG651)</f>
        <v>7.145129007223841E-2</v>
      </c>
      <c r="AA522" s="121">
        <f>(VLOOKUP($A522,Pitchers!$A1:$S251,9,FALSE)-AVERAGE(Rankings!AH2:AH651))/STDEV(Rankings!AH2:AH651)</f>
        <v>-0.46414446215037364</v>
      </c>
      <c r="AB522" s="121">
        <f>(VLOOKUP($A522,Pitchers!$A1:$S251,10,FALSE)-AVERAGE(Rankings!AI2:AI651))/STDEV(Rankings!AI2:AI651)*-1</f>
        <v>-1.0014120962906297</v>
      </c>
      <c r="AC522" s="121">
        <f>(VLOOKUP($A522,Pitchers!$A1:$S251,11,FALSE)-AVERAGE(Rankings!AJ2:AJ651))/STDEV(Rankings!AJ2:AJ651)*-1</f>
        <v>-1.0766404817200175</v>
      </c>
      <c r="AD522" s="121">
        <f>(VLOOKUP($A522,Pitchers!$A1:$S251,12,FALSE)-AVERAGE(Rankings!AK2:AK651))/STDEV(Rankings!AK2:AK651)*-1</f>
        <v>-0.40342152022462935</v>
      </c>
      <c r="AE522" s="121">
        <f>IFERROR((VLOOKUP($A522,Pitchers!$A1:$S251,13,FALSE)-AVERAGE(Rankings!AL2:AL651))/STDEV(Rankings!AL2:AL651)*-1,0)</f>
        <v>-0.63151587024496925</v>
      </c>
      <c r="AF522" s="121">
        <f>(VLOOKUP($A522,Pitchers!$A1:$S251,14,FALSE)-AVERAGE(Rankings!AM2:AM651))/STDEV(Rankings!AM2:AM651)</f>
        <v>-0.7610300277044334</v>
      </c>
      <c r="AG522" s="121">
        <f>(VLOOKUP($A522,Pitchers!$A1:$S251,15,FALSE)-AVERAGE(Rankings!AN2:AN651))/STDEV(Rankings!AN2:AN651)</f>
        <v>0.91242557556726656</v>
      </c>
      <c r="AH522" s="121">
        <f>(VLOOKUP($A522,Pitchers!$A1:$S251,16,FALSE)-AVERAGE(Rankings!AO2:AO651))/STDEV(Rankings!AO2:AO651)*-1</f>
        <v>-1.5078017931469163</v>
      </c>
      <c r="AI522" s="121">
        <f>IFERROR((VLOOKUP($A522,Pitchers!$A1:$S251,17,FALSE)-AVERAGE(Rankings!AP2:AP651))/STDEV(Rankings!AP2:AP651),0)</f>
        <v>0.73642852453443552</v>
      </c>
      <c r="AJ522" s="121">
        <f>(VLOOKUP($A522,Pitchers!$A1:$S251,18,FALSE)-AVERAGE(Rankings!AQ2:AQ651))/STDEV(Rankings!AQ2:AQ651)</f>
        <v>-0.68467156957913733</v>
      </c>
      <c r="AK522" s="121">
        <f>IFERROR((VLOOKUP($A522,Pitchers!$A1:$S251,19,FALSE)-AVERAGE(Rankings!AR2:AR651))/STDEV(Rankings!AR2:AR651)*-1,0)</f>
        <v>0.47041511698728217</v>
      </c>
    </row>
    <row r="523" spans="1:37" ht="18.600000000000001" customHeight="1">
      <c r="A523" s="25" t="s">
        <v>515</v>
      </c>
      <c r="B523" s="26" t="s">
        <v>136</v>
      </c>
      <c r="C523" s="130" t="s">
        <v>31</v>
      </c>
      <c r="D523" s="67">
        <f>(V523*Settings!$G$2)+(Y523*Settings!$G$5)+(Z523*Settings!$G$6)+(AA523*Settings!$G$7)+(AB523*Settings!$G$8)+(AC523*Settings!$G$9)+(AD523*Settings!$G$10)+(AE523*Settings!$G$11)+(AF523*Settings!$G$12)+(AG523*Settings!$G$13)+(AH523*Settings!$G$14)+(AI523*Settings!$G$15)+(AJ523*Settings!$G$16)+(AK523*Settings!$G$17)+(W523*Settings!$G$3)+(X523*Settings!$G$4)</f>
        <v>-2.538887576639449</v>
      </c>
      <c r="E523" s="67"/>
      <c r="F523" s="67"/>
      <c r="G523" s="67"/>
      <c r="H523" s="67"/>
      <c r="I523" s="67"/>
      <c r="J523" s="67"/>
      <c r="K523" s="73"/>
      <c r="L523" s="73"/>
      <c r="M523" s="67"/>
      <c r="N523" s="67"/>
      <c r="O523" s="67"/>
      <c r="P523" s="67"/>
      <c r="Q523" s="67"/>
      <c r="R523" s="73"/>
      <c r="S523" s="73"/>
      <c r="T523" s="67"/>
      <c r="U523" s="67"/>
      <c r="V523" s="121">
        <f>(VLOOKUP($A523,Pitchers!$A1:$S251,4,FALSE)-AVERAGE(Rankings!AC2:AC651))/STDEV(Rankings!AC2:AC651)</f>
        <v>0.78178395570787695</v>
      </c>
      <c r="W523" s="121">
        <f>(VLOOKUP($A523,Pitchers!$A1:$S251,5,FALSE)-AVERAGE(Rankings!AD2:AD651))/STDEV(Rankings!AD2:AD651)*-1</f>
        <v>-1.1843331258262977</v>
      </c>
      <c r="X523" s="121">
        <f>(VLOOKUP($A523,Pitchers!$A1:$S251,6,FALSE)-AVERAGE(Rankings!AE2:AE651))/STDEV(Rankings!AE2:AE651)*-1</f>
        <v>-1.1062761992241328</v>
      </c>
      <c r="Y523" s="121">
        <f>(VLOOKUP($A523,Pitchers!$A1:$S251,7,FALSE)-AVERAGE(Rankings!AF2:AF651))/STDEV(Rankings!AF2:AF651)</f>
        <v>-0.15758551657126368</v>
      </c>
      <c r="Z523" s="121">
        <f>(VLOOKUP($A523,Pitchers!$A1:$S251,8,FALSE)-AVERAGE(Rankings!AG2:AG651))/STDEV(Rankings!AG2:AG651)</f>
        <v>0.3734517271326187</v>
      </c>
      <c r="AA523" s="121">
        <f>(VLOOKUP($A523,Pitchers!$A1:$S251,9,FALSE)-AVERAGE(Rankings!AH2:AH651))/STDEV(Rankings!AH2:AH651)</f>
        <v>-0.46414446215037364</v>
      </c>
      <c r="AB523" s="121">
        <f>(VLOOKUP($A523,Pitchers!$A1:$S251,10,FALSE)-AVERAGE(Rankings!AI2:AI651))/STDEV(Rankings!AI2:AI651)*-1</f>
        <v>-1.1134362651236631</v>
      </c>
      <c r="AC523" s="121">
        <f>(VLOOKUP($A523,Pitchers!$A1:$S251,11,FALSE)-AVERAGE(Rankings!AJ2:AJ651))/STDEV(Rankings!AJ2:AJ651)*-1</f>
        <v>-1.2206002875135349</v>
      </c>
      <c r="AD523" s="121">
        <f>(VLOOKUP($A523,Pitchers!$A1:$S251,12,FALSE)-AVERAGE(Rankings!AK2:AK651))/STDEV(Rankings!AK2:AK651)*-1</f>
        <v>-0.26186188837046004</v>
      </c>
      <c r="AE523" s="121">
        <f>IFERROR((VLOOKUP($A523,Pitchers!$A1:$S251,13,FALSE)-AVERAGE(Rankings!AL2:AL651))/STDEV(Rankings!AL2:AL651)*-1,0)</f>
        <v>-1.0305360072994991</v>
      </c>
      <c r="AF523" s="121">
        <f>(VLOOKUP($A523,Pitchers!$A1:$S251,14,FALSE)-AVERAGE(Rankings!AM2:AM651))/STDEV(Rankings!AM2:AM651)</f>
        <v>-0.93435549011805263</v>
      </c>
      <c r="AG523" s="121">
        <f>(VLOOKUP($A523,Pitchers!$A1:$S251,15,FALSE)-AVERAGE(Rankings!AN2:AN651))/STDEV(Rankings!AN2:AN651)</f>
        <v>0.67997455523054207</v>
      </c>
      <c r="AH523" s="121">
        <f>(VLOOKUP($A523,Pitchers!$A1:$S251,16,FALSE)-AVERAGE(Rankings!AO2:AO651))/STDEV(Rankings!AO2:AO651)*-1</f>
        <v>-1.1445545345466923</v>
      </c>
      <c r="AI523" s="121">
        <f>IFERROR((VLOOKUP($A523,Pitchers!$A1:$S251,17,FALSE)-AVERAGE(Rankings!AP2:AP651))/STDEV(Rankings!AP2:AP651),0)</f>
        <v>0.59315449252384489</v>
      </c>
      <c r="AJ523" s="121">
        <f>(VLOOKUP($A523,Pitchers!$A1:$S251,18,FALSE)-AVERAGE(Rankings!AQ2:AQ651))/STDEV(Rankings!AQ2:AQ651)</f>
        <v>-0.68467156957913733</v>
      </c>
      <c r="AK523" s="121">
        <f>IFERROR((VLOOKUP($A523,Pitchers!$A1:$S251,19,FALSE)-AVERAGE(Rankings!AR2:AR651))/STDEV(Rankings!AR2:AR651)*-1,0)</f>
        <v>0.47041511698728217</v>
      </c>
    </row>
    <row r="524" spans="1:37" ht="18.600000000000001" customHeight="1">
      <c r="A524" s="25" t="s">
        <v>458</v>
      </c>
      <c r="B524" s="26" t="s">
        <v>260</v>
      </c>
      <c r="C524" s="130" t="s">
        <v>31</v>
      </c>
      <c r="D524" s="67">
        <f>(V524*Settings!$G$2)+(Y524*Settings!$G$5)+(Z524*Settings!$G$6)+(AA524*Settings!$G$7)+(AB524*Settings!$G$8)+(AC524*Settings!$G$9)+(AD524*Settings!$G$10)+(AE524*Settings!$G$11)+(AF524*Settings!$G$12)+(AG524*Settings!$G$13)+(AH524*Settings!$G$14)+(AI524*Settings!$G$15)+(AJ524*Settings!$G$16)+(AK524*Settings!$G$17)+(W524*Settings!$G$3)+(X524*Settings!$G$4)</f>
        <v>-1.8256833774966192</v>
      </c>
      <c r="E524" s="67"/>
      <c r="F524" s="67"/>
      <c r="G524" s="67"/>
      <c r="H524" s="67"/>
      <c r="I524" s="67"/>
      <c r="J524" s="67"/>
      <c r="K524" s="73"/>
      <c r="L524" s="73"/>
      <c r="M524" s="67"/>
      <c r="N524" s="67"/>
      <c r="O524" s="67"/>
      <c r="P524" s="67"/>
      <c r="Q524" s="67"/>
      <c r="R524" s="73"/>
      <c r="S524" s="73"/>
      <c r="T524" s="67"/>
      <c r="U524" s="67"/>
      <c r="V524" s="121">
        <f>(VLOOKUP($A524,Pitchers!$A1:$S251,4,FALSE)-AVERAGE(Rankings!AC2:AC651))/STDEV(Rankings!AC2:AC651)</f>
        <v>-0.49346481679486381</v>
      </c>
      <c r="W524" s="121">
        <f>(VLOOKUP($A524,Pitchers!$A1:$S251,5,FALSE)-AVERAGE(Rankings!AD2:AD651))/STDEV(Rankings!AD2:AD651)*-1</f>
        <v>-0.41101072021728563</v>
      </c>
      <c r="X524" s="121">
        <f>(VLOOKUP($A524,Pitchers!$A1:$S251,6,FALSE)-AVERAGE(Rankings!AE2:AE651))/STDEV(Rankings!AE2:AE651)*-1</f>
        <v>6.9058363764493008E-2</v>
      </c>
      <c r="Y524" s="121">
        <f>(VLOOKUP($A524,Pitchers!$A1:$S251,7,FALSE)-AVERAGE(Rankings!AF2:AF651))/STDEV(Rankings!AF2:AF651)</f>
        <v>-0.46690361237423877</v>
      </c>
      <c r="Z524" s="121">
        <f>(VLOOKUP($A524,Pitchers!$A1:$S251,8,FALSE)-AVERAGE(Rankings!AG2:AG651))/STDEV(Rankings!AG2:AG651)</f>
        <v>-0.55268294651921412</v>
      </c>
      <c r="AA524" s="121">
        <f>(VLOOKUP($A524,Pitchers!$A1:$S251,9,FALSE)-AVERAGE(Rankings!AH2:AH651))/STDEV(Rankings!AH2:AH651)</f>
        <v>-0.46414446215037364</v>
      </c>
      <c r="AB524" s="121">
        <f>(VLOOKUP($A524,Pitchers!$A1:$S251,10,FALSE)-AVERAGE(Rankings!AI2:AI651))/STDEV(Rankings!AI2:AI651)*-1</f>
        <v>0.38189117241732895</v>
      </c>
      <c r="AC524" s="121">
        <f>(VLOOKUP($A524,Pitchers!$A1:$S251,11,FALSE)-AVERAGE(Rankings!AJ2:AJ651))/STDEV(Rankings!AJ2:AJ651)*-1</f>
        <v>0.4308497315400025</v>
      </c>
      <c r="AD524" s="121">
        <f>(VLOOKUP($A524,Pitchers!$A1:$S251,12,FALSE)-AVERAGE(Rankings!AK2:AK651))/STDEV(Rankings!AK2:AK651)*-1</f>
        <v>0.6704791352207945</v>
      </c>
      <c r="AE524" s="121">
        <f>IFERROR((VLOOKUP($A524,Pitchers!$A1:$S251,13,FALSE)-AVERAGE(Rankings!AL2:AL651))/STDEV(Rankings!AL2:AL651)*-1,0)</f>
        <v>0.8315579656216403</v>
      </c>
      <c r="AF524" s="121">
        <f>(VLOOKUP($A524,Pitchers!$A1:$S251,14,FALSE)-AVERAGE(Rankings!AM2:AM651))/STDEV(Rankings!AM2:AM651)</f>
        <v>-1.5142872259925526</v>
      </c>
      <c r="AG524" s="121">
        <f>(VLOOKUP($A524,Pitchers!$A1:$S251,15,FALSE)-AVERAGE(Rankings!AN2:AN651))/STDEV(Rankings!AN2:AN651)</f>
        <v>-1.0885460518830123E-2</v>
      </c>
      <c r="AH524" s="121">
        <f>(VLOOKUP($A524,Pitchers!$A1:$S251,16,FALSE)-AVERAGE(Rankings!AO2:AO651))/STDEV(Rankings!AO2:AO651)*-1</f>
        <v>-0.10491582889777579</v>
      </c>
      <c r="AI524" s="121">
        <f>IFERROR((VLOOKUP($A524,Pitchers!$A1:$S251,17,FALSE)-AVERAGE(Rankings!AP2:AP651))/STDEV(Rankings!AP2:AP651),0)</f>
        <v>-0.26648969953969853</v>
      </c>
      <c r="AJ524" s="121">
        <f>(VLOOKUP($A524,Pitchers!$A1:$S251,18,FALSE)-AVERAGE(Rankings!AQ2:AQ651))/STDEV(Rankings!AQ2:AQ651)</f>
        <v>-0.68467156957913733</v>
      </c>
      <c r="AK524" s="121">
        <f>IFERROR((VLOOKUP($A524,Pitchers!$A1:$S251,19,FALSE)-AVERAGE(Rankings!AR2:AR651))/STDEV(Rankings!AR2:AR651)*-1,0)</f>
        <v>0.47041511698728217</v>
      </c>
    </row>
    <row r="525" spans="1:37" ht="18.600000000000001" customHeight="1">
      <c r="A525" s="25" t="s">
        <v>524</v>
      </c>
      <c r="B525" s="26" t="s">
        <v>77</v>
      </c>
      <c r="C525" s="130" t="s">
        <v>31</v>
      </c>
      <c r="D525" s="67">
        <f>(V525*Settings!$G$2)+(Y525*Settings!$G$5)+(Z525*Settings!$G$6)+(AA525*Settings!$G$7)+(AB525*Settings!$G$8)+(AC525*Settings!$G$9)+(AD525*Settings!$G$10)+(AE525*Settings!$G$11)+(AF525*Settings!$G$12)+(AG525*Settings!$G$13)+(AH525*Settings!$G$14)+(AI525*Settings!$G$15)+(AJ525*Settings!$G$16)+(AK525*Settings!$G$17)+(W525*Settings!$G$3)+(X525*Settings!$G$4)</f>
        <v>-2.6149462948099038</v>
      </c>
      <c r="E525" s="67"/>
      <c r="F525" s="67"/>
      <c r="G525" s="67"/>
      <c r="H525" s="67"/>
      <c r="I525" s="67"/>
      <c r="J525" s="67"/>
      <c r="K525" s="73"/>
      <c r="L525" s="73"/>
      <c r="M525" s="67"/>
      <c r="N525" s="67"/>
      <c r="O525" s="67"/>
      <c r="P525" s="67"/>
      <c r="Q525" s="67"/>
      <c r="R525" s="73"/>
      <c r="S525" s="73"/>
      <c r="T525" s="67"/>
      <c r="U525" s="67"/>
      <c r="V525" s="121">
        <f>(VLOOKUP($A525,Pitchers!$A1:$S251,4,FALSE)-AVERAGE(Rankings!AC2:AC651))/STDEV(Rankings!AC2:AC651)</f>
        <v>0.55736275501287336</v>
      </c>
      <c r="W525" s="121">
        <f>(VLOOKUP($A525,Pitchers!$A1:$S251,5,FALSE)-AVERAGE(Rankings!AD2:AD651))/STDEV(Rankings!AD2:AD651)*-1</f>
        <v>-1.607748066862797</v>
      </c>
      <c r="X525" s="121">
        <f>(VLOOKUP($A525,Pitchers!$A1:$S251,6,FALSE)-AVERAGE(Rankings!AE2:AE651))/STDEV(Rankings!AE2:AE651)*-1</f>
        <v>-0.5920442860610402</v>
      </c>
      <c r="Y525" s="121">
        <f>(VLOOKUP($A525,Pitchers!$A1:$S251,7,FALSE)-AVERAGE(Rankings!AF2:AF651))/STDEV(Rankings!AF2:AF651)</f>
        <v>-0.16339430710277522</v>
      </c>
      <c r="Z525" s="121">
        <f>(VLOOKUP($A525,Pitchers!$A1:$S251,8,FALSE)-AVERAGE(Rankings!AG2:AG651))/STDEV(Rankings!AG2:AG651)</f>
        <v>0.21238482736708231</v>
      </c>
      <c r="AA525" s="121">
        <f>(VLOOKUP($A525,Pitchers!$A1:$S251,9,FALSE)-AVERAGE(Rankings!AH2:AH651))/STDEV(Rankings!AH2:AH651)</f>
        <v>-0.46414446215037364</v>
      </c>
      <c r="AB525" s="121">
        <f>(VLOOKUP($A525,Pitchers!$A1:$S251,10,FALSE)-AVERAGE(Rankings!AI2:AI651))/STDEV(Rankings!AI2:AI651)*-1</f>
        <v>-1.0362507117990265</v>
      </c>
      <c r="AC525" s="121">
        <f>(VLOOKUP($A525,Pitchers!$A1:$S251,11,FALSE)-AVERAGE(Rankings!AJ2:AJ651))/STDEV(Rankings!AJ2:AJ651)*-1</f>
        <v>-0.84026203517016729</v>
      </c>
      <c r="AD525" s="121">
        <f>(VLOOKUP($A525,Pitchers!$A1:$S251,12,FALSE)-AVERAGE(Rankings!AK2:AK651))/STDEV(Rankings!AK2:AK651)*-1</f>
        <v>-2.2674924203070143E-2</v>
      </c>
      <c r="AE525" s="121">
        <f>IFERROR((VLOOKUP($A525,Pitchers!$A1:$S251,13,FALSE)-AVERAGE(Rankings!AL2:AL651))/STDEV(Rankings!AL2:AL651)*-1,0)</f>
        <v>-0.89752929494798916</v>
      </c>
      <c r="AF525" s="121">
        <f>(VLOOKUP($A525,Pitchers!$A1:$S251,14,FALSE)-AVERAGE(Rankings!AM2:AM651))/STDEV(Rankings!AM2:AM651)</f>
        <v>-0.94961685158843423</v>
      </c>
      <c r="AG525" s="121">
        <f>(VLOOKUP($A525,Pitchers!$A1:$S251,15,FALSE)-AVERAGE(Rankings!AN2:AN651))/STDEV(Rankings!AN2:AN651)</f>
        <v>0.66179402850029534</v>
      </c>
      <c r="AH525" s="121">
        <f>(VLOOKUP($A525,Pitchers!$A1:$S251,16,FALSE)-AVERAGE(Rankings!AO2:AO651))/STDEV(Rankings!AO2:AO651)*-1</f>
        <v>-0.89403918378791747</v>
      </c>
      <c r="AI525" s="121">
        <f>IFERROR((VLOOKUP($A525,Pitchers!$A1:$S251,17,FALSE)-AVERAGE(Rankings!AP2:AP651))/STDEV(Rankings!AP2:AP651),0)</f>
        <v>0.30660642850266379</v>
      </c>
      <c r="AJ525" s="121">
        <f>(VLOOKUP($A525,Pitchers!$A1:$S251,18,FALSE)-AVERAGE(Rankings!AQ2:AQ651))/STDEV(Rankings!AQ2:AQ651)</f>
        <v>-0.68467156957913733</v>
      </c>
      <c r="AK525" s="121">
        <f>IFERROR((VLOOKUP($A525,Pitchers!$A1:$S251,19,FALSE)-AVERAGE(Rankings!AR2:AR651))/STDEV(Rankings!AR2:AR651)*-1,0)</f>
        <v>0.47041511698728217</v>
      </c>
    </row>
    <row r="526" spans="1:37" ht="18.600000000000001" customHeight="1">
      <c r="A526" s="25" t="s">
        <v>471</v>
      </c>
      <c r="B526" s="26" t="s">
        <v>99</v>
      </c>
      <c r="C526" s="130" t="s">
        <v>31</v>
      </c>
      <c r="D526" s="67">
        <f>(V526*Settings!$G$2)+(Y526*Settings!$G$5)+(Z526*Settings!$G$6)+(AA526*Settings!$G$7)+(AB526*Settings!$G$8)+(AC526*Settings!$G$9)+(AD526*Settings!$G$10)+(AE526*Settings!$G$11)+(AF526*Settings!$G$12)+(AG526*Settings!$G$13)+(AH526*Settings!$G$14)+(AI526*Settings!$G$15)+(AJ526*Settings!$G$16)+(AK526*Settings!$G$17)+(W526*Settings!$G$3)+(X526*Settings!$G$4)</f>
        <v>-1.9525895971096168</v>
      </c>
      <c r="E526" s="67"/>
      <c r="F526" s="67"/>
      <c r="G526" s="67"/>
      <c r="H526" s="67"/>
      <c r="I526" s="67"/>
      <c r="J526" s="67"/>
      <c r="K526" s="73"/>
      <c r="L526" s="73"/>
      <c r="M526" s="67"/>
      <c r="N526" s="67"/>
      <c r="O526" s="67"/>
      <c r="P526" s="67"/>
      <c r="Q526" s="67"/>
      <c r="R526" s="73"/>
      <c r="S526" s="73"/>
      <c r="T526" s="67"/>
      <c r="U526" s="67"/>
      <c r="V526" s="121">
        <f>(VLOOKUP($A526,Pitchers!$A1:$S251,4,FALSE)-AVERAGE(Rankings!AC2:AC651))/STDEV(Rankings!AC2:AC651)</f>
        <v>-0.72070892567471034</v>
      </c>
      <c r="W526" s="121">
        <f>(VLOOKUP($A526,Pitchers!$A1:$S251,5,FALSE)-AVERAGE(Rankings!AD2:AD651))/STDEV(Rankings!AD2:AD651)*-1</f>
        <v>6.6531025162268678E-2</v>
      </c>
      <c r="X526" s="121">
        <f>(VLOOKUP($A526,Pitchers!$A1:$S251,6,FALSE)-AVERAGE(Rankings!AE2:AE651))/STDEV(Rankings!AE2:AE651)*-1</f>
        <v>-0.20649070417200269</v>
      </c>
      <c r="Y526" s="121">
        <f>(VLOOKUP($A526,Pitchers!$A1:$S251,7,FALSE)-AVERAGE(Rankings!AF2:AF651))/STDEV(Rankings!AF2:AF651)</f>
        <v>-0.58852516412775624</v>
      </c>
      <c r="Z526" s="121">
        <f>(VLOOKUP($A526,Pitchers!$A1:$S251,8,FALSE)-AVERAGE(Rankings!AG2:AG651))/STDEV(Rankings!AG2:AG651)</f>
        <v>-0.84965004296192159</v>
      </c>
      <c r="AA526" s="121">
        <f>(VLOOKUP($A526,Pitchers!$A1:$S251,9,FALSE)-AVERAGE(Rankings!AH2:AH651))/STDEV(Rankings!AH2:AH651)</f>
        <v>-0.37445471101020483</v>
      </c>
      <c r="AB526" s="121">
        <f>(VLOOKUP($A526,Pitchers!$A1:$S251,10,FALSE)-AVERAGE(Rankings!AI2:AI651))/STDEV(Rankings!AI2:AI651)*-1</f>
        <v>0.6927357159620734</v>
      </c>
      <c r="AC526" s="121">
        <f>(VLOOKUP($A526,Pitchers!$A1:$S251,11,FALSE)-AVERAGE(Rankings!AJ2:AJ651))/STDEV(Rankings!AJ2:AJ651)*-1</f>
        <v>0.74862767321754509</v>
      </c>
      <c r="AD526" s="121">
        <f>(VLOOKUP($A526,Pitchers!$A1:$S251,12,FALSE)-AVERAGE(Rankings!AK2:AK651))/STDEV(Rankings!AK2:AK651)*-1</f>
        <v>0.37271577166547259</v>
      </c>
      <c r="AE526" s="121">
        <f>IFERROR((VLOOKUP($A526,Pitchers!$A1:$S251,13,FALSE)-AVERAGE(Rankings!AL2:AL651))/STDEV(Rankings!AL2:AL651)*-1,0)</f>
        <v>1.4965915273791901</v>
      </c>
      <c r="AF526" s="121">
        <f>(VLOOKUP($A526,Pitchers!$A1:$S251,14,FALSE)-AVERAGE(Rankings!AM2:AM651))/STDEV(Rankings!AM2:AM651)</f>
        <v>-0.92781490663074617</v>
      </c>
      <c r="AG526" s="121">
        <f>(VLOOKUP($A526,Pitchers!$A1:$S251,15,FALSE)-AVERAGE(Rankings!AN2:AN651))/STDEV(Rankings!AN2:AN651)</f>
        <v>-0.32774606924598548</v>
      </c>
      <c r="AH526" s="121">
        <f>(VLOOKUP($A526,Pitchers!$A1:$S251,16,FALSE)-AVERAGE(Rankings!AO2:AO651))/STDEV(Rankings!AO2:AO651)*-1</f>
        <v>0.67794464222339623</v>
      </c>
      <c r="AI526" s="121">
        <f>IFERROR((VLOOKUP($A526,Pitchers!$A1:$S251,17,FALSE)-AVERAGE(Rankings!AP2:AP651))/STDEV(Rankings!AP2:AP651),0)</f>
        <v>-0.8395858275820608</v>
      </c>
      <c r="AJ526" s="121">
        <f>(VLOOKUP($A526,Pitchers!$A1:$S251,18,FALSE)-AVERAGE(Rankings!AQ2:AQ651))/STDEV(Rankings!AQ2:AQ651)</f>
        <v>-0.44371888178213942</v>
      </c>
      <c r="AK526" s="121">
        <f>IFERROR((VLOOKUP($A526,Pitchers!$A1:$S251,19,FALSE)-AVERAGE(Rankings!AR2:AR651))/STDEV(Rankings!AR2:AR651)*-1,0)</f>
        <v>0.47041511698728217</v>
      </c>
    </row>
    <row r="527" spans="1:37" ht="18.600000000000001" customHeight="1">
      <c r="A527" s="25" t="s">
        <v>560</v>
      </c>
      <c r="B527" s="26" t="s">
        <v>85</v>
      </c>
      <c r="C527" s="130" t="s">
        <v>31</v>
      </c>
      <c r="D527" s="67">
        <f>(V527*Settings!$G$2)+(Y527*Settings!$G$5)+(Z527*Settings!$G$6)+(AA527*Settings!$G$7)+(AB527*Settings!$G$8)+(AC527*Settings!$G$9)+(AD527*Settings!$G$10)+(AE527*Settings!$G$11)+(AF527*Settings!$G$12)+(AG527*Settings!$G$13)+(AH527*Settings!$G$14)+(AI527*Settings!$G$15)+(AJ527*Settings!$G$16)+(AK527*Settings!$G$17)+(W527*Settings!$G$3)+(X527*Settings!$G$4)</f>
        <v>-2.9414634311398835</v>
      </c>
      <c r="E527" s="67"/>
      <c r="F527" s="67"/>
      <c r="G527" s="67"/>
      <c r="H527" s="67"/>
      <c r="I527" s="67"/>
      <c r="J527" s="67"/>
      <c r="K527" s="73"/>
      <c r="L527" s="73"/>
      <c r="M527" s="67"/>
      <c r="N527" s="67"/>
      <c r="O527" s="67"/>
      <c r="P527" s="67"/>
      <c r="Q527" s="67"/>
      <c r="R527" s="73"/>
      <c r="S527" s="73"/>
      <c r="T527" s="67"/>
      <c r="U527" s="67"/>
      <c r="V527" s="121">
        <f>(VLOOKUP($A527,Pitchers!$A1:$S251,4,FALSE)-AVERAGE(Rankings!AC2:AC651))/STDEV(Rankings!AC2:AC651)</f>
        <v>0.12051771340844813</v>
      </c>
      <c r="W527" s="121">
        <f>(VLOOKUP($A527,Pitchers!$A1:$S251,5,FALSE)-AVERAGE(Rankings!AD2:AD651))/STDEV(Rankings!AD2:AD651)*-1</f>
        <v>-1.3139061981457365</v>
      </c>
      <c r="X527" s="121">
        <f>(VLOOKUP($A527,Pitchers!$A1:$S251,6,FALSE)-AVERAGE(Rankings!AE2:AE651))/STDEV(Rankings!AE2:AE651)*-1</f>
        <v>-1.1754709536644956</v>
      </c>
      <c r="Y527" s="121">
        <f>(VLOOKUP($A527,Pitchers!$A1:$S251,7,FALSE)-AVERAGE(Rankings!AF2:AF651))/STDEV(Rankings!AF2:AF651)</f>
        <v>-0.19025996331101458</v>
      </c>
      <c r="Z527" s="121">
        <f>(VLOOKUP($A527,Pitchers!$A1:$S251,8,FALSE)-AVERAGE(Rankings!AG2:AG651))/STDEV(Rankings!AG2:AG651)</f>
        <v>0.2023181461317366</v>
      </c>
      <c r="AA527" s="121">
        <f>(VLOOKUP($A527,Pitchers!$A1:$S251,9,FALSE)-AVERAGE(Rankings!AH2:AH651))/STDEV(Rankings!AH2:AH651)</f>
        <v>-0.46414446215037364</v>
      </c>
      <c r="AB527" s="121">
        <f>(VLOOKUP($A527,Pitchers!$A1:$S251,10,FALSE)-AVERAGE(Rankings!AI2:AI651))/STDEV(Rankings!AI2:AI651)*-1</f>
        <v>-0.47207537358762325</v>
      </c>
      <c r="AC527" s="121">
        <f>(VLOOKUP($A527,Pitchers!$A1:$S251,11,FALSE)-AVERAGE(Rankings!AJ2:AJ651))/STDEV(Rankings!AJ2:AJ651)*-1</f>
        <v>-0.33338133625274496</v>
      </c>
      <c r="AD527" s="121">
        <f>(VLOOKUP($A527,Pitchers!$A1:$S251,12,FALSE)-AVERAGE(Rankings!AK2:AK651))/STDEV(Rankings!AK2:AK651)*-1</f>
        <v>-0.33752307091320571</v>
      </c>
      <c r="AE527" s="121">
        <f>IFERROR((VLOOKUP($A527,Pitchers!$A1:$S251,13,FALSE)-AVERAGE(Rankings!AL2:AL651))/STDEV(Rankings!AL2:AL651)*-1,0)</f>
        <v>-0.76452258259647921</v>
      </c>
      <c r="AF527" s="121">
        <f>(VLOOKUP($A527,Pitchers!$A1:$S251,14,FALSE)-AVERAGE(Rankings!AM2:AM651))/STDEV(Rankings!AM2:AM651)</f>
        <v>-1.0084821029741917</v>
      </c>
      <c r="AG527" s="121">
        <f>(VLOOKUP($A527,Pitchers!$A1:$S251,15,FALSE)-AVERAGE(Rankings!AN2:AN651))/STDEV(Rankings!AN2:AN651)</f>
        <v>0.51375259655400118</v>
      </c>
      <c r="AH527" s="121">
        <f>(VLOOKUP($A527,Pitchers!$A1:$S251,16,FALSE)-AVERAGE(Rankings!AO2:AO651))/STDEV(Rankings!AO2:AO651)*-1</f>
        <v>-0.71867843825677458</v>
      </c>
      <c r="AI527" s="121">
        <f>IFERROR((VLOOKUP($A527,Pitchers!$A1:$S251,17,FALSE)-AVERAGE(Rankings!AP2:AP651))/STDEV(Rankings!AP2:AP651),0)</f>
        <v>0.30660642850266379</v>
      </c>
      <c r="AJ527" s="121">
        <f>(VLOOKUP($A527,Pitchers!$A1:$S251,18,FALSE)-AVERAGE(Rankings!AQ2:AQ651))/STDEV(Rankings!AQ2:AQ651)</f>
        <v>-0.68467156957913733</v>
      </c>
      <c r="AK527" s="121">
        <f>IFERROR((VLOOKUP($A527,Pitchers!$A1:$S251,19,FALSE)-AVERAGE(Rankings!AR2:AR651))/STDEV(Rankings!AR2:AR651)*-1,0)</f>
        <v>0.47041511698728217</v>
      </c>
    </row>
    <row r="528" spans="1:37" ht="18.600000000000001" customHeight="1">
      <c r="A528" s="25" t="s">
        <v>529</v>
      </c>
      <c r="B528" s="26" t="s">
        <v>160</v>
      </c>
      <c r="C528" s="130" t="s">
        <v>31</v>
      </c>
      <c r="D528" s="67">
        <f>(V528*Settings!$G$2)+(Y528*Settings!$G$5)+(Z528*Settings!$G$6)+(AA528*Settings!$G$7)+(AB528*Settings!$G$8)+(AC528*Settings!$G$9)+(AD528*Settings!$G$10)+(AE528*Settings!$G$11)+(AF528*Settings!$G$12)+(AG528*Settings!$G$13)+(AH528*Settings!$G$14)+(AI528*Settings!$G$15)+(AJ528*Settings!$G$16)+(AK528*Settings!$G$17)+(W528*Settings!$G$3)+(X528*Settings!$G$4)</f>
        <v>-2.6392573006559346</v>
      </c>
      <c r="E528" s="67"/>
      <c r="F528" s="67"/>
      <c r="G528" s="67"/>
      <c r="H528" s="67"/>
      <c r="I528" s="67"/>
      <c r="J528" s="67"/>
      <c r="K528" s="73"/>
      <c r="L528" s="73"/>
      <c r="M528" s="67"/>
      <c r="N528" s="67"/>
      <c r="O528" s="67"/>
      <c r="P528" s="67"/>
      <c r="Q528" s="67"/>
      <c r="R528" s="73"/>
      <c r="S528" s="73"/>
      <c r="T528" s="67"/>
      <c r="U528" s="67"/>
      <c r="V528" s="121">
        <f>(VLOOKUP($A528,Pitchers!$A1:$S251,4,FALSE)-AVERAGE(Rankings!AC2:AC651))/STDEV(Rankings!AC2:AC651)</f>
        <v>-9.3317581593395163E-2</v>
      </c>
      <c r="W528" s="121">
        <f>(VLOOKUP($A528,Pitchers!$A1:$S251,5,FALSE)-AVERAGE(Rankings!AD2:AD651))/STDEV(Rankings!AD2:AD651)*-1</f>
        <v>-0.92877636369858141</v>
      </c>
      <c r="X528" s="121">
        <f>(VLOOKUP($A528,Pitchers!$A1:$S251,6,FALSE)-AVERAGE(Rankings!AE2:AE651))/STDEV(Rankings!AE2:AE651)*-1</f>
        <v>-0.69991226926389138</v>
      </c>
      <c r="Y528" s="121">
        <f>(VLOOKUP($A528,Pitchers!$A1:$S251,7,FALSE)-AVERAGE(Rankings!AF2:AF651))/STDEV(Rankings!AF2:AF651)</f>
        <v>-0.31587505855494619</v>
      </c>
      <c r="Z528" s="121">
        <f>(VLOOKUP($A528,Pitchers!$A1:$S251,8,FALSE)-AVERAGE(Rankings!AG2:AG651))/STDEV(Rankings!AG2:AG651)</f>
        <v>-0.23054914698814188</v>
      </c>
      <c r="AA528" s="121">
        <f>(VLOOKUP($A528,Pitchers!$A1:$S251,9,FALSE)-AVERAGE(Rankings!AH2:AH651))/STDEV(Rankings!AH2:AH651)</f>
        <v>-0.46414446215037364</v>
      </c>
      <c r="AB528" s="121">
        <f>(VLOOKUP($A528,Pitchers!$A1:$S251,10,FALSE)-AVERAGE(Rankings!AI2:AI651))/STDEV(Rankings!AI2:AI651)*-1</f>
        <v>-0.1390662625901235</v>
      </c>
      <c r="AC528" s="121">
        <f>(VLOOKUP($A528,Pitchers!$A1:$S251,11,FALSE)-AVERAGE(Rankings!AJ2:AJ651))/STDEV(Rankings!AJ2:AJ651)*-1</f>
        <v>-0.11370933630115528</v>
      </c>
      <c r="AD528" s="121">
        <f>(VLOOKUP($A528,Pitchers!$A1:$S251,12,FALSE)-AVERAGE(Rankings!AK2:AK651))/STDEV(Rankings!AK2:AK651)*-1</f>
        <v>0.26532570612093032</v>
      </c>
      <c r="AE528" s="121">
        <f>IFERROR((VLOOKUP($A528,Pitchers!$A1:$S251,13,FALSE)-AVERAGE(Rankings!AL2:AL651))/STDEV(Rankings!AL2:AL651)*-1,0)</f>
        <v>-0.63151587024496925</v>
      </c>
      <c r="AF528" s="121">
        <f>(VLOOKUP($A528,Pitchers!$A1:$S251,14,FALSE)-AVERAGE(Rankings!AM2:AM651))/STDEV(Rankings!AM2:AM651)</f>
        <v>-0.82098537633807533</v>
      </c>
      <c r="AG528" s="121">
        <f>(VLOOKUP($A528,Pitchers!$A1:$S251,15,FALSE)-AVERAGE(Rankings!AN2:AN651))/STDEV(Rankings!AN2:AN651)</f>
        <v>0.32155845683425127</v>
      </c>
      <c r="AH528" s="121">
        <f>(VLOOKUP($A528,Pitchers!$A1:$S251,16,FALSE)-AVERAGE(Rankings!AO2:AO651))/STDEV(Rankings!AO2:AO651)*-1</f>
        <v>-0.31785387704273449</v>
      </c>
      <c r="AI528" s="121">
        <f>IFERROR((VLOOKUP($A528,Pitchers!$A1:$S251,17,FALSE)-AVERAGE(Rankings!AP2:AP651))/STDEV(Rankings!AP2:AP651),0)</f>
        <v>-0.12321566752910794</v>
      </c>
      <c r="AJ528" s="121">
        <f>(VLOOKUP($A528,Pitchers!$A1:$S251,18,FALSE)-AVERAGE(Rankings!AQ2:AQ651))/STDEV(Rankings!AQ2:AQ651)</f>
        <v>-0.68467156957913733</v>
      </c>
      <c r="AK528" s="121">
        <f>IFERROR((VLOOKUP($A528,Pitchers!$A1:$S251,19,FALSE)-AVERAGE(Rankings!AR2:AR651))/STDEV(Rankings!AR2:AR651)*-1,0)</f>
        <v>0.47041511698728217</v>
      </c>
    </row>
    <row r="529" spans="1:37" ht="18.600000000000001" customHeight="1">
      <c r="A529" s="25" t="s">
        <v>644</v>
      </c>
      <c r="B529" s="26" t="s">
        <v>119</v>
      </c>
      <c r="C529" s="130" t="s">
        <v>31</v>
      </c>
      <c r="D529" s="67">
        <f>(V529*Settings!$G$2)+(Y529*Settings!$G$5)+(Z529*Settings!$G$6)+(AA529*Settings!$G$7)+(AB529*Settings!$G$8)+(AC529*Settings!$G$9)+(AD529*Settings!$G$10)+(AE529*Settings!$G$11)+(AF529*Settings!$G$12)+(AG529*Settings!$G$13)+(AH529*Settings!$G$14)+(AI529*Settings!$G$15)+(AJ529*Settings!$G$16)+(AK529*Settings!$G$17)+(W529*Settings!$G$3)+(X529*Settings!$G$4)</f>
        <v>-4.0843542746241441</v>
      </c>
      <c r="E529" s="67"/>
      <c r="F529" s="67"/>
      <c r="G529" s="67"/>
      <c r="H529" s="67"/>
      <c r="I529" s="67"/>
      <c r="J529" s="67"/>
      <c r="K529" s="73"/>
      <c r="L529" s="73"/>
      <c r="M529" s="67"/>
      <c r="N529" s="67"/>
      <c r="O529" s="67"/>
      <c r="P529" s="67"/>
      <c r="Q529" s="67"/>
      <c r="R529" s="73"/>
      <c r="S529" s="73"/>
      <c r="T529" s="67"/>
      <c r="U529" s="67"/>
      <c r="V529" s="121">
        <f>(VLOOKUP($A529,Pitchers!$A1:$S251,4,FALSE)-AVERAGE(Rankings!AC2:AC651))/STDEV(Rankings!AC2:AC651)</f>
        <v>1.174168193401028</v>
      </c>
      <c r="W529" s="121">
        <f>(VLOOKUP($A529,Pitchers!$A1:$S251,5,FALSE)-AVERAGE(Rankings!AD2:AD651))/STDEV(Rankings!AD2:AD651)*-1</f>
        <v>-2.5377994424814267</v>
      </c>
      <c r="X529" s="121">
        <f>(VLOOKUP($A529,Pitchers!$A1:$S251,6,FALSE)-AVERAGE(Rankings!AE2:AE651))/STDEV(Rankings!AE2:AE651)*-1</f>
        <v>-2.0429011890574174</v>
      </c>
      <c r="Y529" s="121">
        <f>(VLOOKUP($A529,Pitchers!$A1:$S251,7,FALSE)-AVERAGE(Rankings!AF2:AF651))/STDEV(Rankings!AF2:AF651)</f>
        <v>0.25483861116603684</v>
      </c>
      <c r="Z529" s="121">
        <f>(VLOOKUP($A529,Pitchers!$A1:$S251,8,FALSE)-AVERAGE(Rankings!AG2:AG651))/STDEV(Rankings!AG2:AG651)</f>
        <v>0.70565220789903693</v>
      </c>
      <c r="AA529" s="121">
        <f>(VLOOKUP($A529,Pitchers!$A1:$S251,9,FALSE)-AVERAGE(Rankings!AH2:AH651))/STDEV(Rankings!AH2:AH651)</f>
        <v>-0.46414446215037364</v>
      </c>
      <c r="AB529" s="121">
        <f>(VLOOKUP($A529,Pitchers!$A1:$S251,10,FALSE)-AVERAGE(Rankings!AI2:AI651))/STDEV(Rankings!AI2:AI651)*-1</f>
        <v>-2.113664929685418</v>
      </c>
      <c r="AC529" s="121">
        <f>(VLOOKUP($A529,Pitchers!$A1:$S251,11,FALSE)-AVERAGE(Rankings!AJ2:AJ651))/STDEV(Rankings!AJ2:AJ651)*-1</f>
        <v>-1.7779557825363386</v>
      </c>
      <c r="AD529" s="121">
        <f>(VLOOKUP($A529,Pitchers!$A1:$S251,12,FALSE)-AVERAGE(Rankings!AK2:AK651))/STDEV(Rankings!AK2:AK651)*-1</f>
        <v>-1.2845081943514438</v>
      </c>
      <c r="AE529" s="121">
        <f>IFERROR((VLOOKUP($A529,Pitchers!$A1:$S251,13,FALSE)-AVERAGE(Rankings!AL2:AL651))/STDEV(Rankings!AL2:AL651)*-1,0)</f>
        <v>-1.429556144354029</v>
      </c>
      <c r="AF529" s="121">
        <f>(VLOOKUP($A529,Pitchers!$A1:$S251,14,FALSE)-AVERAGE(Rankings!AM2:AM651))/STDEV(Rankings!AM2:AM651)</f>
        <v>-0.58770456529081416</v>
      </c>
      <c r="AG529" s="121">
        <f>(VLOOKUP($A529,Pitchers!$A1:$S251,15,FALSE)-AVERAGE(Rankings!AN2:AN651))/STDEV(Rankings!AN2:AN651)</f>
        <v>1.066960052774363</v>
      </c>
      <c r="AH529" s="121">
        <f>(VLOOKUP($A529,Pitchers!$A1:$S251,16,FALSE)-AVERAGE(Rankings!AO2:AO651))/STDEV(Rankings!AO2:AO651)*-1</f>
        <v>-2.2217705428094252</v>
      </c>
      <c r="AI529" s="121">
        <f>IFERROR((VLOOKUP($A529,Pitchers!$A1:$S251,17,FALSE)-AVERAGE(Rankings!AP2:AP651))/STDEV(Rankings!AP2:AP651),0)</f>
        <v>0.59315449252384489</v>
      </c>
      <c r="AJ529" s="121">
        <f>(VLOOKUP($A529,Pitchers!$A1:$S251,18,FALSE)-AVERAGE(Rankings!AQ2:AQ651))/STDEV(Rankings!AQ2:AQ651)</f>
        <v>-0.68467156957913733</v>
      </c>
      <c r="AK529" s="121">
        <f>IFERROR((VLOOKUP($A529,Pitchers!$A1:$S251,19,FALSE)-AVERAGE(Rankings!AR2:AR651))/STDEV(Rankings!AR2:AR651)*-1,0)</f>
        <v>0.47041511698728217</v>
      </c>
    </row>
    <row r="530" spans="1:37" ht="18.600000000000001" customHeight="1">
      <c r="A530" s="25" t="s">
        <v>485</v>
      </c>
      <c r="B530" s="26" t="s">
        <v>101</v>
      </c>
      <c r="C530" s="130" t="s">
        <v>31</v>
      </c>
      <c r="D530" s="67">
        <f>(V530*Settings!$G$2)+(Y530*Settings!$G$5)+(Z530*Settings!$G$6)+(AA530*Settings!$G$7)+(AB530*Settings!$G$8)+(AC530*Settings!$G$9)+(AD530*Settings!$G$10)+(AE530*Settings!$G$11)+(AF530*Settings!$G$12)+(AG530*Settings!$G$13)+(AH530*Settings!$G$14)+(AI530*Settings!$G$15)+(AJ530*Settings!$G$16)+(AK530*Settings!$G$17)+(W530*Settings!$G$3)+(X530*Settings!$G$4)</f>
        <v>-2.1450686422385394</v>
      </c>
      <c r="E530" s="67"/>
      <c r="F530" s="67"/>
      <c r="G530" s="67"/>
      <c r="H530" s="67"/>
      <c r="I530" s="67"/>
      <c r="J530" s="67"/>
      <c r="K530" s="73"/>
      <c r="L530" s="73"/>
      <c r="M530" s="67"/>
      <c r="N530" s="67"/>
      <c r="O530" s="67"/>
      <c r="P530" s="67"/>
      <c r="Q530" s="67"/>
      <c r="R530" s="73"/>
      <c r="S530" s="73"/>
      <c r="T530" s="67"/>
      <c r="U530" s="67"/>
      <c r="V530" s="121">
        <f>(VLOOKUP($A530,Pitchers!$A1:$S251,4,FALSE)-AVERAGE(Rankings!AC2:AC651))/STDEV(Rankings!AC2:AC651)</f>
        <v>-0.21611408763405721</v>
      </c>
      <c r="W530" s="121">
        <f>(VLOOKUP($A530,Pitchers!$A1:$S251,5,FALSE)-AVERAGE(Rankings!AD2:AD651))/STDEV(Rankings!AD2:AD651)*-1</f>
        <v>-1.238647114238786</v>
      </c>
      <c r="X530" s="121">
        <f>(VLOOKUP($A530,Pitchers!$A1:$S251,6,FALSE)-AVERAGE(Rankings!AE2:AE651))/STDEV(Rankings!AE2:AE651)*-1</f>
        <v>0.41501404220864685</v>
      </c>
      <c r="Y530" s="121">
        <f>(VLOOKUP($A530,Pitchers!$A1:$S251,7,FALSE)-AVERAGE(Rankings!AF2:AF651))/STDEV(Rankings!AF2:AF651)</f>
        <v>-0.57000964430856416</v>
      </c>
      <c r="Z530" s="121">
        <f>(VLOOKUP($A530,Pitchers!$A1:$S251,8,FALSE)-AVERAGE(Rankings!AG2:AG651))/STDEV(Rankings!AG2:AG651)</f>
        <v>-0.42181609045971596</v>
      </c>
      <c r="AA530" s="121">
        <f>(VLOOKUP($A530,Pitchers!$A1:$S251,9,FALSE)-AVERAGE(Rankings!AH2:AH651))/STDEV(Rankings!AH2:AH651)</f>
        <v>-0.3296098354401204</v>
      </c>
      <c r="AB530" s="121">
        <f>(VLOOKUP($A530,Pitchers!$A1:$S251,10,FALSE)-AVERAGE(Rankings!AI2:AI651))/STDEV(Rankings!AI2:AI651)*-1</f>
        <v>-9.9542453961632402E-2</v>
      </c>
      <c r="AC530" s="121">
        <f>(VLOOKUP($A530,Pitchers!$A1:$S251,11,FALSE)-AVERAGE(Rankings!AJ2:AJ651))/STDEV(Rankings!AJ2:AJ651)*-1</f>
        <v>0.18203031411910814</v>
      </c>
      <c r="AD530" s="121">
        <f>(VLOOKUP($A530,Pitchers!$A1:$S251,12,FALSE)-AVERAGE(Rankings!AK2:AK651))/STDEV(Rankings!AK2:AK651)*-1</f>
        <v>0.62166546906418452</v>
      </c>
      <c r="AE530" s="121">
        <f>IFERROR((VLOOKUP($A530,Pitchers!$A1:$S251,13,FALSE)-AVERAGE(Rankings!AL2:AL651))/STDEV(Rankings!AL2:AL651)*-1,0)</f>
        <v>-0.23249573319043931</v>
      </c>
      <c r="AF530" s="121">
        <f>(VLOOKUP($A530,Pitchers!$A1:$S251,14,FALSE)-AVERAGE(Rankings!AM2:AM651))/STDEV(Rankings!AM2:AM651)</f>
        <v>-0.11678255420475359</v>
      </c>
      <c r="AG530" s="121">
        <f>(VLOOKUP($A530,Pitchers!$A1:$S251,15,FALSE)-AVERAGE(Rankings!AN2:AN651))/STDEV(Rankings!AN2:AN651)</f>
        <v>-1.3482678623150923E-2</v>
      </c>
      <c r="AH530" s="121">
        <f>(VLOOKUP($A530,Pitchers!$A1:$S251,16,FALSE)-AVERAGE(Rankings!AO2:AO651))/STDEV(Rankings!AO2:AO651)*-1</f>
        <v>-0.23017350427716354</v>
      </c>
      <c r="AI530" s="121">
        <f>IFERROR((VLOOKUP($A530,Pitchers!$A1:$S251,17,FALSE)-AVERAGE(Rankings!AP2:AP651))/STDEV(Rankings!AP2:AP651),0)</f>
        <v>-0.40976373155028911</v>
      </c>
      <c r="AJ530" s="121">
        <f>(VLOOKUP($A530,Pitchers!$A1:$S251,18,FALSE)-AVERAGE(Rankings!AQ2:AQ651))/STDEV(Rankings!AQ2:AQ651)</f>
        <v>-0.44371888178213942</v>
      </c>
      <c r="AK530" s="121">
        <f>IFERROR((VLOOKUP($A530,Pitchers!$A1:$S251,19,FALSE)-AVERAGE(Rankings!AR2:AR651))/STDEV(Rankings!AR2:AR651)*-1,0)</f>
        <v>0.47041511698728217</v>
      </c>
    </row>
    <row r="531" spans="1:37" ht="18.600000000000001" customHeight="1">
      <c r="A531" s="25" t="s">
        <v>544</v>
      </c>
      <c r="B531" s="26" t="s">
        <v>119</v>
      </c>
      <c r="C531" s="130" t="s">
        <v>31</v>
      </c>
      <c r="D531" s="67">
        <f>(V531*Settings!$G$2)+(Y531*Settings!$G$5)+(Z531*Settings!$G$6)+(AA531*Settings!$G$7)+(AB531*Settings!$G$8)+(AC531*Settings!$G$9)+(AD531*Settings!$G$10)+(AE531*Settings!$G$11)+(AF531*Settings!$G$12)+(AG531*Settings!$G$13)+(AH531*Settings!$G$14)+(AI531*Settings!$G$15)+(AJ531*Settings!$G$16)+(AK531*Settings!$G$17)+(W531*Settings!$G$3)+(X531*Settings!$G$4)</f>
        <v>-2.8010010541931614</v>
      </c>
      <c r="E531" s="67"/>
      <c r="F531" s="67"/>
      <c r="G531" s="67"/>
      <c r="H531" s="67"/>
      <c r="I531" s="67"/>
      <c r="J531" s="67"/>
      <c r="K531" s="73"/>
      <c r="L531" s="73"/>
      <c r="M531" s="67"/>
      <c r="N531" s="67"/>
      <c r="O531" s="67"/>
      <c r="P531" s="67"/>
      <c r="Q531" s="67"/>
      <c r="R531" s="73"/>
      <c r="S531" s="73"/>
      <c r="T531" s="67"/>
      <c r="U531" s="67"/>
      <c r="V531" s="121">
        <f>(VLOOKUP($A531,Pitchers!$A1:$S251,4,FALSE)-AVERAGE(Rankings!AC2:AC651))/STDEV(Rankings!AC2:AC651)</f>
        <v>0.40633716712378304</v>
      </c>
      <c r="W531" s="121">
        <f>(VLOOKUP($A531,Pitchers!$A1:$S251,5,FALSE)-AVERAGE(Rankings!AD2:AD651))/STDEV(Rankings!AD2:AD651)*-1</f>
        <v>-0.85164606119093944</v>
      </c>
      <c r="X531" s="121">
        <f>(VLOOKUP($A531,Pitchers!$A1:$S251,6,FALSE)-AVERAGE(Rankings!AE2:AE651))/STDEV(Rankings!AE2:AE651)*-1</f>
        <v>-1.2259576493435878</v>
      </c>
      <c r="Y531" s="121">
        <f>(VLOOKUP($A531,Pitchers!$A1:$S251,7,FALSE)-AVERAGE(Rankings!AF2:AF651))/STDEV(Rankings!AF2:AF651)</f>
        <v>-0.31514895973850698</v>
      </c>
      <c r="Z531" s="121">
        <f>(VLOOKUP($A531,Pitchers!$A1:$S251,8,FALSE)-AVERAGE(Rankings!AG2:AG651))/STDEV(Rankings!AG2:AG651)</f>
        <v>1.1051202660162291E-2</v>
      </c>
      <c r="AA531" s="121">
        <f>(VLOOKUP($A531,Pitchers!$A1:$S251,9,FALSE)-AVERAGE(Rankings!AH2:AH651))/STDEV(Rankings!AH2:AH651)</f>
        <v>-0.41929958658028921</v>
      </c>
      <c r="AB531" s="121">
        <f>(VLOOKUP($A531,Pitchers!$A1:$S251,10,FALSE)-AVERAGE(Rankings!AI2:AI651))/STDEV(Rankings!AI2:AI651)*-1</f>
        <v>-0.61161003535659719</v>
      </c>
      <c r="AC531" s="121">
        <f>(VLOOKUP($A531,Pitchers!$A1:$S251,11,FALSE)-AVERAGE(Rankings!AJ2:AJ651))/STDEV(Rankings!AJ2:AJ651)*-1</f>
        <v>-0.57011523911319628</v>
      </c>
      <c r="AD531" s="121">
        <f>(VLOOKUP($A531,Pitchers!$A1:$S251,12,FALSE)-AVERAGE(Rankings!AK2:AK651))/STDEV(Rankings!AK2:AK651)*-1</f>
        <v>-0.88911749848290134</v>
      </c>
      <c r="AE531" s="121">
        <f>IFERROR((VLOOKUP($A531,Pitchers!$A1:$S251,13,FALSE)-AVERAGE(Rankings!AL2:AL651))/STDEV(Rankings!AL2:AL651)*-1,0)</f>
        <v>0.69855125327013035</v>
      </c>
      <c r="AF531" s="121">
        <f>(VLOOKUP($A531,Pitchers!$A1:$S251,14,FALSE)-AVERAGE(Rankings!AM2:AM651))/STDEV(Rankings!AM2:AM651)</f>
        <v>-0.8798506277238326</v>
      </c>
      <c r="AG531" s="121">
        <f>(VLOOKUP($A531,Pitchers!$A1:$S251,15,FALSE)-AVERAGE(Rankings!AN2:AN651))/STDEV(Rankings!AN2:AN651)</f>
        <v>0.35532229219042361</v>
      </c>
      <c r="AH531" s="121">
        <f>(VLOOKUP($A531,Pitchers!$A1:$S251,16,FALSE)-AVERAGE(Rankings!AO2:AO651))/STDEV(Rankings!AO2:AO651)*-1</f>
        <v>-1.157080302084631</v>
      </c>
      <c r="AI531" s="121">
        <f>IFERROR((VLOOKUP($A531,Pitchers!$A1:$S251,17,FALSE)-AVERAGE(Rankings!AP2:AP651))/STDEV(Rankings!AP2:AP651),0)</f>
        <v>-0.40976373155028911</v>
      </c>
      <c r="AJ531" s="121">
        <f>(VLOOKUP($A531,Pitchers!$A1:$S251,18,FALSE)-AVERAGE(Rankings!AQ2:AQ651))/STDEV(Rankings!AQ2:AQ651)</f>
        <v>-0.60435400698013797</v>
      </c>
      <c r="AK531" s="121">
        <f>IFERROR((VLOOKUP($A531,Pitchers!$A1:$S251,19,FALSE)-AVERAGE(Rankings!AR2:AR651))/STDEV(Rankings!AR2:AR651)*-1,0)</f>
        <v>0.47041511698728217</v>
      </c>
    </row>
    <row r="532" spans="1:37" ht="18.600000000000001" customHeight="1">
      <c r="A532" s="25" t="s">
        <v>558</v>
      </c>
      <c r="B532" s="26" t="s">
        <v>139</v>
      </c>
      <c r="C532" s="130" t="s">
        <v>31</v>
      </c>
      <c r="D532" s="67">
        <f>(V532*Settings!$G$2)+(Y532*Settings!$G$5)+(Z532*Settings!$G$6)+(AA532*Settings!$G$7)+(AB532*Settings!$G$8)+(AC532*Settings!$G$9)+(AD532*Settings!$G$10)+(AE532*Settings!$G$11)+(AF532*Settings!$G$12)+(AG532*Settings!$G$13)+(AH532*Settings!$G$14)+(AI532*Settings!$G$15)+(AJ532*Settings!$G$16)+(AK532*Settings!$G$17)+(W532*Settings!$G$3)+(X532*Settings!$G$4)</f>
        <v>-2.9274388584269873</v>
      </c>
      <c r="E532" s="67"/>
      <c r="F532" s="67"/>
      <c r="G532" s="67"/>
      <c r="H532" s="67"/>
      <c r="I532" s="67"/>
      <c r="J532" s="67"/>
      <c r="K532" s="73"/>
      <c r="L532" s="73"/>
      <c r="M532" s="67"/>
      <c r="N532" s="67"/>
      <c r="O532" s="67"/>
      <c r="P532" s="67"/>
      <c r="Q532" s="67"/>
      <c r="R532" s="73"/>
      <c r="S532" s="73"/>
      <c r="T532" s="67"/>
      <c r="U532" s="67"/>
      <c r="V532" s="121">
        <f>(VLOOKUP($A532,Pitchers!$A1:$S251,4,FALSE)-AVERAGE(Rankings!AC2:AC651))/STDEV(Rankings!AC2:AC651)</f>
        <v>7.8879817682016296E-2</v>
      </c>
      <c r="W532" s="121">
        <f>(VLOOKUP($A532,Pitchers!$A1:$S251,5,FALSE)-AVERAGE(Rankings!AD2:AD651))/STDEV(Rankings!AD2:AD651)*-1</f>
        <v>-1.1213906571622887</v>
      </c>
      <c r="X532" s="121">
        <f>(VLOOKUP($A532,Pitchers!$A1:$S251,6,FALSE)-AVERAGE(Rankings!AE2:AE651))/STDEV(Rankings!AE2:AE651)*-1</f>
        <v>-0.89291066062169799</v>
      </c>
      <c r="Y532" s="121">
        <f>(VLOOKUP($A532,Pitchers!$A1:$S251,7,FALSE)-AVERAGE(Rankings!AF2:AF651))/STDEV(Rankings!AF2:AF651)</f>
        <v>-0.27884401891656141</v>
      </c>
      <c r="Z532" s="121">
        <f>(VLOOKUP($A532,Pitchers!$A1:$S251,8,FALSE)-AVERAGE(Rankings!AG2:AG651))/STDEV(Rankings!AG2:AG651)</f>
        <v>-0.17014905957606577</v>
      </c>
      <c r="AA532" s="121">
        <f>(VLOOKUP($A532,Pitchers!$A1:$S251,9,FALSE)-AVERAGE(Rankings!AH2:AH651))/STDEV(Rankings!AH2:AH651)</f>
        <v>-0.46414446215037364</v>
      </c>
      <c r="AB532" s="121">
        <f>(VLOOKUP($A532,Pitchers!$A1:$S251,10,FALSE)-AVERAGE(Rankings!AI2:AI651))/STDEV(Rankings!AI2:AI651)*-1</f>
        <v>-0.36981202375478694</v>
      </c>
      <c r="AC532" s="121">
        <f>(VLOOKUP($A532,Pitchers!$A1:$S251,11,FALSE)-AVERAGE(Rankings!AJ2:AJ651))/STDEV(Rankings!AJ2:AJ651)*-1</f>
        <v>-0.24807182170843828</v>
      </c>
      <c r="AD532" s="121">
        <f>(VLOOKUP($A532,Pitchers!$A1:$S251,12,FALSE)-AVERAGE(Rankings!AK2:AK651))/STDEV(Rankings!AK2:AK651)*-1</f>
        <v>-0.20084480567469712</v>
      </c>
      <c r="AE532" s="121">
        <f>IFERROR((VLOOKUP($A532,Pitchers!$A1:$S251,13,FALSE)-AVERAGE(Rankings!AL2:AL651))/STDEV(Rankings!AL2:AL651)*-1,0)</f>
        <v>3.3517691512580598E-2</v>
      </c>
      <c r="AF532" s="121">
        <f>(VLOOKUP($A532,Pitchers!$A1:$S251,14,FALSE)-AVERAGE(Rankings!AM2:AM651))/STDEV(Rankings!AM2:AM651)</f>
        <v>-1.04772560389803</v>
      </c>
      <c r="AG532" s="121">
        <f>(VLOOKUP($A532,Pitchers!$A1:$S251,15,FALSE)-AVERAGE(Rankings!AN2:AN651))/STDEV(Rankings!AN2:AN651)</f>
        <v>0.57089139484906204</v>
      </c>
      <c r="AH532" s="121">
        <f>(VLOOKUP($A532,Pitchers!$A1:$S251,16,FALSE)-AVERAGE(Rankings!AO2:AO651))/STDEV(Rankings!AO2:AO651)*-1</f>
        <v>-0.35543117965655097</v>
      </c>
      <c r="AI532" s="121">
        <f>IFERROR((VLOOKUP($A532,Pitchers!$A1:$S251,17,FALSE)-AVERAGE(Rankings!AP2:AP651))/STDEV(Rankings!AP2:AP651),0)</f>
        <v>2.0058364481482634E-2</v>
      </c>
      <c r="AJ532" s="121">
        <f>(VLOOKUP($A532,Pitchers!$A1:$S251,18,FALSE)-AVERAGE(Rankings!AQ2:AQ651))/STDEV(Rankings!AQ2:AQ651)</f>
        <v>-0.68467156957913733</v>
      </c>
      <c r="AK532" s="121">
        <f>IFERROR((VLOOKUP($A532,Pitchers!$A1:$S251,19,FALSE)-AVERAGE(Rankings!AR2:AR651))/STDEV(Rankings!AR2:AR651)*-1,0)</f>
        <v>0.47041511698728217</v>
      </c>
    </row>
    <row r="533" spans="1:37" ht="18.600000000000001" customHeight="1">
      <c r="A533" s="25" t="s">
        <v>528</v>
      </c>
      <c r="B533" s="26" t="s">
        <v>64</v>
      </c>
      <c r="C533" s="130" t="s">
        <v>31</v>
      </c>
      <c r="D533" s="67">
        <f>(V533*Settings!$G$2)+(Y533*Settings!$G$5)+(Z533*Settings!$G$6)+(AA533*Settings!$G$7)+(AB533*Settings!$G$8)+(AC533*Settings!$G$9)+(AD533*Settings!$G$10)+(AE533*Settings!$G$11)+(AF533*Settings!$G$12)+(AG533*Settings!$G$13)+(AH533*Settings!$G$14)+(AI533*Settings!$G$15)+(AJ533*Settings!$G$16)+(AK533*Settings!$G$17)+(W533*Settings!$G$3)+(X533*Settings!$G$4)</f>
        <v>-2.6359316920757929</v>
      </c>
      <c r="E533" s="67"/>
      <c r="F533" s="67"/>
      <c r="G533" s="67"/>
      <c r="H533" s="67"/>
      <c r="I533" s="67"/>
      <c r="J533" s="67"/>
      <c r="K533" s="73"/>
      <c r="L533" s="73"/>
      <c r="M533" s="67"/>
      <c r="N533" s="67"/>
      <c r="O533" s="67"/>
      <c r="P533" s="67"/>
      <c r="Q533" s="67"/>
      <c r="R533" s="73"/>
      <c r="S533" s="73"/>
      <c r="T533" s="67"/>
      <c r="U533" s="67"/>
      <c r="V533" s="121">
        <f>(VLOOKUP($A533,Pitchers!$A1:$S251,4,FALSE)-AVERAGE(Rankings!AC2:AC651))/STDEV(Rankings!AC2:AC651)</f>
        <v>-0.43136083672832182</v>
      </c>
      <c r="W533" s="121">
        <f>(VLOOKUP($A533,Pitchers!$A1:$S251,5,FALSE)-AVERAGE(Rankings!AD2:AD651))/STDEV(Rankings!AD2:AD651)*-1</f>
        <v>-0.58077673838798649</v>
      </c>
      <c r="X533" s="121">
        <f>(VLOOKUP($A533,Pitchers!$A1:$S251,6,FALSE)-AVERAGE(Rankings!AE2:AE651))/STDEV(Rankings!AE2:AE651)*-1</f>
        <v>-0.88394728962793101</v>
      </c>
      <c r="Y533" s="121">
        <f>(VLOOKUP($A533,Pitchers!$A1:$S251,7,FALSE)-AVERAGE(Rankings!AF2:AF651))/STDEV(Rankings!AF2:AF651)</f>
        <v>-0.45455993249477739</v>
      </c>
      <c r="Z533" s="121">
        <f>(VLOOKUP($A533,Pitchers!$A1:$S251,8,FALSE)-AVERAGE(Rankings!AG2:AG651))/STDEV(Rankings!AG2:AG651)</f>
        <v>-0.43188277169506217</v>
      </c>
      <c r="AA533" s="121">
        <f>(VLOOKUP($A533,Pitchers!$A1:$S251,9,FALSE)-AVERAGE(Rankings!AH2:AH651))/STDEV(Rankings!AH2:AH651)</f>
        <v>-0.28476495987003597</v>
      </c>
      <c r="AB533" s="121">
        <f>(VLOOKUP($A533,Pitchers!$A1:$S251,10,FALSE)-AVERAGE(Rankings!AI2:AI651))/STDEV(Rankings!AI2:AI651)*-1</f>
        <v>0.28278131795378753</v>
      </c>
      <c r="AC533" s="121">
        <f>(VLOOKUP($A533,Pitchers!$A1:$S251,11,FALSE)-AVERAGE(Rankings!AJ2:AJ651))/STDEV(Rankings!AJ2:AJ651)*-1</f>
        <v>0.27302712963303499</v>
      </c>
      <c r="AD533" s="121">
        <f>(VLOOKUP($A533,Pitchers!$A1:$S251,12,FALSE)-AVERAGE(Rankings!AK2:AK651))/STDEV(Rankings!AK2:AK651)*-1</f>
        <v>0.31658005558537072</v>
      </c>
      <c r="AE533" s="121">
        <f>IFERROR((VLOOKUP($A533,Pitchers!$A1:$S251,13,FALSE)-AVERAGE(Rankings!AL2:AL651))/STDEV(Rankings!AL2:AL651)*-1,0)</f>
        <v>0.16652440386409056</v>
      </c>
      <c r="AF533" s="121">
        <f>(VLOOKUP($A533,Pitchers!$A1:$S251,14,FALSE)-AVERAGE(Rankings!AM2:AM651))/STDEV(Rankings!AM2:AM651)</f>
        <v>-5.1376719331689684E-2</v>
      </c>
      <c r="AG533" s="121">
        <f>(VLOOKUP($A533,Pitchers!$A1:$S251,15,FALSE)-AVERAGE(Rankings!AN2:AN651))/STDEV(Rankings!AN2:AN651)</f>
        <v>-0.21606569076018473</v>
      </c>
      <c r="AH533" s="121">
        <f>(VLOOKUP($A533,Pitchers!$A1:$S251,16,FALSE)-AVERAGE(Rankings!AO2:AO651))/STDEV(Rankings!AO2:AO651)*-1</f>
        <v>0.23327989462657034</v>
      </c>
      <c r="AI533" s="121">
        <f>IFERROR((VLOOKUP($A533,Pitchers!$A1:$S251,17,FALSE)-AVERAGE(Rankings!AP2:AP651))/STDEV(Rankings!AP2:AP651),0)</f>
        <v>-0.26648969953969853</v>
      </c>
      <c r="AJ533" s="121">
        <f>(VLOOKUP($A533,Pitchers!$A1:$S251,18,FALSE)-AVERAGE(Rankings!AQ2:AQ651))/STDEV(Rankings!AQ2:AQ651)</f>
        <v>0.3594567442078534</v>
      </c>
      <c r="AK533" s="121">
        <f>IFERROR((VLOOKUP($A533,Pitchers!$A1:$S251,19,FALSE)-AVERAGE(Rankings!AR2:AR651))/STDEV(Rankings!AR2:AR651)*-1,0)</f>
        <v>0.47041511698728217</v>
      </c>
    </row>
    <row r="534" spans="1:37" ht="18.600000000000001" customHeight="1">
      <c r="A534" s="25" t="s">
        <v>557</v>
      </c>
      <c r="B534" s="26" t="s">
        <v>105</v>
      </c>
      <c r="C534" s="130" t="s">
        <v>31</v>
      </c>
      <c r="D534" s="67">
        <f>(V534*Settings!$G$2)+(Y534*Settings!$G$5)+(Z534*Settings!$G$6)+(AA534*Settings!$G$7)+(AB534*Settings!$G$8)+(AC534*Settings!$G$9)+(AD534*Settings!$G$10)+(AE534*Settings!$G$11)+(AF534*Settings!$G$12)+(AG534*Settings!$G$13)+(AH534*Settings!$G$14)+(AI534*Settings!$G$15)+(AJ534*Settings!$G$16)+(AK534*Settings!$G$17)+(W534*Settings!$G$3)+(X534*Settings!$G$4)</f>
        <v>-2.9147751451398389</v>
      </c>
      <c r="E534" s="67"/>
      <c r="F534" s="67"/>
      <c r="G534" s="67"/>
      <c r="H534" s="67"/>
      <c r="I534" s="67"/>
      <c r="J534" s="67"/>
      <c r="K534" s="73"/>
      <c r="L534" s="73"/>
      <c r="M534" s="67"/>
      <c r="N534" s="67"/>
      <c r="O534" s="67"/>
      <c r="P534" s="67"/>
      <c r="Q534" s="67"/>
      <c r="R534" s="73"/>
      <c r="S534" s="73"/>
      <c r="T534" s="67"/>
      <c r="U534" s="67"/>
      <c r="V534" s="121">
        <f>(VLOOKUP($A534,Pitchers!$A1:$S251,4,FALSE)-AVERAGE(Rankings!AC2:AC651))/STDEV(Rankings!AC2:AC651)</f>
        <v>-0.24116739777453755</v>
      </c>
      <c r="W534" s="121">
        <f>(VLOOKUP($A534,Pitchers!$A1:$S251,5,FALSE)-AVERAGE(Rankings!AD2:AD651))/STDEV(Rankings!AD2:AD651)*-1</f>
        <v>-1.0926279935149241</v>
      </c>
      <c r="X534" s="121">
        <f>(VLOOKUP($A534,Pitchers!$A1:$S251,6,FALSE)-AVERAGE(Rankings!AE2:AE651))/STDEV(Rankings!AE2:AE651)*-1</f>
        <v>-0.75531999330198918</v>
      </c>
      <c r="Y534" s="121">
        <f>(VLOOKUP($A534,Pitchers!$A1:$S251,7,FALSE)-AVERAGE(Rankings!AF2:AF651))/STDEV(Rankings!AF2:AF651)</f>
        <v>-0.29663343991931496</v>
      </c>
      <c r="Z534" s="121">
        <f>(VLOOKUP($A534,Pitchers!$A1:$S251,8,FALSE)-AVERAGE(Rankings!AG2:AG651))/STDEV(Rankings!AG2:AG651)</f>
        <v>-0.30604925625323698</v>
      </c>
      <c r="AA534" s="121">
        <f>(VLOOKUP($A534,Pitchers!$A1:$S251,9,FALSE)-AVERAGE(Rankings!AH2:AH651))/STDEV(Rankings!AH2:AH651)</f>
        <v>-0.46414446215037364</v>
      </c>
      <c r="AB534" s="121">
        <f>(VLOOKUP($A534,Pitchers!$A1:$S251,10,FALSE)-AVERAGE(Rankings!AI2:AI651))/STDEV(Rankings!AI2:AI651)*-1</f>
        <v>-3.4820715668016214E-2</v>
      </c>
      <c r="AC534" s="121">
        <f>(VLOOKUP($A534,Pitchers!$A1:$S251,11,FALSE)-AVERAGE(Rankings!AJ2:AJ651))/STDEV(Rankings!AJ2:AJ651)*-1</f>
        <v>0.13155551801372653</v>
      </c>
      <c r="AD534" s="121">
        <f>(VLOOKUP($A534,Pitchers!$A1:$S251,12,FALSE)-AVERAGE(Rankings!AK2:AK651))/STDEV(Rankings!AK2:AK651)*-1</f>
        <v>3.9562500146607962E-2</v>
      </c>
      <c r="AE534" s="121">
        <f>IFERROR((VLOOKUP($A534,Pitchers!$A1:$S251,13,FALSE)-AVERAGE(Rankings!AL2:AL651))/STDEV(Rankings!AL2:AL651)*-1,0)</f>
        <v>-0.63151587024496925</v>
      </c>
      <c r="AF534" s="121">
        <f>(VLOOKUP($A534,Pitchers!$A1:$S251,14,FALSE)-AVERAGE(Rankings!AM2:AM651))/STDEV(Rankings!AM2:AM651)</f>
        <v>-0.99649103324746324</v>
      </c>
      <c r="AG534" s="121">
        <f>(VLOOKUP($A534,Pitchers!$A1:$S251,15,FALSE)-AVERAGE(Rankings!AN2:AN651))/STDEV(Rankings!AN2:AN651)</f>
        <v>0.39817639091171925</v>
      </c>
      <c r="AH534" s="121">
        <f>(VLOOKUP($A534,Pitchers!$A1:$S251,16,FALSE)-AVERAGE(Rankings!AO2:AO651))/STDEV(Rankings!AO2:AO651)*-1</f>
        <v>-2.3498339901173851E-2</v>
      </c>
      <c r="AI534" s="121">
        <f>IFERROR((VLOOKUP($A534,Pitchers!$A1:$S251,17,FALSE)-AVERAGE(Rankings!AP2:AP651))/STDEV(Rankings!AP2:AP651),0)</f>
        <v>0.30660642850266379</v>
      </c>
      <c r="AJ534" s="121">
        <f>(VLOOKUP($A534,Pitchers!$A1:$S251,18,FALSE)-AVERAGE(Rankings!AQ2:AQ651))/STDEV(Rankings!AQ2:AQ651)</f>
        <v>-0.68467156957913733</v>
      </c>
      <c r="AK534" s="121">
        <f>IFERROR((VLOOKUP($A534,Pitchers!$A1:$S251,19,FALSE)-AVERAGE(Rankings!AR2:AR651))/STDEV(Rankings!AR2:AR651)*-1,0)</f>
        <v>0.47041511698728217</v>
      </c>
    </row>
    <row r="535" spans="1:37" ht="18.600000000000001" customHeight="1">
      <c r="A535" s="25" t="s">
        <v>474</v>
      </c>
      <c r="B535" s="26" t="s">
        <v>64</v>
      </c>
      <c r="C535" s="130" t="s">
        <v>31</v>
      </c>
      <c r="D535" s="67">
        <f>(V535*Settings!$G$2)+(Y535*Settings!$G$5)+(Z535*Settings!$G$6)+(AA535*Settings!$G$7)+(AB535*Settings!$G$8)+(AC535*Settings!$G$9)+(AD535*Settings!$G$10)+(AE535*Settings!$G$11)+(AF535*Settings!$G$12)+(AG535*Settings!$G$13)+(AH535*Settings!$G$14)+(AI535*Settings!$G$15)+(AJ535*Settings!$G$16)+(AK535*Settings!$G$17)+(W535*Settings!$G$3)+(X535*Settings!$G$4)</f>
        <v>-1.9981431900525883</v>
      </c>
      <c r="E535" s="67"/>
      <c r="F535" s="67"/>
      <c r="G535" s="67"/>
      <c r="H535" s="67"/>
      <c r="I535" s="67"/>
      <c r="J535" s="67"/>
      <c r="K535" s="73"/>
      <c r="L535" s="73"/>
      <c r="M535" s="67"/>
      <c r="N535" s="67"/>
      <c r="O535" s="67"/>
      <c r="P535" s="67"/>
      <c r="Q535" s="67"/>
      <c r="R535" s="73"/>
      <c r="S535" s="73"/>
      <c r="T535" s="67"/>
      <c r="U535" s="67"/>
      <c r="V535" s="121">
        <f>(VLOOKUP($A535,Pitchers!$A1:$S251,4,FALSE)-AVERAGE(Rankings!AC2:AC651))/STDEV(Rankings!AC2:AC651)</f>
        <v>-0.63708027069874196</v>
      </c>
      <c r="W535" s="121">
        <f>(VLOOKUP($A535,Pitchers!$A1:$S251,5,FALSE)-AVERAGE(Rankings!AD2:AD651))/STDEV(Rankings!AD2:AD651)*-1</f>
        <v>-0.29205720411459385</v>
      </c>
      <c r="X535" s="121">
        <f>(VLOOKUP($A535,Pitchers!$A1:$S251,6,FALSE)-AVERAGE(Rankings!AE2:AE651))/STDEV(Rankings!AE2:AE651)*-1</f>
        <v>-0.17602195037159638</v>
      </c>
      <c r="Y535" s="121">
        <f>(VLOOKUP($A535,Pitchers!$A1:$S251,7,FALSE)-AVERAGE(Rankings!AF2:AF651))/STDEV(Rankings!AF2:AF651)</f>
        <v>-0.68437020789769243</v>
      </c>
      <c r="Z535" s="121">
        <f>(VLOOKUP($A535,Pitchers!$A1:$S251,8,FALSE)-AVERAGE(Rankings!AG2:AG651))/STDEV(Rankings!AG2:AG651)</f>
        <v>-0.38154936551833207</v>
      </c>
      <c r="AA535" s="121">
        <f>(VLOOKUP($A535,Pitchers!$A1:$S251,9,FALSE)-AVERAGE(Rankings!AH2:AH651))/STDEV(Rankings!AH2:AH651)</f>
        <v>-0.46414446215037364</v>
      </c>
      <c r="AB535" s="121">
        <f>(VLOOKUP($A535,Pitchers!$A1:$S251,10,FALSE)-AVERAGE(Rankings!AI2:AI651))/STDEV(Rankings!AI2:AI651)*-1</f>
        <v>0.54190853744210199</v>
      </c>
      <c r="AC535" s="121">
        <f>(VLOOKUP($A535,Pitchers!$A1:$S251,11,FALSE)-AVERAGE(Rankings!AJ2:AJ651))/STDEV(Rankings!AJ2:AJ651)*-1</f>
        <v>0.5794304693713368</v>
      </c>
      <c r="AD535" s="121">
        <f>(VLOOKUP($A535,Pitchers!$A1:$S251,12,FALSE)-AVERAGE(Rankings!AK2:AK651))/STDEV(Rankings!AK2:AK651)*-1</f>
        <v>0.61434341914069313</v>
      </c>
      <c r="AE535" s="121">
        <f>IFERROR((VLOOKUP($A535,Pitchers!$A1:$S251,13,FALSE)-AVERAGE(Rankings!AL2:AL651))/STDEV(Rankings!AL2:AL651)*-1,0)</f>
        <v>0.69855125327013035</v>
      </c>
      <c r="AF535" s="121">
        <f>(VLOOKUP($A535,Pitchers!$A1:$S251,14,FALSE)-AVERAGE(Rankings!AM2:AM651))/STDEV(Rankings!AM2:AM651)</f>
        <v>0.29200391375189533</v>
      </c>
      <c r="AG535" s="121">
        <f>(VLOOKUP($A535,Pitchers!$A1:$S251,15,FALSE)-AVERAGE(Rankings!AN2:AN651))/STDEV(Rankings!AN2:AN651)</f>
        <v>-0.53682212664382167</v>
      </c>
      <c r="AH535" s="121">
        <f>(VLOOKUP($A535,Pitchers!$A1:$S251,16,FALSE)-AVERAGE(Rankings!AO2:AO651))/STDEV(Rankings!AO2:AO651)*-1</f>
        <v>0.57773850191988618</v>
      </c>
      <c r="AI535" s="121">
        <f>IFERROR((VLOOKUP($A535,Pitchers!$A1:$S251,17,FALSE)-AVERAGE(Rankings!AP2:AP651))/STDEV(Rankings!AP2:AP651),0)</f>
        <v>-0.8395858275820608</v>
      </c>
      <c r="AJ535" s="121">
        <f>(VLOOKUP($A535,Pitchers!$A1:$S251,18,FALSE)-AVERAGE(Rankings!AQ2:AQ651))/STDEV(Rankings!AQ2:AQ651)</f>
        <v>0.27913918160885409</v>
      </c>
      <c r="AK535" s="121">
        <f>IFERROR((VLOOKUP($A535,Pitchers!$A1:$S251,19,FALSE)-AVERAGE(Rankings!AR2:AR651))/STDEV(Rankings!AR2:AR651)*-1,0)</f>
        <v>0.47041511698728217</v>
      </c>
    </row>
    <row r="536" spans="1:37" ht="18.600000000000001" customHeight="1">
      <c r="A536" s="25" t="s">
        <v>654</v>
      </c>
      <c r="B536" s="26" t="s">
        <v>178</v>
      </c>
      <c r="C536" s="130" t="s">
        <v>31</v>
      </c>
      <c r="D536" s="67">
        <f>(V536*Settings!$G$2)+(Y536*Settings!$G$5)+(Z536*Settings!$G$6)+(AA536*Settings!$G$7)+(AB536*Settings!$G$8)+(AC536*Settings!$G$9)+(AD536*Settings!$G$10)+(AE536*Settings!$G$11)+(AF536*Settings!$G$12)+(AG536*Settings!$G$13)+(AH536*Settings!$G$14)+(AI536*Settings!$G$15)+(AJ536*Settings!$G$16)+(AK536*Settings!$G$17)+(W536*Settings!$G$3)+(X536*Settings!$G$4)</f>
        <v>-4.2770565558106544</v>
      </c>
      <c r="E536" s="67"/>
      <c r="F536" s="67"/>
      <c r="G536" s="67"/>
      <c r="H536" s="67"/>
      <c r="I536" s="67"/>
      <c r="J536" s="67"/>
      <c r="K536" s="73"/>
      <c r="L536" s="73"/>
      <c r="M536" s="67"/>
      <c r="N536" s="67"/>
      <c r="O536" s="67"/>
      <c r="P536" s="67"/>
      <c r="Q536" s="67"/>
      <c r="R536" s="73"/>
      <c r="S536" s="73"/>
      <c r="T536" s="67"/>
      <c r="U536" s="67"/>
      <c r="V536" s="121">
        <f>(VLOOKUP($A536,Pitchers!$A1:$S251,4,FALSE)-AVERAGE(Rankings!AC2:AC651))/STDEV(Rankings!AC2:AC651)</f>
        <v>1.1685223770313427</v>
      </c>
      <c r="W536" s="121">
        <f>(VLOOKUP($A536,Pitchers!$A1:$S251,5,FALSE)-AVERAGE(Rankings!AD2:AD651))/STDEV(Rankings!AD2:AD651)*-1</f>
        <v>-2.3306313920655661</v>
      </c>
      <c r="X536" s="121">
        <f>(VLOOKUP($A536,Pitchers!$A1:$S251,6,FALSE)-AVERAGE(Rankings!AE2:AE651))/STDEV(Rankings!AE2:AE651)*-1</f>
        <v>-2.3553083726498749</v>
      </c>
      <c r="Y536" s="121">
        <f>(VLOOKUP($A536,Pitchers!$A1:$S251,7,FALSE)-AVERAGE(Rankings!AF2:AF651))/STDEV(Rankings!AF2:AF651)</f>
        <v>0.20764218809750765</v>
      </c>
      <c r="Z536" s="121">
        <f>(VLOOKUP($A536,Pitchers!$A1:$S251,8,FALSE)-AVERAGE(Rankings!AG2:AG651))/STDEV(Rankings!AG2:AG651)</f>
        <v>0.66538548295765299</v>
      </c>
      <c r="AA536" s="121">
        <f>(VLOOKUP($A536,Pitchers!$A1:$S251,9,FALSE)-AVERAGE(Rankings!AH2:AH651))/STDEV(Rankings!AH2:AH651)</f>
        <v>-0.46414446215037364</v>
      </c>
      <c r="AB536" s="121">
        <f>(VLOOKUP($A536,Pitchers!$A1:$S251,10,FALSE)-AVERAGE(Rankings!AI2:AI651))/STDEV(Rankings!AI2:AI651)*-1</f>
        <v>-2.0158465066588254</v>
      </c>
      <c r="AC536" s="121">
        <f>(VLOOKUP($A536,Pitchers!$A1:$S251,11,FALSE)-AVERAGE(Rankings!AJ2:AJ651))/STDEV(Rankings!AJ2:AJ651)*-1</f>
        <v>-1.900232753383178</v>
      </c>
      <c r="AD536" s="121">
        <f>(VLOOKUP($A536,Pitchers!$A1:$S251,12,FALSE)-AVERAGE(Rankings!AK2:AK651))/STDEV(Rankings!AK2:AK651)*-1</f>
        <v>-1.2161690617321892</v>
      </c>
      <c r="AE536" s="121">
        <f>IFERROR((VLOOKUP($A536,Pitchers!$A1:$S251,13,FALSE)-AVERAGE(Rankings!AL2:AL651))/STDEV(Rankings!AL2:AL651)*-1,0)</f>
        <v>-1.8285762814085589</v>
      </c>
      <c r="AF536" s="121">
        <f>(VLOOKUP($A536,Pitchers!$A1:$S251,14,FALSE)-AVERAGE(Rankings!AM2:AM651))/STDEV(Rankings!AM2:AM651)</f>
        <v>-0.63130845520618994</v>
      </c>
      <c r="AG536" s="121">
        <f>(VLOOKUP($A536,Pitchers!$A1:$S251,15,FALSE)-AVERAGE(Rankings!AN2:AN651))/STDEV(Rankings!AN2:AN651)</f>
        <v>1.066960052774363</v>
      </c>
      <c r="AH536" s="121">
        <f>(VLOOKUP($A536,Pitchers!$A1:$S251,16,FALSE)-AVERAGE(Rankings!AO2:AO651))/STDEV(Rankings!AO2:AO651)*-1</f>
        <v>-1.67063677114012</v>
      </c>
      <c r="AI536" s="121">
        <f>IFERROR((VLOOKUP($A536,Pitchers!$A1:$S251,17,FALSE)-AVERAGE(Rankings!AP2:AP651))/STDEV(Rankings!AP2:AP651),0)</f>
        <v>0.44988046051325437</v>
      </c>
      <c r="AJ536" s="121">
        <f>(VLOOKUP($A536,Pitchers!$A1:$S251,18,FALSE)-AVERAGE(Rankings!AQ2:AQ651))/STDEV(Rankings!AQ2:AQ651)</f>
        <v>-0.68467156957913733</v>
      </c>
      <c r="AK536" s="121">
        <f>IFERROR((VLOOKUP($A536,Pitchers!$A1:$S251,19,FALSE)-AVERAGE(Rankings!AR2:AR651))/STDEV(Rankings!AR2:AR651)*-1,0)</f>
        <v>0.47041511698728217</v>
      </c>
    </row>
    <row r="537" spans="1:37" ht="20.100000000000001" customHeight="1">
      <c r="A537" s="25" t="s">
        <v>559</v>
      </c>
      <c r="B537" s="26" t="s">
        <v>136</v>
      </c>
      <c r="C537" s="130" t="s">
        <v>31</v>
      </c>
      <c r="D537" s="67">
        <f>(V537*Settings!$G$2)+(Y537*Settings!$G$5)+(Z537*Settings!$G$6)+(AA537*Settings!$G$7)+(AB537*Settings!$G$8)+(AC537*Settings!$G$9)+(AD537*Settings!$G$10)+(AE537*Settings!$G$11)+(AF537*Settings!$G$12)+(AG537*Settings!$G$13)+(AH537*Settings!$G$14)+(AI537*Settings!$G$15)+(AJ537*Settings!$G$16)+(AK537*Settings!$G$17)+(W537*Settings!$G$3)+(X537*Settings!$G$4)</f>
        <v>-2.9294222540908965</v>
      </c>
      <c r="E537" s="67"/>
      <c r="F537" s="67"/>
      <c r="G537" s="67"/>
      <c r="H537" s="67"/>
      <c r="I537" s="67"/>
      <c r="J537" s="67"/>
      <c r="K537" s="73"/>
      <c r="L537" s="73"/>
      <c r="M537" s="67"/>
      <c r="N537" s="67"/>
      <c r="O537" s="67"/>
      <c r="P537" s="67"/>
      <c r="Q537" s="67"/>
      <c r="R537" s="73"/>
      <c r="S537" s="73"/>
      <c r="T537" s="67"/>
      <c r="U537" s="67"/>
      <c r="V537" s="121">
        <f>(VLOOKUP($A537,Pitchers!$A1:$S251,4,FALSE)-AVERAGE(Rankings!AC2:AC651))/STDEV(Rankings!AC2:AC651)</f>
        <v>-0.17235901076899396</v>
      </c>
      <c r="W537" s="121">
        <f>(VLOOKUP($A537,Pitchers!$A1:$S251,5,FALSE)-AVERAGE(Rankings!AD2:AD651))/STDEV(Rankings!AD2:AD651)*-1</f>
        <v>-0.55635782059894467</v>
      </c>
      <c r="X537" s="121">
        <f>(VLOOKUP($A537,Pitchers!$A1:$S251,6,FALSE)-AVERAGE(Rankings!AE2:AE651))/STDEV(Rankings!AE2:AE651)*-1</f>
        <v>-1.0466183407573961</v>
      </c>
      <c r="Y537" s="121">
        <f>(VLOOKUP($A537,Pitchers!$A1:$S251,7,FALSE)-AVERAGE(Rankings!AF2:AF651))/STDEV(Rankings!AF2:AF651)</f>
        <v>-0.37505211209471701</v>
      </c>
      <c r="Z537" s="121">
        <f>(VLOOKUP($A537,Pitchers!$A1:$S251,8,FALSE)-AVERAGE(Rankings!AG2:AG651))/STDEV(Rankings!AG2:AG651)</f>
        <v>-0.48724951848946507</v>
      </c>
      <c r="AA537" s="121">
        <f>(VLOOKUP($A537,Pitchers!$A1:$S251,9,FALSE)-AVERAGE(Rankings!AH2:AH651))/STDEV(Rankings!AH2:AH651)</f>
        <v>-0.46414446215037364</v>
      </c>
      <c r="AB537" s="121">
        <f>(VLOOKUP($A537,Pitchers!$A1:$S251,10,FALSE)-AVERAGE(Rankings!AI2:AI651))/STDEV(Rankings!AI2:AI651)*-1</f>
        <v>4.1854271739687275E-2</v>
      </c>
      <c r="AC537" s="121">
        <f>(VLOOKUP($A537,Pitchers!$A1:$S251,11,FALSE)-AVERAGE(Rankings!AJ2:AJ651))/STDEV(Rankings!AJ2:AJ651)*-1</f>
        <v>-3.0532559620456111E-2</v>
      </c>
      <c r="AD537" s="121">
        <f>(VLOOKUP($A537,Pitchers!$A1:$S251,12,FALSE)-AVERAGE(Rankings!AK2:AK651))/STDEV(Rankings!AK2:AK651)*-1</f>
        <v>6.8850699840573973E-2</v>
      </c>
      <c r="AE537" s="121">
        <f>IFERROR((VLOOKUP($A537,Pitchers!$A1:$S251,13,FALSE)-AVERAGE(Rankings!AL2:AL651))/STDEV(Rankings!AL2:AL651)*-1,0)</f>
        <v>0.29953111621560052</v>
      </c>
      <c r="AF537" s="121">
        <f>(VLOOKUP($A537,Pitchers!$A1:$S251,14,FALSE)-AVERAGE(Rankings!AM2:AM651))/STDEV(Rankings!AM2:AM651)</f>
        <v>-0.35224355974778376</v>
      </c>
      <c r="AG537" s="121">
        <f>(VLOOKUP($A537,Pitchers!$A1:$S251,15,FALSE)-AVERAGE(Rankings!AN2:AN651))/STDEV(Rankings!AN2:AN651)</f>
        <v>2.8072811045984355E-2</v>
      </c>
      <c r="AH537" s="121">
        <f>(VLOOKUP($A537,Pitchers!$A1:$S251,16,FALSE)-AVERAGE(Rankings!AO2:AO651))/STDEV(Rankings!AO2:AO651)*-1</f>
        <v>-0.17380755035643902</v>
      </c>
      <c r="AI537" s="121">
        <f>IFERROR((VLOOKUP($A537,Pitchers!$A1:$S251,17,FALSE)-AVERAGE(Rankings!AP2:AP651))/STDEV(Rankings!AP2:AP651),0)</f>
        <v>-0.12321566752910794</v>
      </c>
      <c r="AJ537" s="121">
        <f>(VLOOKUP($A537,Pitchers!$A1:$S251,18,FALSE)-AVERAGE(Rankings!AQ2:AQ651))/STDEV(Rankings!AQ2:AQ651)</f>
        <v>-0.36340131918314017</v>
      </c>
      <c r="AK537" s="121">
        <f>IFERROR((VLOOKUP($A537,Pitchers!$A1:$S251,19,FALSE)-AVERAGE(Rankings!AR2:AR651))/STDEV(Rankings!AR2:AR651)*-1,0)</f>
        <v>0.47041511698728217</v>
      </c>
    </row>
    <row r="538" spans="1:37" ht="20.100000000000001" customHeight="1">
      <c r="A538" s="25" t="s">
        <v>552</v>
      </c>
      <c r="B538" s="26" t="s">
        <v>119</v>
      </c>
      <c r="C538" s="130" t="s">
        <v>31</v>
      </c>
      <c r="D538" s="67">
        <f>(V538*Settings!$G$2)+(Y538*Settings!$G$5)+(Z538*Settings!$G$6)+(AA538*Settings!$G$7)+(AB538*Settings!$G$8)+(AC538*Settings!$G$9)+(AD538*Settings!$G$10)+(AE538*Settings!$G$11)+(AF538*Settings!$G$12)+(AG538*Settings!$G$13)+(AH538*Settings!$G$14)+(AI538*Settings!$G$15)+(AJ538*Settings!$G$16)+(AK538*Settings!$G$17)+(W538*Settings!$G$3)+(X538*Settings!$G$4)</f>
        <v>-2.8794102205870207</v>
      </c>
      <c r="E538" s="67"/>
      <c r="F538" s="67"/>
      <c r="G538" s="67"/>
      <c r="H538" s="67"/>
      <c r="I538" s="67"/>
      <c r="J538" s="67"/>
      <c r="K538" s="73"/>
      <c r="L538" s="73"/>
      <c r="M538" s="67"/>
      <c r="N538" s="67"/>
      <c r="O538" s="67"/>
      <c r="P538" s="67"/>
      <c r="Q538" s="67"/>
      <c r="R538" s="73"/>
      <c r="S538" s="73"/>
      <c r="T538" s="67"/>
      <c r="U538" s="67"/>
      <c r="V538" s="121">
        <f>(VLOOKUP($A538,Pitchers!$A1:$S251,4,FALSE)-AVERAGE(Rankings!AC2:AC651))/STDEV(Rankings!AC2:AC651)</f>
        <v>0.58912047209235563</v>
      </c>
      <c r="W538" s="121">
        <f>(VLOOKUP($A538,Pitchers!$A1:$S251,5,FALSE)-AVERAGE(Rankings!AD2:AD651))/STDEV(Rankings!AD2:AD651)*-1</f>
        <v>-1.1660897411675322</v>
      </c>
      <c r="X538" s="121">
        <f>(VLOOKUP($A538,Pitchers!$A1:$S251,6,FALSE)-AVERAGE(Rankings!AE2:AE651))/STDEV(Rankings!AE2:AE651)*-1</f>
        <v>-0.86035728650986276</v>
      </c>
      <c r="Y538" s="121">
        <f>(VLOOKUP($A538,Pitchers!$A1:$S251,7,FALSE)-AVERAGE(Rankings!AF2:AF651))/STDEV(Rankings!AF2:AF651)</f>
        <v>-0.45020333959614417</v>
      </c>
      <c r="Z538" s="121">
        <f>(VLOOKUP($A538,Pitchers!$A1:$S251,8,FALSE)-AVERAGE(Rankings!AG2:AG651))/STDEV(Rankings!AG2:AG651)</f>
        <v>6.138460883689216E-2</v>
      </c>
      <c r="AA538" s="121">
        <f>(VLOOKUP($A538,Pitchers!$A1:$S251,9,FALSE)-AVERAGE(Rankings!AH2:AH651))/STDEV(Rankings!AH2:AH651)</f>
        <v>-0.46414446215037364</v>
      </c>
      <c r="AB538" s="121">
        <f>(VLOOKUP($A538,Pitchers!$A1:$S251,10,FALSE)-AVERAGE(Rankings!AI2:AI651))/STDEV(Rankings!AI2:AI651)*-1</f>
        <v>-0.90815873322720608</v>
      </c>
      <c r="AC538" s="121">
        <f>(VLOOKUP($A538,Pitchers!$A1:$S251,11,FALSE)-AVERAGE(Rankings!AJ2:AJ651))/STDEV(Rankings!AJ2:AJ651)*-1</f>
        <v>-1.1146743069543541</v>
      </c>
      <c r="AD538" s="121">
        <f>(VLOOKUP($A538,Pitchers!$A1:$S251,12,FALSE)-AVERAGE(Rankings!AK2:AK651))/STDEV(Rankings!AK2:AK651)*-1</f>
        <v>0.50695335359615079</v>
      </c>
      <c r="AE538" s="121">
        <f>IFERROR((VLOOKUP($A538,Pitchers!$A1:$S251,13,FALSE)-AVERAGE(Rankings!AL2:AL651))/STDEV(Rankings!AL2:AL651)*-1,0)</f>
        <v>-0.49850915789345923</v>
      </c>
      <c r="AF538" s="121">
        <f>(VLOOKUP($A538,Pitchers!$A1:$S251,14,FALSE)-AVERAGE(Rankings!AM2:AM651))/STDEV(Rankings!AM2:AM651)</f>
        <v>-0.90601296167305823</v>
      </c>
      <c r="AG538" s="121">
        <f>(VLOOKUP($A538,Pitchers!$A1:$S251,15,FALSE)-AVERAGE(Rankings!AN2:AN651))/STDEV(Rankings!AN2:AN651)</f>
        <v>0.73971057162992371</v>
      </c>
      <c r="AH538" s="121">
        <f>(VLOOKUP($A538,Pitchers!$A1:$S251,16,FALSE)-AVERAGE(Rankings!AO2:AO651))/STDEV(Rankings!AO2:AO651)*-1</f>
        <v>-0.76878150840852966</v>
      </c>
      <c r="AI538" s="121">
        <f>IFERROR((VLOOKUP($A538,Pitchers!$A1:$S251,17,FALSE)-AVERAGE(Rankings!AP2:AP651))/STDEV(Rankings!AP2:AP651),0)</f>
        <v>0.30660642850266379</v>
      </c>
      <c r="AJ538" s="121">
        <f>(VLOOKUP($A538,Pitchers!$A1:$S251,18,FALSE)-AVERAGE(Rankings!AQ2:AQ651))/STDEV(Rankings!AQ2:AQ651)</f>
        <v>-0.68467156957913733</v>
      </c>
      <c r="AK538" s="121">
        <f>IFERROR((VLOOKUP($A538,Pitchers!$A1:$S251,19,FALSE)-AVERAGE(Rankings!AR2:AR651))/STDEV(Rankings!AR2:AR651)*-1,0)</f>
        <v>0.47041511698728217</v>
      </c>
    </row>
    <row r="539" spans="1:37" ht="20.100000000000001" customHeight="1">
      <c r="A539" s="25" t="s">
        <v>494</v>
      </c>
      <c r="B539" s="26" t="s">
        <v>77</v>
      </c>
      <c r="C539" s="130" t="s">
        <v>31</v>
      </c>
      <c r="D539" s="67">
        <f>(V539*Settings!$G$2)+(Y539*Settings!$G$5)+(Z539*Settings!$G$6)+(AA539*Settings!$G$7)+(AB539*Settings!$G$8)+(AC539*Settings!$G$9)+(AD539*Settings!$G$10)+(AE539*Settings!$G$11)+(AF539*Settings!$G$12)+(AG539*Settings!$G$13)+(AH539*Settings!$G$14)+(AI539*Settings!$G$15)+(AJ539*Settings!$G$16)+(AK539*Settings!$G$17)+(W539*Settings!$G$3)+(X539*Settings!$G$4)</f>
        <v>-2.2362271059312064</v>
      </c>
      <c r="E539" s="67"/>
      <c r="F539" s="67"/>
      <c r="G539" s="67"/>
      <c r="H539" s="67"/>
      <c r="I539" s="67"/>
      <c r="J539" s="67"/>
      <c r="K539" s="73"/>
      <c r="L539" s="73"/>
      <c r="M539" s="67"/>
      <c r="N539" s="67"/>
      <c r="O539" s="67"/>
      <c r="P539" s="67"/>
      <c r="Q539" s="67"/>
      <c r="R539" s="73"/>
      <c r="S539" s="73"/>
      <c r="T539" s="67"/>
      <c r="U539" s="67"/>
      <c r="V539" s="121">
        <f>(VLOOKUP($A539,Pitchers!$A1:$S251,4,FALSE)-AVERAGE(Rankings!AC2:AC651))/STDEV(Rankings!AC2:AC651)</f>
        <v>-0.70588865770428577</v>
      </c>
      <c r="W539" s="121">
        <f>(VLOOKUP($A539,Pitchers!$A1:$S251,5,FALSE)-AVERAGE(Rankings!AD2:AD651))/STDEV(Rankings!AD2:AD651)*-1</f>
        <v>-1.0633133409806279</v>
      </c>
      <c r="X539" s="121">
        <f>(VLOOKUP($A539,Pitchers!$A1:$S251,6,FALSE)-AVERAGE(Rankings!AE2:AE651))/STDEV(Rankings!AE2:AE651)*-1</f>
        <v>0.69083470838609107</v>
      </c>
      <c r="Y539" s="121">
        <f>(VLOOKUP($A539,Pitchers!$A1:$S251,7,FALSE)-AVERAGE(Rankings!AF2:AF651))/STDEV(Rankings!AF2:AF651)</f>
        <v>-0.72612088984292944</v>
      </c>
      <c r="Z539" s="121">
        <f>(VLOOKUP($A539,Pitchers!$A1:$S251,8,FALSE)-AVERAGE(Rankings!AG2:AG651))/STDEV(Rankings!AG2:AG651)</f>
        <v>-0.67348312134336641</v>
      </c>
      <c r="AA539" s="121">
        <f>(VLOOKUP($A539,Pitchers!$A1:$S251,9,FALSE)-AVERAGE(Rankings!AH2:AH651))/STDEV(Rankings!AH2:AH651)</f>
        <v>-0.46414446215037364</v>
      </c>
      <c r="AB539" s="121">
        <f>(VLOOKUP($A539,Pitchers!$A1:$S251,10,FALSE)-AVERAGE(Rankings!AI2:AI651))/STDEV(Rankings!AI2:AI651)*-1</f>
        <v>0.44496107980321936</v>
      </c>
      <c r="AC539" s="121">
        <f>(VLOOKUP($A539,Pitchers!$A1:$S251,11,FALSE)-AVERAGE(Rankings!AJ2:AJ651))/STDEV(Rankings!AJ2:AJ651)*-1</f>
        <v>0.64412351790076927</v>
      </c>
      <c r="AD539" s="121">
        <f>(VLOOKUP($A539,Pitchers!$A1:$S251,12,FALSE)-AVERAGE(Rankings!AK2:AK651))/STDEV(Rankings!AK2:AK651)*-1</f>
        <v>1.1830226298652018</v>
      </c>
      <c r="AE539" s="121">
        <f>IFERROR((VLOOKUP($A539,Pitchers!$A1:$S251,13,FALSE)-AVERAGE(Rankings!AL2:AL651))/STDEV(Rankings!AL2:AL651)*-1,0)</f>
        <v>0.8315579656216403</v>
      </c>
      <c r="AF539" s="121">
        <f>(VLOOKUP($A539,Pitchers!$A1:$S251,14,FALSE)-AVERAGE(Rankings!AM2:AM651))/STDEV(Rankings!AM2:AM651)</f>
        <v>0.80761991200121619</v>
      </c>
      <c r="AG539" s="121">
        <f>(VLOOKUP($A539,Pitchers!$A1:$S251,15,FALSE)-AVERAGE(Rankings!AN2:AN651))/STDEV(Rankings!AN2:AN651)</f>
        <v>-0.82381472717128623</v>
      </c>
      <c r="AH539" s="121">
        <f>(VLOOKUP($A539,Pitchers!$A1:$S251,16,FALSE)-AVERAGE(Rankings!AO2:AO651))/STDEV(Rankings!AO2:AO651)*-1</f>
        <v>0.57147561815091685</v>
      </c>
      <c r="AI539" s="121">
        <f>IFERROR((VLOOKUP($A539,Pitchers!$A1:$S251,17,FALSE)-AVERAGE(Rankings!AP2:AP651))/STDEV(Rankings!AP2:AP651),0)</f>
        <v>-1.126133891603242</v>
      </c>
      <c r="AJ539" s="121">
        <f>(VLOOKUP($A539,Pitchers!$A1:$S251,18,FALSE)-AVERAGE(Rankings!AQ2:AQ651))/STDEV(Rankings!AQ2:AQ651)</f>
        <v>1.2429499327968454</v>
      </c>
      <c r="AK539" s="121">
        <f>IFERROR((VLOOKUP($A539,Pitchers!$A1:$S251,19,FALSE)-AVERAGE(Rankings!AR2:AR651))/STDEV(Rankings!AR2:AR651)*-1,0)</f>
        <v>0.47041511698728217</v>
      </c>
    </row>
    <row r="540" spans="1:37" ht="20.100000000000001" customHeight="1">
      <c r="A540" s="25" t="s">
        <v>546</v>
      </c>
      <c r="B540" s="26" t="s">
        <v>97</v>
      </c>
      <c r="C540" s="130" t="s">
        <v>31</v>
      </c>
      <c r="D540" s="67">
        <f>(V540*Settings!$G$2)+(Y540*Settings!$G$5)+(Z540*Settings!$G$6)+(AA540*Settings!$G$7)+(AB540*Settings!$G$8)+(AC540*Settings!$G$9)+(AD540*Settings!$G$10)+(AE540*Settings!$G$11)+(AF540*Settings!$G$12)+(AG540*Settings!$G$13)+(AH540*Settings!$G$14)+(AI540*Settings!$G$15)+(AJ540*Settings!$G$16)+(AK540*Settings!$G$17)+(W540*Settings!$G$3)+(X540*Settings!$G$4)</f>
        <v>-2.8233116876482964</v>
      </c>
      <c r="E540" s="67"/>
      <c r="F540" s="67"/>
      <c r="G540" s="67"/>
      <c r="H540" s="67"/>
      <c r="I540" s="67"/>
      <c r="J540" s="67"/>
      <c r="K540" s="73"/>
      <c r="L540" s="73"/>
      <c r="M540" s="67"/>
      <c r="N540" s="67"/>
      <c r="O540" s="67"/>
      <c r="P540" s="67"/>
      <c r="Q540" s="67"/>
      <c r="R540" s="73"/>
      <c r="S540" s="73"/>
      <c r="T540" s="67"/>
      <c r="U540" s="67"/>
      <c r="V540" s="121">
        <f>(VLOOKUP($A540,Pitchers!$A1:$S251,4,FALSE)-AVERAGE(Rankings!AC2:AC651))/STDEV(Rankings!AC2:AC651)</f>
        <v>-0.73623492069134577</v>
      </c>
      <c r="W540" s="121">
        <f>(VLOOKUP($A540,Pitchers!$A1:$S251,5,FALSE)-AVERAGE(Rankings!AD2:AD651))/STDEV(Rankings!AD2:AD651)*-1</f>
        <v>-0.83904871992866026</v>
      </c>
      <c r="X540" s="121">
        <f>(VLOOKUP($A540,Pitchers!$A1:$S251,6,FALSE)-AVERAGE(Rankings!AE2:AE651))/STDEV(Rankings!AE2:AE651)*-1</f>
        <v>-0.17265972351892114</v>
      </c>
      <c r="Y540" s="121">
        <f>(VLOOKUP($A540,Pitchers!$A1:$S251,7,FALSE)-AVERAGE(Rankings!AF2:AF651))/STDEV(Rankings!AF2:AF651)</f>
        <v>-0.61357557329489876</v>
      </c>
      <c r="Z540" s="121">
        <f>(VLOOKUP($A540,Pitchers!$A1:$S251,8,FALSE)-AVERAGE(Rankings!AG2:AG651))/STDEV(Rankings!AG2:AG651)</f>
        <v>-0.73388320875544244</v>
      </c>
      <c r="AA540" s="121">
        <f>(VLOOKUP($A540,Pitchers!$A1:$S251,9,FALSE)-AVERAGE(Rankings!AH2:AH651))/STDEV(Rankings!AH2:AH651)</f>
        <v>-0.46414446215037364</v>
      </c>
      <c r="AB540" s="121">
        <f>(VLOOKUP($A540,Pitchers!$A1:$S251,10,FALSE)-AVERAGE(Rankings!AI2:AI651))/STDEV(Rankings!AI2:AI651)*-1</f>
        <v>0.52154596734322889</v>
      </c>
      <c r="AC540" s="121">
        <f>(VLOOKUP($A540,Pitchers!$A1:$S251,11,FALSE)-AVERAGE(Rankings!AJ2:AJ651))/STDEV(Rankings!AJ2:AJ651)*-1</f>
        <v>0.60928879946184389</v>
      </c>
      <c r="AD540" s="121">
        <f>(VLOOKUP($A540,Pitchers!$A1:$S251,12,FALSE)-AVERAGE(Rankings!AK2:AK651))/STDEV(Rankings!AK2:AK651)*-1</f>
        <v>0.93651361577432035</v>
      </c>
      <c r="AE540" s="121">
        <f>IFERROR((VLOOKUP($A540,Pitchers!$A1:$S251,13,FALSE)-AVERAGE(Rankings!AL2:AL651))/STDEV(Rankings!AL2:AL651)*-1,0)</f>
        <v>0.96456467797315026</v>
      </c>
      <c r="AF540" s="121">
        <f>(VLOOKUP($A540,Pitchers!$A1:$S251,14,FALSE)-AVERAGE(Rankings!AM2:AM651))/STDEV(Rankings!AM2:AM651)</f>
        <v>-0.68363312310464086</v>
      </c>
      <c r="AG540" s="121">
        <f>(VLOOKUP($A540,Pitchers!$A1:$S251,15,FALSE)-AVERAGE(Rankings!AN2:AN651))/STDEV(Rankings!AN2:AN651)</f>
        <v>-0.24463508990771518</v>
      </c>
      <c r="AH540" s="121">
        <f>(VLOOKUP($A540,Pitchers!$A1:$S251,16,FALSE)-AVERAGE(Rankings!AO2:AO651))/STDEV(Rankings!AO2:AO651)*-1</f>
        <v>0.52137254799916166</v>
      </c>
      <c r="AI540" s="121">
        <f>IFERROR((VLOOKUP($A540,Pitchers!$A1:$S251,17,FALSE)-AVERAGE(Rankings!AP2:AP651))/STDEV(Rankings!AP2:AP651),0)</f>
        <v>-0.55303776356087964</v>
      </c>
      <c r="AJ540" s="121">
        <f>(VLOOKUP($A540,Pitchers!$A1:$S251,18,FALSE)-AVERAGE(Rankings!AQ2:AQ651))/STDEV(Rankings!AQ2:AQ651)</f>
        <v>-0.52403644438113872</v>
      </c>
      <c r="AK540" s="121">
        <f>IFERROR((VLOOKUP($A540,Pitchers!$A1:$S251,19,FALSE)-AVERAGE(Rankings!AR2:AR651))/STDEV(Rankings!AR2:AR651)*-1,0)</f>
        <v>0.47041511698728217</v>
      </c>
    </row>
    <row r="541" spans="1:37" ht="20.100000000000001" customHeight="1">
      <c r="A541" s="25" t="s">
        <v>646</v>
      </c>
      <c r="B541" s="26" t="s">
        <v>142</v>
      </c>
      <c r="C541" s="130" t="s">
        <v>31</v>
      </c>
      <c r="D541" s="67">
        <f>(V541*Settings!$G$2)+(Y541*Settings!$G$5)+(Z541*Settings!$G$6)+(AA541*Settings!$G$7)+(AB541*Settings!$G$8)+(AC541*Settings!$G$9)+(AD541*Settings!$G$10)+(AE541*Settings!$G$11)+(AF541*Settings!$G$12)+(AG541*Settings!$G$13)+(AH541*Settings!$G$14)+(AI541*Settings!$G$15)+(AJ541*Settings!$G$16)+(AK541*Settings!$G$17)+(W541*Settings!$G$3)+(X541*Settings!$G$4)</f>
        <v>-4.1333000851813653</v>
      </c>
      <c r="E541" s="67"/>
      <c r="F541" s="67"/>
      <c r="G541" s="67"/>
      <c r="H541" s="67"/>
      <c r="I541" s="67"/>
      <c r="J541" s="67"/>
      <c r="K541" s="73"/>
      <c r="L541" s="73"/>
      <c r="M541" s="67"/>
      <c r="N541" s="67"/>
      <c r="O541" s="67"/>
      <c r="P541" s="67"/>
      <c r="Q541" s="67"/>
      <c r="R541" s="73"/>
      <c r="S541" s="73"/>
      <c r="T541" s="67"/>
      <c r="U541" s="67"/>
      <c r="V541" s="121">
        <f>(VLOOKUP($A541,Pitchers!$A1:$S251,4,FALSE)-AVERAGE(Rankings!AC2:AC651))/STDEV(Rankings!AC2:AC651)</f>
        <v>0.33223582727165857</v>
      </c>
      <c r="W541" s="121">
        <f>(VLOOKUP($A541,Pitchers!$A1:$S251,5,FALSE)-AVERAGE(Rankings!AD2:AD651))/STDEV(Rankings!AD2:AD651)*-1</f>
        <v>-1.7485510109294722</v>
      </c>
      <c r="X541" s="121">
        <f>(VLOOKUP($A541,Pitchers!$A1:$S251,6,FALSE)-AVERAGE(Rankings!AE2:AE651))/STDEV(Rankings!AE2:AE651)*-1</f>
        <v>-1.4451055027269997</v>
      </c>
      <c r="Y541" s="121">
        <f>(VLOOKUP($A541,Pitchers!$A1:$S251,7,FALSE)-AVERAGE(Rankings!AF2:AF651))/STDEV(Rankings!AF2:AF651)</f>
        <v>-0.1946165562096478</v>
      </c>
      <c r="Z541" s="121">
        <f>(VLOOKUP($A541,Pitchers!$A1:$S251,8,FALSE)-AVERAGE(Rankings!AG2:AG651))/STDEV(Rankings!AG2:AG651)</f>
        <v>-0.28088255316487204</v>
      </c>
      <c r="AA541" s="121">
        <f>(VLOOKUP($A541,Pitchers!$A1:$S251,9,FALSE)-AVERAGE(Rankings!AH2:AH651))/STDEV(Rankings!AH2:AH651)</f>
        <v>-0.46414446215037364</v>
      </c>
      <c r="AB541" s="121">
        <f>(VLOOKUP($A541,Pitchers!$A1:$S251,10,FALSE)-AVERAGE(Rankings!AI2:AI651))/STDEV(Rankings!AI2:AI651)*-1</f>
        <v>-0.83977293364736294</v>
      </c>
      <c r="AC541" s="121">
        <f>(VLOOKUP($A541,Pitchers!$A1:$S251,11,FALSE)-AVERAGE(Rankings!AJ2:AJ651))/STDEV(Rankings!AJ2:AJ651)*-1</f>
        <v>-0.45992378282680002</v>
      </c>
      <c r="AD541" s="121">
        <f>(VLOOKUP($A541,Pitchers!$A1:$S251,12,FALSE)-AVERAGE(Rankings!AK2:AK651))/STDEV(Rankings!AK2:AK651)*-1</f>
        <v>-1.1283044626502907</v>
      </c>
      <c r="AE541" s="121">
        <f>IFERROR((VLOOKUP($A541,Pitchers!$A1:$S251,13,FALSE)-AVERAGE(Rankings!AL2:AL651))/STDEV(Rankings!AL2:AL651)*-1,0)</f>
        <v>-0.89752929494798916</v>
      </c>
      <c r="AF541" s="121">
        <f>(VLOOKUP($A541,Pitchers!$A1:$S251,14,FALSE)-AVERAGE(Rankings!AM2:AM651))/STDEV(Rankings!AM2:AM651)</f>
        <v>-0.95615743507574047</v>
      </c>
      <c r="AG541" s="121">
        <f>(VLOOKUP($A541,Pitchers!$A1:$S251,15,FALSE)-AVERAGE(Rankings!AN2:AN651))/STDEV(Rankings!AN2:AN651)</f>
        <v>0.62803019314412301</v>
      </c>
      <c r="AH541" s="121">
        <f>(VLOOKUP($A541,Pitchers!$A1:$S251,16,FALSE)-AVERAGE(Rankings!AO2:AO651))/STDEV(Rankings!AO2:AO651)*-1</f>
        <v>-1.0693999293190601</v>
      </c>
      <c r="AI541" s="121">
        <f>IFERROR((VLOOKUP($A541,Pitchers!$A1:$S251,17,FALSE)-AVERAGE(Rankings!AP2:AP651))/STDEV(Rankings!AP2:AP651),0)</f>
        <v>0.30660642850266379</v>
      </c>
      <c r="AJ541" s="121">
        <f>(VLOOKUP($A541,Pitchers!$A1:$S251,18,FALSE)-AVERAGE(Rankings!AQ2:AQ651))/STDEV(Rankings!AQ2:AQ651)</f>
        <v>-0.68467156957913733</v>
      </c>
      <c r="AK541" s="121">
        <f>IFERROR((VLOOKUP($A541,Pitchers!$A1:$S251,19,FALSE)-AVERAGE(Rankings!AR2:AR651))/STDEV(Rankings!AR2:AR651)*-1,0)</f>
        <v>0.47041511698728217</v>
      </c>
    </row>
    <row r="542" spans="1:37" ht="20.100000000000001" customHeight="1">
      <c r="A542" s="25" t="s">
        <v>545</v>
      </c>
      <c r="B542" s="26" t="s">
        <v>92</v>
      </c>
      <c r="C542" s="130" t="s">
        <v>31</v>
      </c>
      <c r="D542" s="67">
        <f>(V542*Settings!$G$2)+(Y542*Settings!$G$5)+(Z542*Settings!$G$6)+(AA542*Settings!$G$7)+(AB542*Settings!$G$8)+(AC542*Settings!$G$9)+(AD542*Settings!$G$10)+(AE542*Settings!$G$11)+(AF542*Settings!$G$12)+(AG542*Settings!$G$13)+(AH542*Settings!$G$14)+(AI542*Settings!$G$15)+(AJ542*Settings!$G$16)+(AK542*Settings!$G$17)+(W542*Settings!$G$3)+(X542*Settings!$G$4)</f>
        <v>-2.8225951030854377</v>
      </c>
      <c r="E542" s="67"/>
      <c r="F542" s="67"/>
      <c r="G542" s="67"/>
      <c r="H542" s="67"/>
      <c r="I542" s="67"/>
      <c r="J542" s="67"/>
      <c r="K542" s="73"/>
      <c r="L542" s="73"/>
      <c r="M542" s="67"/>
      <c r="N542" s="67"/>
      <c r="O542" s="67"/>
      <c r="P542" s="67"/>
      <c r="Q542" s="67"/>
      <c r="R542" s="73"/>
      <c r="S542" s="73"/>
      <c r="T542" s="67"/>
      <c r="U542" s="67"/>
      <c r="V542" s="121">
        <f>(VLOOKUP($A542,Pitchers!$A1:$S251,4,FALSE)-AVERAGE(Rankings!AC2:AC651))/STDEV(Rankings!AC2:AC651)</f>
        <v>-0.54286571002961292</v>
      </c>
      <c r="W542" s="121">
        <f>(VLOOKUP($A542,Pitchers!$A1:$S251,5,FALSE)-AVERAGE(Rankings!AD2:AD651))/STDEV(Rankings!AD2:AD651)*-1</f>
        <v>-1.1393100892647468</v>
      </c>
      <c r="X542" s="121">
        <f>(VLOOKUP($A542,Pitchers!$A1:$S251,6,FALSE)-AVERAGE(Rankings!AE2:AE651))/STDEV(Rankings!AE2:AE651)*-1</f>
        <v>-6.9025274918355237E-2</v>
      </c>
      <c r="Y542" s="121">
        <f>(VLOOKUP($A542,Pitchers!$A1:$S251,7,FALSE)-AVERAGE(Rankings!AF2:AF651))/STDEV(Rankings!AF2:AF651)</f>
        <v>-0.72829918629224633</v>
      </c>
      <c r="Z542" s="121">
        <f>(VLOOKUP($A542,Pitchers!$A1:$S251,8,FALSE)-AVERAGE(Rankings!AG2:AG651))/STDEV(Rankings!AG2:AG651)</f>
        <v>-0.42181609045971596</v>
      </c>
      <c r="AA542" s="121">
        <f>(VLOOKUP($A542,Pitchers!$A1:$S251,9,FALSE)-AVERAGE(Rankings!AH2:AH651))/STDEV(Rankings!AH2:AH651)</f>
        <v>-0.46414446215037364</v>
      </c>
      <c r="AB542" s="121">
        <f>(VLOOKUP($A542,Pitchers!$A1:$S251,10,FALSE)-AVERAGE(Rankings!AI2:AI651))/STDEV(Rankings!AI2:AI651)*-1</f>
        <v>0.26205834838413788</v>
      </c>
      <c r="AC542" s="121">
        <f>(VLOOKUP($A542,Pitchers!$A1:$S251,11,FALSE)-AVERAGE(Rankings!AJ2:AJ651))/STDEV(Rankings!AJ2:AJ651)*-1</f>
        <v>0.31852553738999873</v>
      </c>
      <c r="AD542" s="121">
        <f>(VLOOKUP($A542,Pitchers!$A1:$S251,12,FALSE)-AVERAGE(Rankings!AK2:AK651))/STDEV(Rankings!AK2:AK651)*-1</f>
        <v>1.1757005799417102</v>
      </c>
      <c r="AE542" s="121">
        <f>IFERROR((VLOOKUP($A542,Pitchers!$A1:$S251,13,FALSE)-AVERAGE(Rankings!AL2:AL651))/STDEV(Rankings!AL2:AL651)*-1,0)</f>
        <v>-9.9489020838929354E-2</v>
      </c>
      <c r="AF542" s="121">
        <f>(VLOOKUP($A542,Pitchers!$A1:$S251,14,FALSE)-AVERAGE(Rankings!AM2:AM651))/STDEV(Rankings!AM2:AM651)</f>
        <v>-0.4677938680235304</v>
      </c>
      <c r="AG542" s="121">
        <f>(VLOOKUP($A542,Pitchers!$A1:$S251,15,FALSE)-AVERAGE(Rankings!AN2:AN651))/STDEV(Rankings!AN2:AN651)</f>
        <v>-0.30437110630709691</v>
      </c>
      <c r="AH542" s="121">
        <f>(VLOOKUP($A542,Pitchers!$A1:$S251,16,FALSE)-AVERAGE(Rankings!AO2:AO651))/STDEV(Rankings!AO2:AO651)*-1</f>
        <v>0.60905292076473327</v>
      </c>
      <c r="AI542" s="121">
        <f>IFERROR((VLOOKUP($A542,Pitchers!$A1:$S251,17,FALSE)-AVERAGE(Rankings!AP2:AP651))/STDEV(Rankings!AP2:AP651),0)</f>
        <v>-0.40976373155028911</v>
      </c>
      <c r="AJ542" s="121">
        <f>(VLOOKUP($A542,Pitchers!$A1:$S251,18,FALSE)-AVERAGE(Rankings!AQ2:AQ651))/STDEV(Rankings!AQ2:AQ651)</f>
        <v>-0.36340131918314017</v>
      </c>
      <c r="AK542" s="121">
        <f>IFERROR((VLOOKUP($A542,Pitchers!$A1:$S251,19,FALSE)-AVERAGE(Rankings!AR2:AR651))/STDEV(Rankings!AR2:AR651)*-1,0)</f>
        <v>0.47041511698728217</v>
      </c>
    </row>
    <row r="543" spans="1:37" ht="20.100000000000001" customHeight="1">
      <c r="A543" s="25" t="s">
        <v>678</v>
      </c>
      <c r="B543" s="26" t="s">
        <v>122</v>
      </c>
      <c r="C543" s="130" t="s">
        <v>31</v>
      </c>
      <c r="D543" s="67">
        <f>(V543*Settings!$G$2)+(Y543*Settings!$G$5)+(Z543*Settings!$G$6)+(AA543*Settings!$G$7)+(AB543*Settings!$G$8)+(AC543*Settings!$G$9)+(AD543*Settings!$G$10)+(AE543*Settings!$G$11)+(AF543*Settings!$G$12)+(AG543*Settings!$G$13)+(AH543*Settings!$G$14)+(AI543*Settings!$G$15)+(AJ543*Settings!$G$16)+(AK543*Settings!$G$17)+(W543*Settings!$G$3)+(X543*Settings!$G$4)</f>
        <v>-4.7223622058404366</v>
      </c>
      <c r="E543" s="67"/>
      <c r="F543" s="67"/>
      <c r="G543" s="67"/>
      <c r="H543" s="67"/>
      <c r="I543" s="67"/>
      <c r="J543" s="67"/>
      <c r="K543" s="73"/>
      <c r="L543" s="73"/>
      <c r="M543" s="67"/>
      <c r="N543" s="67"/>
      <c r="O543" s="67"/>
      <c r="P543" s="67"/>
      <c r="Q543" s="67"/>
      <c r="R543" s="73"/>
      <c r="S543" s="73"/>
      <c r="T543" s="67"/>
      <c r="U543" s="67"/>
      <c r="V543" s="121">
        <f>(VLOOKUP($A543,Pitchers!$A1:$S251,4,FALSE)-AVERAGE(Rankings!AC2:AC651))/STDEV(Rankings!AC2:AC651)</f>
        <v>0.79166413435482685</v>
      </c>
      <c r="W543" s="121">
        <f>(VLOOKUP($A543,Pitchers!$A1:$S251,5,FALSE)-AVERAGE(Rankings!AD2:AD651))/STDEV(Rankings!AD2:AD651)*-1</f>
        <v>-2.5707494479049853</v>
      </c>
      <c r="X543" s="121">
        <f>(VLOOKUP($A543,Pitchers!$A1:$S251,6,FALSE)-AVERAGE(Rankings!AE2:AE651))/STDEV(Rankings!AE2:AE651)*-1</f>
        <v>-1.6786953526077717</v>
      </c>
      <c r="Y543" s="121">
        <f>(VLOOKUP($A543,Pitchers!$A1:$S251,7,FALSE)-AVERAGE(Rankings!AF2:AF651))/STDEV(Rankings!AF2:AF651)</f>
        <v>-3.9957508308160562E-2</v>
      </c>
      <c r="Z543" s="121">
        <f>(VLOOKUP($A543,Pitchers!$A1:$S251,8,FALSE)-AVERAGE(Rankings!AG2:AG651))/STDEV(Rankings!AG2:AG651)</f>
        <v>3.1184565130854505E-2</v>
      </c>
      <c r="AA543" s="121">
        <f>(VLOOKUP($A543,Pitchers!$A1:$S251,9,FALSE)-AVERAGE(Rankings!AH2:AH651))/STDEV(Rankings!AH2:AH651)</f>
        <v>-0.46414446215037364</v>
      </c>
      <c r="AB543" s="121">
        <f>(VLOOKUP($A543,Pitchers!$A1:$S251,10,FALSE)-AVERAGE(Rankings!AI2:AI651))/STDEV(Rankings!AI2:AI651)*-1</f>
        <v>-1.6683913835410338</v>
      </c>
      <c r="AC543" s="121">
        <f>(VLOOKUP($A543,Pitchers!$A1:$S251,11,FALSE)-AVERAGE(Rankings!AJ2:AJ651))/STDEV(Rankings!AJ2:AJ651)*-1</f>
        <v>-1.2931133748761952</v>
      </c>
      <c r="AD543" s="121">
        <f>(VLOOKUP($A543,Pitchers!$A1:$S251,12,FALSE)-AVERAGE(Rankings!AK2:AK651))/STDEV(Rankings!AK2:AK651)*-1</f>
        <v>-0.67921873400947697</v>
      </c>
      <c r="AE543" s="121">
        <f>IFERROR((VLOOKUP($A543,Pitchers!$A1:$S251,13,FALSE)-AVERAGE(Rankings!AL2:AL651))/STDEV(Rankings!AL2:AL651)*-1,0)</f>
        <v>-1.1635427196510091</v>
      </c>
      <c r="AF543" s="121">
        <f>(VLOOKUP($A543,Pitchers!$A1:$S251,14,FALSE)-AVERAGE(Rankings!AM2:AM651))/STDEV(Rankings!AM2:AM651)</f>
        <v>-0.76212012495231773</v>
      </c>
      <c r="AG543" s="121">
        <f>(VLOOKUP($A543,Pitchers!$A1:$S251,15,FALSE)-AVERAGE(Rankings!AN2:AN651))/STDEV(Rankings!AN2:AN651)</f>
        <v>0.91112696651510616</v>
      </c>
      <c r="AH543" s="121">
        <f>(VLOOKUP($A543,Pitchers!$A1:$S251,16,FALSE)-AVERAGE(Rankings!AO2:AO651))/STDEV(Rankings!AO2:AO651)*-1</f>
        <v>-1.758317143905691</v>
      </c>
      <c r="AI543" s="121">
        <f>IFERROR((VLOOKUP($A543,Pitchers!$A1:$S251,17,FALSE)-AVERAGE(Rankings!AP2:AP651))/STDEV(Rankings!AP2:AP651),0)</f>
        <v>0.30660642850266379</v>
      </c>
      <c r="AJ543" s="121">
        <f>(VLOOKUP($A543,Pitchers!$A1:$S251,18,FALSE)-AVERAGE(Rankings!AQ2:AQ651))/STDEV(Rankings!AQ2:AQ651)</f>
        <v>-0.68467156957913733</v>
      </c>
      <c r="AK543" s="121">
        <f>IFERROR((VLOOKUP($A543,Pitchers!$A1:$S251,19,FALSE)-AVERAGE(Rankings!AR2:AR651))/STDEV(Rankings!AR2:AR651)*-1,0)</f>
        <v>0.47041511698728217</v>
      </c>
    </row>
    <row r="544" spans="1:37" ht="20.100000000000001" customHeight="1">
      <c r="A544" s="25" t="s">
        <v>653</v>
      </c>
      <c r="B544" s="26" t="s">
        <v>309</v>
      </c>
      <c r="C544" s="130" t="s">
        <v>31</v>
      </c>
      <c r="D544" s="67">
        <f>(V544*Settings!$G$2)+(Y544*Settings!$G$5)+(Z544*Settings!$G$6)+(AA544*Settings!$G$7)+(AB544*Settings!$G$8)+(AC544*Settings!$G$9)+(AD544*Settings!$G$10)+(AE544*Settings!$G$11)+(AF544*Settings!$G$12)+(AG544*Settings!$G$13)+(AH544*Settings!$G$14)+(AI544*Settings!$G$15)+(AJ544*Settings!$G$16)+(AK544*Settings!$G$17)+(W544*Settings!$G$3)+(X544*Settings!$G$4)</f>
        <v>-4.2627830885461657</v>
      </c>
      <c r="E544" s="67"/>
      <c r="F544" s="67"/>
      <c r="G544" s="67"/>
      <c r="H544" s="67"/>
      <c r="I544" s="67"/>
      <c r="J544" s="67"/>
      <c r="K544" s="73"/>
      <c r="L544" s="73"/>
      <c r="M544" s="67"/>
      <c r="N544" s="67"/>
      <c r="O544" s="67"/>
      <c r="P544" s="67"/>
      <c r="Q544" s="67"/>
      <c r="R544" s="73"/>
      <c r="S544" s="73"/>
      <c r="T544" s="67"/>
      <c r="U544" s="67"/>
      <c r="V544" s="121">
        <f>(VLOOKUP($A544,Pitchers!$A1:$S251,4,FALSE)-AVERAGE(Rankings!AC2:AC651))/STDEV(Rankings!AC2:AC651)</f>
        <v>-2.5214921634062252E-2</v>
      </c>
      <c r="W544" s="121">
        <f>(VLOOKUP($A544,Pitchers!$A1:$S251,5,FALSE)-AVERAGE(Rankings!AD2:AD651))/STDEV(Rankings!AD2:AD651)*-1</f>
        <v>-1.4313066122468285</v>
      </c>
      <c r="X544" s="121">
        <f>(VLOOKUP($A544,Pitchers!$A1:$S251,6,FALSE)-AVERAGE(Rankings!AE2:AE651))/STDEV(Rankings!AE2:AE651)*-1</f>
        <v>-1.6855328822736741</v>
      </c>
      <c r="Y544" s="121">
        <f>(VLOOKUP($A544,Pitchers!$A1:$S251,7,FALSE)-AVERAGE(Rankings!AF2:AF651))/STDEV(Rankings!AF2:AF651)</f>
        <v>-0.22474965709186268</v>
      </c>
      <c r="Z544" s="121">
        <f>(VLOOKUP($A544,Pitchers!$A1:$S251,8,FALSE)-AVERAGE(Rankings!AG2:AG651))/STDEV(Rankings!AG2:AG651)</f>
        <v>-0.45704947478342711</v>
      </c>
      <c r="AA544" s="121">
        <f>(VLOOKUP($A544,Pitchers!$A1:$S251,9,FALSE)-AVERAGE(Rankings!AH2:AH651))/STDEV(Rankings!AH2:AH651)</f>
        <v>-0.46414446215037364</v>
      </c>
      <c r="AB544" s="121">
        <f>(VLOOKUP($A544,Pitchers!$A1:$S251,10,FALSE)-AVERAGE(Rankings!AI2:AI651))/STDEV(Rankings!AI2:AI651)*-1</f>
        <v>-0.35381929723907923</v>
      </c>
      <c r="AC544" s="121">
        <f>(VLOOKUP($A544,Pitchers!$A1:$S251,11,FALSE)-AVERAGE(Rankings!AJ2:AJ651))/STDEV(Rankings!AJ2:AJ651)*-1</f>
        <v>-9.4514695528686146E-2</v>
      </c>
      <c r="AD544" s="121">
        <f>(VLOOKUP($A544,Pitchers!$A1:$S251,12,FALSE)-AVERAGE(Rankings!AK2:AK651))/STDEV(Rankings!AK2:AK651)*-1</f>
        <v>-0.89765989006030766</v>
      </c>
      <c r="AE544" s="121">
        <f>IFERROR((VLOOKUP($A544,Pitchers!$A1:$S251,13,FALSE)-AVERAGE(Rankings!AL2:AL651))/STDEV(Rankings!AL2:AL651)*-1,0)</f>
        <v>-0.23249573319043931</v>
      </c>
      <c r="AF544" s="121">
        <f>(VLOOKUP($A544,Pitchers!$A1:$S251,14,FALSE)-AVERAGE(Rankings!AM2:AM651))/STDEV(Rankings!AM2:AM651)</f>
        <v>-1.0651671598641805</v>
      </c>
      <c r="AG544" s="121">
        <f>(VLOOKUP($A544,Pitchers!$A1:$S251,15,FALSE)-AVERAGE(Rankings!AN2:AN651))/STDEV(Rankings!AN2:AN651)</f>
        <v>0.55011365001449464</v>
      </c>
      <c r="AH544" s="121">
        <f>(VLOOKUP($A544,Pitchers!$A1:$S251,16,FALSE)-AVERAGE(Rankings!AO2:AO651))/STDEV(Rankings!AO2:AO651)*-1</f>
        <v>-0.90656495132585613</v>
      </c>
      <c r="AI544" s="121">
        <f>IFERROR((VLOOKUP($A544,Pitchers!$A1:$S251,17,FALSE)-AVERAGE(Rankings!AP2:AP651))/STDEV(Rankings!AP2:AP651),0)</f>
        <v>0.30660642850266379</v>
      </c>
      <c r="AJ544" s="121">
        <f>(VLOOKUP($A544,Pitchers!$A1:$S251,18,FALSE)-AVERAGE(Rankings!AQ2:AQ651))/STDEV(Rankings!AQ2:AQ651)</f>
        <v>-0.68467156957913733</v>
      </c>
      <c r="AK544" s="121">
        <f>IFERROR((VLOOKUP($A544,Pitchers!$A1:$S251,19,FALSE)-AVERAGE(Rankings!AR2:AR651))/STDEV(Rankings!AR2:AR651)*-1,0)</f>
        <v>0.47041511698728217</v>
      </c>
    </row>
    <row r="545" spans="1:37" ht="20.100000000000001" customHeight="1">
      <c r="A545" s="25" t="s">
        <v>659</v>
      </c>
      <c r="B545" s="26" t="s">
        <v>309</v>
      </c>
      <c r="C545" s="130" t="s">
        <v>31</v>
      </c>
      <c r="D545" s="67">
        <f>(V545*Settings!$G$2)+(Y545*Settings!$G$5)+(Z545*Settings!$G$6)+(AA545*Settings!$G$7)+(AB545*Settings!$G$8)+(AC545*Settings!$G$9)+(AD545*Settings!$G$10)+(AE545*Settings!$G$11)+(AF545*Settings!$G$12)+(AG545*Settings!$G$13)+(AH545*Settings!$G$14)+(AI545*Settings!$G$15)+(AJ545*Settings!$G$16)+(AK545*Settings!$G$17)+(W545*Settings!$G$3)+(X545*Settings!$G$4)</f>
        <v>-4.4459615789785643</v>
      </c>
      <c r="E545" s="67"/>
      <c r="F545" s="67"/>
      <c r="G545" s="67"/>
      <c r="H545" s="67"/>
      <c r="I545" s="67"/>
      <c r="J545" s="67"/>
      <c r="K545" s="73"/>
      <c r="L545" s="73"/>
      <c r="M545" s="67"/>
      <c r="N545" s="67"/>
      <c r="O545" s="67"/>
      <c r="P545" s="67"/>
      <c r="Q545" s="67"/>
      <c r="R545" s="73"/>
      <c r="S545" s="73"/>
      <c r="T545" s="67"/>
      <c r="U545" s="67"/>
      <c r="V545" s="121">
        <f>(VLOOKUP($A545,Pitchers!$A1:$S251,4,FALSE)-AVERAGE(Rankings!AC2:AC651))/STDEV(Rankings!AC2:AC651)</f>
        <v>-0.10460921433276639</v>
      </c>
      <c r="W545" s="121">
        <f>(VLOOKUP($A545,Pitchers!$A1:$S251,5,FALSE)-AVERAGE(Rankings!AD2:AD651))/STDEV(Rankings!AD2:AD651)*-1</f>
        <v>-1.3671967392367026</v>
      </c>
      <c r="X545" s="121">
        <f>(VLOOKUP($A545,Pitchers!$A1:$S251,6,FALSE)-AVERAGE(Rankings!AE2:AE651))/STDEV(Rankings!AE2:AE651)*-1</f>
        <v>-2.1271723971167011</v>
      </c>
      <c r="Y545" s="121">
        <f>(VLOOKUP($A545,Pitchers!$A1:$S251,7,FALSE)-AVERAGE(Rankings!AF2:AF651))/STDEV(Rankings!AF2:AF651)</f>
        <v>-0.1662987023685307</v>
      </c>
      <c r="Z545" s="121">
        <f>(VLOOKUP($A545,Pitchers!$A1:$S251,8,FALSE)-AVERAGE(Rankings!AG2:AG651))/STDEV(Rankings!AG2:AG651)</f>
        <v>-0.32114927810625593</v>
      </c>
      <c r="AA545" s="121">
        <f>(VLOOKUP($A545,Pitchers!$A1:$S251,9,FALSE)-AVERAGE(Rankings!AH2:AH651))/STDEV(Rankings!AH2:AH651)</f>
        <v>-0.46414446215037364</v>
      </c>
      <c r="AB545" s="121">
        <f>(VLOOKUP($A545,Pitchers!$A1:$S251,10,FALSE)-AVERAGE(Rankings!AI2:AI651))/STDEV(Rankings!AI2:AI651)*-1</f>
        <v>-0.25148086418316457</v>
      </c>
      <c r="AC545" s="121">
        <f>(VLOOKUP($A545,Pitchers!$A1:$S251,11,FALSE)-AVERAGE(Rankings!AJ2:AJ651))/STDEV(Rankings!AJ2:AJ651)*-1</f>
        <v>-1.0627006226784766E-2</v>
      </c>
      <c r="AD545" s="121">
        <f>(VLOOKUP($A545,Pitchers!$A1:$S251,12,FALSE)-AVERAGE(Rankings!AK2:AK651))/STDEV(Rankings!AK2:AK651)*-1</f>
        <v>-1.1502706124207656</v>
      </c>
      <c r="AE545" s="121">
        <f>IFERROR((VLOOKUP($A545,Pitchers!$A1:$S251,13,FALSE)-AVERAGE(Rankings!AL2:AL651))/STDEV(Rankings!AL2:AL651)*-1,0)</f>
        <v>-0.23249573319043931</v>
      </c>
      <c r="AF545" s="121">
        <f>(VLOOKUP($A545,Pitchers!$A1:$S251,14,FALSE)-AVERAGE(Rankings!AM2:AM651))/STDEV(Rankings!AM2:AM651)</f>
        <v>-1.0935096883091751</v>
      </c>
      <c r="AG545" s="121">
        <f>(VLOOKUP($A545,Pitchers!$A1:$S251,15,FALSE)-AVERAGE(Rankings!AN2:AN651))/STDEV(Rankings!AN2:AN651)</f>
        <v>0.41246109048548418</v>
      </c>
      <c r="AH545" s="121">
        <f>(VLOOKUP($A545,Pitchers!$A1:$S251,16,FALSE)-AVERAGE(Rankings!AO2:AO651))/STDEV(Rankings!AO2:AO651)*-1</f>
        <v>-0.34290541211861192</v>
      </c>
      <c r="AI545" s="121">
        <f>IFERROR((VLOOKUP($A545,Pitchers!$A1:$S251,17,FALSE)-AVERAGE(Rankings!AP2:AP651))/STDEV(Rankings!AP2:AP651),0)</f>
        <v>0.30660642850266379</v>
      </c>
      <c r="AJ545" s="121">
        <f>(VLOOKUP($A545,Pitchers!$A1:$S251,18,FALSE)-AVERAGE(Rankings!AQ2:AQ651))/STDEV(Rankings!AQ2:AQ651)</f>
        <v>-0.60435400698013797</v>
      </c>
      <c r="AK545" s="121">
        <f>IFERROR((VLOOKUP($A545,Pitchers!$A1:$S251,19,FALSE)-AVERAGE(Rankings!AR2:AR651))/STDEV(Rankings!AR2:AR651)*-1,0)</f>
        <v>0.47041511698728217</v>
      </c>
    </row>
    <row r="546" spans="1:37" ht="20.100000000000001" customHeight="1">
      <c r="A546" s="25" t="s">
        <v>541</v>
      </c>
      <c r="B546" s="26" t="s">
        <v>87</v>
      </c>
      <c r="C546" s="130" t="s">
        <v>31</v>
      </c>
      <c r="D546" s="67">
        <f>(V546*Settings!$G$2)+(Y546*Settings!$G$5)+(Z546*Settings!$G$6)+(AA546*Settings!$G$7)+(AB546*Settings!$G$8)+(AC546*Settings!$G$9)+(AD546*Settings!$G$10)+(AE546*Settings!$G$11)+(AF546*Settings!$G$12)+(AG546*Settings!$G$13)+(AH546*Settings!$G$14)+(AI546*Settings!$G$15)+(AJ546*Settings!$G$16)+(AK546*Settings!$G$17)+(W546*Settings!$G$3)+(X546*Settings!$G$4)</f>
        <v>-2.778317231797621</v>
      </c>
      <c r="E546" s="67"/>
      <c r="F546" s="67"/>
      <c r="G546" s="67"/>
      <c r="H546" s="67"/>
      <c r="I546" s="67"/>
      <c r="J546" s="67"/>
      <c r="K546" s="73"/>
      <c r="L546" s="73"/>
      <c r="M546" s="67"/>
      <c r="N546" s="67"/>
      <c r="O546" s="67"/>
      <c r="P546" s="67"/>
      <c r="Q546" s="67"/>
      <c r="R546" s="73"/>
      <c r="S546" s="73"/>
      <c r="T546" s="67"/>
      <c r="U546" s="67"/>
      <c r="V546" s="121">
        <f>(VLOOKUP($A546,Pitchers!$A1:$S251,4,FALSE)-AVERAGE(Rankings!AC2:AC651))/STDEV(Rankings!AC2:AC651)</f>
        <v>-0.86044288082442977</v>
      </c>
      <c r="W546" s="121">
        <f>(VLOOKUP($A546,Pitchers!$A1:$S251,5,FALSE)-AVERAGE(Rankings!AD2:AD651))/STDEV(Rankings!AD2:AD651)*-1</f>
        <v>-0.40309591955424873</v>
      </c>
      <c r="X546" s="121">
        <f>(VLOOKUP($A546,Pitchers!$A1:$S251,6,FALSE)-AVERAGE(Rankings!AE2:AE651))/STDEV(Rankings!AE2:AE651)*-1</f>
        <v>-0.14892768522392055</v>
      </c>
      <c r="Y546" s="121">
        <f>(VLOOKUP($A546,Pitchers!$A1:$S251,7,FALSE)-AVERAGE(Rankings!AF2:AF651))/STDEV(Rankings!AF2:AF651)</f>
        <v>-0.85209903449508051</v>
      </c>
      <c r="Z546" s="121">
        <f>(VLOOKUP($A546,Pitchers!$A1:$S251,8,FALSE)-AVERAGE(Rankings!AG2:AG651))/STDEV(Rankings!AG2:AG651)</f>
        <v>-0.91005013037399762</v>
      </c>
      <c r="AA546" s="121">
        <f>(VLOOKUP($A546,Pitchers!$A1:$S251,9,FALSE)-AVERAGE(Rankings!AH2:AH651))/STDEV(Rankings!AH2:AH651)</f>
        <v>-0.46414446215037364</v>
      </c>
      <c r="AB546" s="121">
        <f>(VLOOKUP($A546,Pitchers!$A1:$S251,10,FALSE)-AVERAGE(Rankings!AI2:AI651))/STDEV(Rankings!AI2:AI651)*-1</f>
        <v>0.72652316634737168</v>
      </c>
      <c r="AC546" s="121">
        <f>(VLOOKUP($A546,Pitchers!$A1:$S251,11,FALSE)-AVERAGE(Rankings!AJ2:AJ651))/STDEV(Rankings!AJ2:AJ651)*-1</f>
        <v>0.78417330427767273</v>
      </c>
      <c r="AD546" s="121">
        <f>(VLOOKUP($A546,Pitchers!$A1:$S251,12,FALSE)-AVERAGE(Rankings!AK2:AK651))/STDEV(Rankings!AK2:AK651)*-1</f>
        <v>0.87793721638638811</v>
      </c>
      <c r="AE546" s="121">
        <f>IFERROR((VLOOKUP($A546,Pitchers!$A1:$S251,13,FALSE)-AVERAGE(Rankings!AL2:AL651))/STDEV(Rankings!AL2:AL651)*-1,0)</f>
        <v>1.0975713903246602</v>
      </c>
      <c r="AF546" s="121">
        <f>(VLOOKUP($A546,Pitchers!$A1:$S251,14,FALSE)-AVERAGE(Rankings!AM2:AM651))/STDEV(Rankings!AM2:AM651)</f>
        <v>-0.34243268451682424</v>
      </c>
      <c r="AG546" s="121">
        <f>(VLOOKUP($A546,Pitchers!$A1:$S251,15,FALSE)-AVERAGE(Rankings!AN2:AN651))/STDEV(Rankings!AN2:AN651)</f>
        <v>-0.31086415156789932</v>
      </c>
      <c r="AH546" s="121">
        <f>(VLOOKUP($A546,Pitchers!$A1:$S251,16,FALSE)-AVERAGE(Rankings!AO2:AO651))/STDEV(Rankings!AO2:AO651)*-1</f>
        <v>0.42742929146462133</v>
      </c>
      <c r="AI546" s="121">
        <f>IFERROR((VLOOKUP($A546,Pitchers!$A1:$S251,17,FALSE)-AVERAGE(Rankings!AP2:AP651))/STDEV(Rankings!AP2:AP651),0)</f>
        <v>-0.98285985959265143</v>
      </c>
      <c r="AJ546" s="121">
        <f>(VLOOKUP($A546,Pitchers!$A1:$S251,18,FALSE)-AVERAGE(Rankings!AQ2:AQ651))/STDEV(Rankings!AQ2:AQ651)</f>
        <v>-0.36340131918314017</v>
      </c>
      <c r="AK546" s="121">
        <f>IFERROR((VLOOKUP($A546,Pitchers!$A1:$S251,19,FALSE)-AVERAGE(Rankings!AR2:AR651))/STDEV(Rankings!AR2:AR651)*-1,0)</f>
        <v>0.47041511698728217</v>
      </c>
    </row>
    <row r="547" spans="1:37" ht="20.100000000000001" customHeight="1">
      <c r="A547" s="25" t="s">
        <v>642</v>
      </c>
      <c r="B547" s="26" t="s">
        <v>142</v>
      </c>
      <c r="C547" s="130" t="s">
        <v>31</v>
      </c>
      <c r="D547" s="67">
        <f>(V547*Settings!$G$2)+(Y547*Settings!$G$5)+(Z547*Settings!$G$6)+(AA547*Settings!$G$7)+(AB547*Settings!$G$8)+(AC547*Settings!$G$9)+(AD547*Settings!$G$10)+(AE547*Settings!$G$11)+(AF547*Settings!$G$12)+(AG547*Settings!$G$13)+(AH547*Settings!$G$14)+(AI547*Settings!$G$15)+(AJ547*Settings!$G$16)+(AK547*Settings!$G$17)+(W547*Settings!$G$3)+(X547*Settings!$G$4)</f>
        <v>-4.0663732737473444</v>
      </c>
      <c r="E547" s="67"/>
      <c r="F547" s="67"/>
      <c r="G547" s="67"/>
      <c r="H547" s="67"/>
      <c r="I547" s="67"/>
      <c r="J547" s="67"/>
      <c r="K547" s="73"/>
      <c r="L547" s="73"/>
      <c r="M547" s="67"/>
      <c r="N547" s="67"/>
      <c r="O547" s="67"/>
      <c r="P547" s="67"/>
      <c r="Q547" s="67"/>
      <c r="R547" s="73"/>
      <c r="S547" s="73"/>
      <c r="T547" s="67"/>
      <c r="U547" s="67"/>
      <c r="V547" s="121">
        <f>(VLOOKUP($A547,Pitchers!$A1:$S251,4,FALSE)-AVERAGE(Rankings!AC2:AC651))/STDEV(Rankings!AC2:AC651)</f>
        <v>9.6522993837284091E-2</v>
      </c>
      <c r="W547" s="121">
        <f>(VLOOKUP($A547,Pitchers!$A1:$S251,5,FALSE)-AVERAGE(Rankings!AD2:AD651))/STDEV(Rankings!AD2:AD651)*-1</f>
        <v>-1.3581447969336542</v>
      </c>
      <c r="X547" s="121">
        <f>(VLOOKUP($A547,Pitchers!$A1:$S251,6,FALSE)-AVERAGE(Rankings!AE2:AE651))/STDEV(Rankings!AE2:AE651)*-1</f>
        <v>-1.0726020693227394</v>
      </c>
      <c r="Y547" s="121">
        <f>(VLOOKUP($A547,Pitchers!$A1:$S251,7,FALSE)-AVERAGE(Rankings!AF2:AF651))/STDEV(Rankings!AF2:AF651)</f>
        <v>-0.33693192423167428</v>
      </c>
      <c r="Z547" s="121">
        <f>(VLOOKUP($A547,Pitchers!$A1:$S251,8,FALSE)-AVERAGE(Rankings!AG2:AG651))/STDEV(Rankings!AG2:AG651)</f>
        <v>-0.83455002110890253</v>
      </c>
      <c r="AA547" s="121">
        <f>(VLOOKUP($A547,Pitchers!$A1:$S251,9,FALSE)-AVERAGE(Rankings!AH2:AH651))/STDEV(Rankings!AH2:AH651)</f>
        <v>-0.46414446215037364</v>
      </c>
      <c r="AB547" s="121">
        <f>(VLOOKUP($A547,Pitchers!$A1:$S251,10,FALSE)-AVERAGE(Rankings!AI2:AI651))/STDEV(Rankings!AI2:AI651)*-1</f>
        <v>-0.46054259052277474</v>
      </c>
      <c r="AC547" s="121">
        <f>(VLOOKUP($A547,Pitchers!$A1:$S251,11,FALSE)-AVERAGE(Rankings!AJ2:AJ651))/STDEV(Rankings!AJ2:AJ651)*-1</f>
        <v>-0.30565574402584539</v>
      </c>
      <c r="AD547" s="121">
        <f>(VLOOKUP($A547,Pitchers!$A1:$S251,12,FALSE)-AVERAGE(Rankings!AK2:AK651))/STDEV(Rankings!AK2:AK651)*-1</f>
        <v>-0.2350143719843244</v>
      </c>
      <c r="AE547" s="121">
        <f>IFERROR((VLOOKUP($A547,Pitchers!$A1:$S251,13,FALSE)-AVERAGE(Rankings!AL2:AL651))/STDEV(Rankings!AL2:AL651)*-1,0)</f>
        <v>-0.89752929494798916</v>
      </c>
      <c r="AF547" s="121">
        <f>(VLOOKUP($A547,Pitchers!$A1:$S251,14,FALSE)-AVERAGE(Rankings!AM2:AM651))/STDEV(Rankings!AM2:AM651)</f>
        <v>-0.2345130569762689</v>
      </c>
      <c r="AG547" s="121">
        <f>(VLOOKUP($A547,Pitchers!$A1:$S251,15,FALSE)-AVERAGE(Rankings!AN2:AN651))/STDEV(Rankings!AN2:AN651)</f>
        <v>0.29298905768672079</v>
      </c>
      <c r="AH547" s="121">
        <f>(VLOOKUP($A547,Pitchers!$A1:$S251,16,FALSE)-AVERAGE(Rankings!AO2:AO651))/STDEV(Rankings!AO2:AO651)*-1</f>
        <v>-4.7096885942657877E-3</v>
      </c>
      <c r="AI547" s="121">
        <f>IFERROR((VLOOKUP($A547,Pitchers!$A1:$S251,17,FALSE)-AVERAGE(Rankings!AP2:AP651))/STDEV(Rankings!AP2:AP651),0)</f>
        <v>0.59315449252384489</v>
      </c>
      <c r="AJ547" s="121">
        <f>(VLOOKUP($A547,Pitchers!$A1:$S251,18,FALSE)-AVERAGE(Rankings!AQ2:AQ651))/STDEV(Rankings!AQ2:AQ651)</f>
        <v>-0.68467156957913733</v>
      </c>
      <c r="AK547" s="121">
        <f>IFERROR((VLOOKUP($A547,Pitchers!$A1:$S251,19,FALSE)-AVERAGE(Rankings!AR2:AR651))/STDEV(Rankings!AR2:AR651)*-1,0)</f>
        <v>0.47041511698728217</v>
      </c>
    </row>
    <row r="548" spans="1:37" ht="20.100000000000001" customHeight="1">
      <c r="A548" s="25" t="s">
        <v>613</v>
      </c>
      <c r="B548" s="26" t="s">
        <v>160</v>
      </c>
      <c r="C548" s="130" t="s">
        <v>31</v>
      </c>
      <c r="D548" s="67">
        <f>(V548*Settings!$G$2)+(Y548*Settings!$G$5)+(Z548*Settings!$G$6)+(AA548*Settings!$G$7)+(AB548*Settings!$G$8)+(AC548*Settings!$G$9)+(AD548*Settings!$G$10)+(AE548*Settings!$G$11)+(AF548*Settings!$G$12)+(AG548*Settings!$G$13)+(AH548*Settings!$G$14)+(AI548*Settings!$G$15)+(AJ548*Settings!$G$16)+(AK548*Settings!$G$17)+(W548*Settings!$G$3)+(X548*Settings!$G$4)</f>
        <v>-3.621490490958891</v>
      </c>
      <c r="E548" s="67"/>
      <c r="F548" s="67"/>
      <c r="G548" s="67"/>
      <c r="H548" s="67"/>
      <c r="I548" s="67"/>
      <c r="J548" s="67"/>
      <c r="K548" s="73"/>
      <c r="L548" s="73"/>
      <c r="M548" s="67"/>
      <c r="N548" s="67"/>
      <c r="O548" s="67"/>
      <c r="P548" s="67"/>
      <c r="Q548" s="67"/>
      <c r="R548" s="73"/>
      <c r="S548" s="73"/>
      <c r="T548" s="67"/>
      <c r="U548" s="67"/>
      <c r="V548" s="121">
        <f>(VLOOKUP($A548,Pitchers!$A1:$S251,4,FALSE)-AVERAGE(Rankings!AC2:AC651))/STDEV(Rankings!AC2:AC651)</f>
        <v>0.20308777781510026</v>
      </c>
      <c r="W548" s="121">
        <f>(VLOOKUP($A548,Pitchers!$A1:$S251,5,FALSE)-AVERAGE(Rankings!AD2:AD651))/STDEV(Rankings!AD2:AD651)*-1</f>
        <v>-1.6730241418750422</v>
      </c>
      <c r="X548" s="121">
        <f>(VLOOKUP($A548,Pitchers!$A1:$S251,6,FALSE)-AVERAGE(Rankings!AE2:AE651))/STDEV(Rankings!AE2:AE651)*-1</f>
        <v>-1.0214410768974538</v>
      </c>
      <c r="Y548" s="121">
        <f>(VLOOKUP($A548,Pitchers!$A1:$S251,7,FALSE)-AVERAGE(Rankings!AF2:AF651))/STDEV(Rankings!AF2:AF651)</f>
        <v>-0.524265418872913</v>
      </c>
      <c r="Z548" s="121">
        <f>(VLOOKUP($A548,Pitchers!$A1:$S251,8,FALSE)-AVERAGE(Rankings!AG2:AG651))/STDEV(Rankings!AG2:AG651)</f>
        <v>6.138460883689216E-2</v>
      </c>
      <c r="AA548" s="121">
        <f>(VLOOKUP($A548,Pitchers!$A1:$S251,9,FALSE)-AVERAGE(Rankings!AH2:AH651))/STDEV(Rankings!AH2:AH651)</f>
        <v>-0.46414446215037364</v>
      </c>
      <c r="AB548" s="121">
        <f>(VLOOKUP($A548,Pitchers!$A1:$S251,10,FALSE)-AVERAGE(Rankings!AI2:AI651))/STDEV(Rankings!AI2:AI651)*-1</f>
        <v>-0.67347861117323238</v>
      </c>
      <c r="AC548" s="121">
        <f>(VLOOKUP($A548,Pitchers!$A1:$S251,11,FALSE)-AVERAGE(Rankings!AJ2:AJ651))/STDEV(Rankings!AJ2:AJ651)*-1</f>
        <v>-0.62698824880940052</v>
      </c>
      <c r="AD548" s="121">
        <f>(VLOOKUP($A548,Pitchers!$A1:$S251,12,FALSE)-AVERAGE(Rankings!AK2:AK651))/STDEV(Rankings!AK2:AK651)*-1</f>
        <v>0.42641080443774365</v>
      </c>
      <c r="AE548" s="121">
        <f>IFERROR((VLOOKUP($A548,Pitchers!$A1:$S251,13,FALSE)-AVERAGE(Rankings!AL2:AL651))/STDEV(Rankings!AL2:AL651)*-1,0)</f>
        <v>-0.76452258259647921</v>
      </c>
      <c r="AF548" s="121">
        <f>(VLOOKUP($A548,Pitchers!$A1:$S251,14,FALSE)-AVERAGE(Rankings!AM2:AM651))/STDEV(Rankings!AM2:AM651)</f>
        <v>-1.1262126057457069</v>
      </c>
      <c r="AG548" s="121">
        <f>(VLOOKUP($A548,Pitchers!$A1:$S251,15,FALSE)-AVERAGE(Rankings!AN2:AN651))/STDEV(Rankings!AN2:AN651)</f>
        <v>0.47739154309350779</v>
      </c>
      <c r="AH548" s="121">
        <f>(VLOOKUP($A548,Pitchers!$A1:$S251,16,FALSE)-AVERAGE(Rankings!AO2:AO651))/STDEV(Rankings!AO2:AO651)*-1</f>
        <v>-0.66857536810501972</v>
      </c>
      <c r="AI548" s="121">
        <f>IFERROR((VLOOKUP($A548,Pitchers!$A1:$S251,17,FALSE)-AVERAGE(Rankings!AP2:AP651))/STDEV(Rankings!AP2:AP651),0)</f>
        <v>0.16333239649207321</v>
      </c>
      <c r="AJ548" s="121">
        <f>(VLOOKUP($A548,Pitchers!$A1:$S251,18,FALSE)-AVERAGE(Rankings!AQ2:AQ651))/STDEV(Rankings!AQ2:AQ651)</f>
        <v>-0.68467156957913733</v>
      </c>
      <c r="AK548" s="121">
        <f>IFERROR((VLOOKUP($A548,Pitchers!$A1:$S251,19,FALSE)-AVERAGE(Rankings!AR2:AR651))/STDEV(Rankings!AR2:AR651)*-1,0)</f>
        <v>0.47041511698728217</v>
      </c>
    </row>
    <row r="549" spans="1:37" ht="20.100000000000001" customHeight="1">
      <c r="A549" s="25" t="s">
        <v>538</v>
      </c>
      <c r="B549" s="26" t="s">
        <v>142</v>
      </c>
      <c r="C549" s="130" t="s">
        <v>31</v>
      </c>
      <c r="D549" s="67">
        <f>(V549*Settings!$G$2)+(Y549*Settings!$G$5)+(Z549*Settings!$G$6)+(AA549*Settings!$G$7)+(AB549*Settings!$G$8)+(AC549*Settings!$G$9)+(AD549*Settings!$G$10)+(AE549*Settings!$G$11)+(AF549*Settings!$G$12)+(AG549*Settings!$G$13)+(AH549*Settings!$G$14)+(AI549*Settings!$G$15)+(AJ549*Settings!$G$16)+(AK549*Settings!$G$17)+(W549*Settings!$G$3)+(X549*Settings!$G$4)</f>
        <v>-2.7309430726657986</v>
      </c>
      <c r="E549" s="67"/>
      <c r="F549" s="67"/>
      <c r="G549" s="67"/>
      <c r="H549" s="67"/>
      <c r="I549" s="67"/>
      <c r="J549" s="67"/>
      <c r="K549" s="73"/>
      <c r="L549" s="73"/>
      <c r="M549" s="67"/>
      <c r="N549" s="67"/>
      <c r="O549" s="67"/>
      <c r="P549" s="67"/>
      <c r="Q549" s="67"/>
      <c r="R549" s="73"/>
      <c r="S549" s="73"/>
      <c r="T549" s="67"/>
      <c r="U549" s="67"/>
      <c r="V549" s="121">
        <f>(VLOOKUP($A549,Pitchers!$A1:$S251,4,FALSE)-AVERAGE(Rankings!AC2:AC651))/STDEV(Rankings!AC2:AC651)</f>
        <v>-0.53086835024403112</v>
      </c>
      <c r="W549" s="121">
        <f>(VLOOKUP($A549,Pitchers!$A1:$S251,5,FALSE)-AVERAGE(Rankings!AD2:AD651))/STDEV(Rankings!AD2:AD651)*-1</f>
        <v>-0.34589011359926497</v>
      </c>
      <c r="X549" s="121">
        <f>(VLOOKUP($A549,Pitchers!$A1:$S251,6,FALSE)-AVERAGE(Rankings!AE2:AE651))/STDEV(Rankings!AE2:AE651)*-1</f>
        <v>-0.69013273279752785</v>
      </c>
      <c r="Y549" s="121">
        <f>(VLOOKUP($A549,Pitchers!$A1:$S251,7,FALSE)-AVERAGE(Rankings!AF2:AF651))/STDEV(Rankings!AF2:AF651)</f>
        <v>-0.88949312354168408</v>
      </c>
      <c r="Z549" s="121">
        <f>(VLOOKUP($A549,Pitchers!$A1:$S251,8,FALSE)-AVERAGE(Rankings!AG2:AG651))/STDEV(Rankings!AG2:AG651)</f>
        <v>-0.34128264057694813</v>
      </c>
      <c r="AA549" s="121">
        <f>(VLOOKUP($A549,Pitchers!$A1:$S251,9,FALSE)-AVERAGE(Rankings!AH2:AH651))/STDEV(Rankings!AH2:AH651)</f>
        <v>-0.46414446215037364</v>
      </c>
      <c r="AB549" s="121">
        <f>(VLOOKUP($A549,Pitchers!$A1:$S251,10,FALSE)-AVERAGE(Rankings!AI2:AI651))/STDEV(Rankings!AI2:AI651)*-1</f>
        <v>0.43180649911987651</v>
      </c>
      <c r="AC549" s="121">
        <f>(VLOOKUP($A549,Pitchers!$A1:$S251,11,FALSE)-AVERAGE(Rankings!AJ2:AJ651))/STDEV(Rankings!AJ2:AJ651)*-1</f>
        <v>0.37184398398019042</v>
      </c>
      <c r="AD549" s="121">
        <f>(VLOOKUP($A549,Pitchers!$A1:$S251,12,FALSE)-AVERAGE(Rankings!AK2:AK651))/STDEV(Rankings!AK2:AK651)*-1</f>
        <v>0.54844496982926927</v>
      </c>
      <c r="AE549" s="121">
        <f>IFERROR((VLOOKUP($A549,Pitchers!$A1:$S251,13,FALSE)-AVERAGE(Rankings!AL2:AL651))/STDEV(Rankings!AL2:AL651)*-1,0)</f>
        <v>0.56554454091862039</v>
      </c>
      <c r="AF549" s="121">
        <f>(VLOOKUP($A549,Pitchers!$A1:$S251,14,FALSE)-AVERAGE(Rankings!AM2:AM651))/STDEV(Rankings!AM2:AM651)</f>
        <v>-0.69671429007925378</v>
      </c>
      <c r="AG549" s="121">
        <f>(VLOOKUP($A549,Pitchers!$A1:$S251,15,FALSE)-AVERAGE(Rankings!AN2:AN651))/STDEV(Rankings!AN2:AN651)</f>
        <v>-0.23684343559475224</v>
      </c>
      <c r="AH549" s="121">
        <f>(VLOOKUP($A549,Pitchers!$A1:$S251,16,FALSE)-AVERAGE(Rankings!AO2:AO651))/STDEV(Rankings!AO2:AO651)*-1</f>
        <v>0.39611487261977424</v>
      </c>
      <c r="AI549" s="121">
        <f>IFERROR((VLOOKUP($A549,Pitchers!$A1:$S251,17,FALSE)-AVERAGE(Rankings!AP2:AP651))/STDEV(Rankings!AP2:AP651),0)</f>
        <v>-0.55303776356087964</v>
      </c>
      <c r="AJ549" s="121">
        <f>(VLOOKUP($A549,Pitchers!$A1:$S251,18,FALSE)-AVERAGE(Rankings!AQ2:AQ651))/STDEV(Rankings!AQ2:AQ651)</f>
        <v>-0.52403644438113872</v>
      </c>
      <c r="AK549" s="121">
        <f>IFERROR((VLOOKUP($A549,Pitchers!$A1:$S251,19,FALSE)-AVERAGE(Rankings!AR2:AR651))/STDEV(Rankings!AR2:AR651)*-1,0)</f>
        <v>0.47041511698728217</v>
      </c>
    </row>
    <row r="550" spans="1:37" ht="20.100000000000001" customHeight="1">
      <c r="A550" s="25" t="s">
        <v>712</v>
      </c>
      <c r="B550" s="26" t="s">
        <v>309</v>
      </c>
      <c r="C550" s="130" t="s">
        <v>31</v>
      </c>
      <c r="D550" s="67">
        <f>(V550*Settings!$G$2)+(Y550*Settings!$G$5)+(Z550*Settings!$G$6)+(AA550*Settings!$G$7)+(AB550*Settings!$G$8)+(AC550*Settings!$G$9)+(AD550*Settings!$G$10)+(AE550*Settings!$G$11)+(AF550*Settings!$G$12)+(AG550*Settings!$G$13)+(AH550*Settings!$G$14)+(AI550*Settings!$G$15)+(AJ550*Settings!$G$16)+(AK550*Settings!$G$17)+(W550*Settings!$G$3)+(X550*Settings!$G$4)</f>
        <v>-5.8307598873117659</v>
      </c>
      <c r="E550" s="67"/>
      <c r="F550" s="67"/>
      <c r="G550" s="67"/>
      <c r="H550" s="67"/>
      <c r="I550" s="67"/>
      <c r="J550" s="67"/>
      <c r="K550" s="73"/>
      <c r="L550" s="73"/>
      <c r="M550" s="67"/>
      <c r="N550" s="67"/>
      <c r="O550" s="67"/>
      <c r="P550" s="67"/>
      <c r="Q550" s="67"/>
      <c r="R550" s="73"/>
      <c r="S550" s="73"/>
      <c r="T550" s="67"/>
      <c r="U550" s="67"/>
      <c r="V550" s="121">
        <f>(VLOOKUP($A550,Pitchers!$A1:$S251,4,FALSE)-AVERAGE(Rankings!AC2:AC651))/STDEV(Rankings!AC2:AC651)</f>
        <v>0.89752319128643232</v>
      </c>
      <c r="W550" s="121">
        <f>(VLOOKUP($A550,Pitchers!$A1:$S251,5,FALSE)-AVERAGE(Rankings!AD2:AD651))/STDEV(Rankings!AD2:AD651)*-1</f>
        <v>-2.8704892310377748</v>
      </c>
      <c r="X550" s="121">
        <f>(VLOOKUP($A550,Pitchers!$A1:$S251,6,FALSE)-AVERAGE(Rankings!AE2:AE651))/STDEV(Rankings!AE2:AE651)*-1</f>
        <v>-2.8430429688065786</v>
      </c>
      <c r="Y550" s="121">
        <f>(VLOOKUP($A550,Pitchers!$A1:$S251,7,FALSE)-AVERAGE(Rankings!AF2:AF651))/STDEV(Rankings!AF2:AF651)</f>
        <v>0.30566552831676036</v>
      </c>
      <c r="Z550" s="121">
        <f>(VLOOKUP($A550,Pitchers!$A1:$S251,8,FALSE)-AVERAGE(Rankings!AG2:AG651))/STDEV(Rankings!AG2:AG651)</f>
        <v>4.1251246366200214E-2</v>
      </c>
      <c r="AA550" s="121">
        <f>(VLOOKUP($A550,Pitchers!$A1:$S251,9,FALSE)-AVERAGE(Rankings!AH2:AH651))/STDEV(Rankings!AH2:AH651)</f>
        <v>-0.46414446215037364</v>
      </c>
      <c r="AB550" s="121">
        <f>(VLOOKUP($A550,Pitchers!$A1:$S251,10,FALSE)-AVERAGE(Rankings!AI2:AI651))/STDEV(Rankings!AI2:AI651)*-1</f>
        <v>-1.9173373179799114</v>
      </c>
      <c r="AC550" s="121">
        <f>(VLOOKUP($A550,Pitchers!$A1:$S251,11,FALSE)-AVERAGE(Rankings!AJ2:AJ651))/STDEV(Rankings!AJ2:AJ651)*-1</f>
        <v>-1.713262734006906</v>
      </c>
      <c r="AD550" s="121">
        <f>(VLOOKUP($A550,Pitchers!$A1:$S251,12,FALSE)-AVERAGE(Rankings!AK2:AK651))/STDEV(Rankings!AK2:AK651)*-1</f>
        <v>-1.0477619134918843</v>
      </c>
      <c r="AE550" s="121">
        <f>IFERROR((VLOOKUP($A550,Pitchers!$A1:$S251,13,FALSE)-AVERAGE(Rankings!AL2:AL651))/STDEV(Rankings!AL2:AL651)*-1,0)</f>
        <v>-1.0305360072994991</v>
      </c>
      <c r="AF550" s="121">
        <f>(VLOOKUP($A550,Pitchers!$A1:$S251,14,FALSE)-AVERAGE(Rankings!AM2:AM651))/STDEV(Rankings!AM2:AM651)</f>
        <v>-0.66619156713849048</v>
      </c>
      <c r="AG550" s="121">
        <f>(VLOOKUP($A550,Pitchers!$A1:$S251,15,FALSE)-AVERAGE(Rankings!AN2:AN651))/STDEV(Rankings!AN2:AN651)</f>
        <v>1.025404563105228</v>
      </c>
      <c r="AH550" s="121">
        <f>(VLOOKUP($A550,Pitchers!$A1:$S251,16,FALSE)-AVERAGE(Rankings!AO2:AO651))/STDEV(Rankings!AO2:AO651)*-1</f>
        <v>-2.7102754767890369</v>
      </c>
      <c r="AI550" s="121">
        <f>IFERROR((VLOOKUP($A550,Pitchers!$A1:$S251,17,FALSE)-AVERAGE(Rankings!AP2:AP651))/STDEV(Rankings!AP2:AP651),0)</f>
        <v>0.59315449252384489</v>
      </c>
      <c r="AJ550" s="121">
        <f>(VLOOKUP($A550,Pitchers!$A1:$S251,18,FALSE)-AVERAGE(Rankings!AQ2:AQ651))/STDEV(Rankings!AQ2:AQ651)</f>
        <v>-0.68467156957913733</v>
      </c>
      <c r="AK550" s="121">
        <f>IFERROR((VLOOKUP($A550,Pitchers!$A1:$S251,19,FALSE)-AVERAGE(Rankings!AR2:AR651))/STDEV(Rankings!AR2:AR651)*-1,0)</f>
        <v>0.47041511698728217</v>
      </c>
    </row>
    <row r="551" spans="1:37" ht="20.100000000000001" customHeight="1">
      <c r="A551" s="25" t="s">
        <v>616</v>
      </c>
      <c r="B551" s="26" t="s">
        <v>142</v>
      </c>
      <c r="C551" s="130" t="s">
        <v>31</v>
      </c>
      <c r="D551" s="67">
        <f>(V551*Settings!$G$2)+(Y551*Settings!$G$5)+(Z551*Settings!$G$6)+(AA551*Settings!$G$7)+(AB551*Settings!$G$8)+(AC551*Settings!$G$9)+(AD551*Settings!$G$10)+(AE551*Settings!$G$11)+(AF551*Settings!$G$12)+(AG551*Settings!$G$13)+(AH551*Settings!$G$14)+(AI551*Settings!$G$15)+(AJ551*Settings!$G$16)+(AK551*Settings!$G$17)+(W551*Settings!$G$3)+(X551*Settings!$G$4)</f>
        <v>-3.646635960717771</v>
      </c>
      <c r="E551" s="67"/>
      <c r="F551" s="67"/>
      <c r="G551" s="67"/>
      <c r="H551" s="67"/>
      <c r="I551" s="67"/>
      <c r="J551" s="67"/>
      <c r="K551" s="73"/>
      <c r="L551" s="73"/>
      <c r="M551" s="67"/>
      <c r="N551" s="67"/>
      <c r="O551" s="67"/>
      <c r="P551" s="67"/>
      <c r="Q551" s="67"/>
      <c r="R551" s="73"/>
      <c r="S551" s="73"/>
      <c r="T551" s="67"/>
      <c r="U551" s="67"/>
      <c r="V551" s="121">
        <f>(VLOOKUP($A551,Pitchers!$A1:$S251,4,FALSE)-AVERAGE(Rankings!AC2:AC651))/STDEV(Rankings!AC2:AC651)</f>
        <v>-0.41901061341963464</v>
      </c>
      <c r="W551" s="121">
        <f>(VLOOKUP($A551,Pitchers!$A1:$S251,5,FALSE)-AVERAGE(Rankings!AD2:AD651))/STDEV(Rankings!AD2:AD651)*-1</f>
        <v>-0.6648331416894474</v>
      </c>
      <c r="X551" s="121">
        <f>(VLOOKUP($A551,Pitchers!$A1:$S251,6,FALSE)-AVERAGE(Rankings!AE2:AE651))/STDEV(Rankings!AE2:AE651)*-1</f>
        <v>-1.0536396989808676</v>
      </c>
      <c r="Y551" s="121">
        <f>(VLOOKUP($A551,Pitchers!$A1:$S251,7,FALSE)-AVERAGE(Rankings!AF2:AF651))/STDEV(Rankings!AF2:AF651)</f>
        <v>-0.58416857122912269</v>
      </c>
      <c r="Z551" s="121">
        <f>(VLOOKUP($A551,Pitchers!$A1:$S251,8,FALSE)-AVERAGE(Rankings!AG2:AG651))/STDEV(Rankings!AG2:AG651)</f>
        <v>-0.8798500866679595</v>
      </c>
      <c r="AA551" s="121">
        <f>(VLOOKUP($A551,Pitchers!$A1:$S251,9,FALSE)-AVERAGE(Rankings!AH2:AH651))/STDEV(Rankings!AH2:AH651)</f>
        <v>-0.46414446215037364</v>
      </c>
      <c r="AB551" s="121">
        <f>(VLOOKUP($A551,Pitchers!$A1:$S251,10,FALSE)-AVERAGE(Rankings!AI2:AI651))/STDEV(Rankings!AI2:AI651)*-1</f>
        <v>0.25052556531928938</v>
      </c>
      <c r="AC551" s="121">
        <f>(VLOOKUP($A551,Pitchers!$A1:$S251,11,FALSE)-AVERAGE(Rankings!AJ2:AJ651))/STDEV(Rankings!AJ2:AJ651)*-1</f>
        <v>0.33629835292006249</v>
      </c>
      <c r="AD551" s="121">
        <f>(VLOOKUP($A551,Pitchers!$A1:$S251,12,FALSE)-AVERAGE(Rankings!AK2:AK651))/STDEV(Rankings!AK2:AK651)*-1</f>
        <v>-7.026824870576498E-2</v>
      </c>
      <c r="AE551" s="121">
        <f>IFERROR((VLOOKUP($A551,Pitchers!$A1:$S251,13,FALSE)-AVERAGE(Rankings!AL2:AL651))/STDEV(Rankings!AL2:AL651)*-1,0)</f>
        <v>0.29953111621560052</v>
      </c>
      <c r="AF551" s="121">
        <f>(VLOOKUP($A551,Pitchers!$A1:$S251,14,FALSE)-AVERAGE(Rankings!AM2:AM651))/STDEV(Rankings!AM2:AM651)</f>
        <v>-1.0488157011459145</v>
      </c>
      <c r="AG551" s="121">
        <f>(VLOOKUP($A551,Pitchers!$A1:$S251,15,FALSE)-AVERAGE(Rankings!AN2:AN651))/STDEV(Rankings!AN2:AN651)</f>
        <v>0.25792661327838806</v>
      </c>
      <c r="AH551" s="121">
        <f>(VLOOKUP($A551,Pitchers!$A1:$S251,16,FALSE)-AVERAGE(Rankings!AO2:AO651))/STDEV(Rankings!AO2:AO651)*-1</f>
        <v>-0.51200327388078515</v>
      </c>
      <c r="AI551" s="121">
        <f>IFERROR((VLOOKUP($A551,Pitchers!$A1:$S251,17,FALSE)-AVERAGE(Rankings!AP2:AP651))/STDEV(Rankings!AP2:AP651),0)</f>
        <v>2.0058364481482634E-2</v>
      </c>
      <c r="AJ551" s="121">
        <f>(VLOOKUP($A551,Pitchers!$A1:$S251,18,FALSE)-AVERAGE(Rankings!AQ2:AQ651))/STDEV(Rankings!AQ2:AQ651)</f>
        <v>-0.68467156957913733</v>
      </c>
      <c r="AK551" s="121">
        <f>IFERROR((VLOOKUP($A551,Pitchers!$A1:$S251,19,FALSE)-AVERAGE(Rankings!AR2:AR651))/STDEV(Rankings!AR2:AR651)*-1,0)</f>
        <v>0.47041511698728217</v>
      </c>
    </row>
    <row r="552" spans="1:37" ht="20.100000000000001" customHeight="1">
      <c r="A552" s="25" t="s">
        <v>598</v>
      </c>
      <c r="B552" s="26" t="s">
        <v>92</v>
      </c>
      <c r="C552" s="130" t="s">
        <v>31</v>
      </c>
      <c r="D552" s="67">
        <f>(V552*Settings!$G$2)+(Y552*Settings!$G$5)+(Z552*Settings!$G$6)+(AA552*Settings!$G$7)+(AB552*Settings!$G$8)+(AC552*Settings!$G$9)+(AD552*Settings!$G$10)+(AE552*Settings!$G$11)+(AF552*Settings!$G$12)+(AG552*Settings!$G$13)+(AH552*Settings!$G$14)+(AI552*Settings!$G$15)+(AJ552*Settings!$G$16)+(AK552*Settings!$G$17)+(W552*Settings!$G$3)+(X552*Settings!$G$4)</f>
        <v>-3.4044250436551491</v>
      </c>
      <c r="E552" s="67"/>
      <c r="F552" s="67"/>
      <c r="G552" s="67"/>
      <c r="H552" s="67"/>
      <c r="I552" s="67"/>
      <c r="J552" s="67"/>
      <c r="K552" s="73"/>
      <c r="L552" s="73"/>
      <c r="M552" s="67"/>
      <c r="N552" s="67"/>
      <c r="O552" s="67"/>
      <c r="P552" s="67"/>
      <c r="Q552" s="67"/>
      <c r="R552" s="73"/>
      <c r="S552" s="73"/>
      <c r="T552" s="67"/>
      <c r="U552" s="67"/>
      <c r="V552" s="121">
        <f>(VLOOKUP($A552,Pitchers!$A1:$S251,4,FALSE)-AVERAGE(Rankings!AC2:AC651))/STDEV(Rankings!AC2:AC651)</f>
        <v>-0.57674060824772688</v>
      </c>
      <c r="W552" s="121">
        <f>(VLOOKUP($A552,Pitchers!$A1:$S251,5,FALSE)-AVERAGE(Rankings!AD2:AD651))/STDEV(Rankings!AD2:AD651)*-1</f>
        <v>-1.0563250001542526</v>
      </c>
      <c r="X552" s="121">
        <f>(VLOOKUP($A552,Pitchers!$A1:$S251,6,FALSE)-AVERAGE(Rankings!AE2:AE651))/STDEV(Rankings!AE2:AE651)*-1</f>
        <v>-0.62470706193483005</v>
      </c>
      <c r="Y552" s="121">
        <f>(VLOOKUP($A552,Pitchers!$A1:$S251,7,FALSE)-AVERAGE(Rankings!AF2:AF651))/STDEV(Rankings!AF2:AF651)</f>
        <v>-0.7115989135141515</v>
      </c>
      <c r="Z552" s="121">
        <f>(VLOOKUP($A552,Pitchers!$A1:$S251,8,FALSE)-AVERAGE(Rankings!AG2:AG651))/STDEV(Rankings!AG2:AG651)</f>
        <v>-0.54764960590154121</v>
      </c>
      <c r="AA552" s="121">
        <f>(VLOOKUP($A552,Pitchers!$A1:$S251,9,FALSE)-AVERAGE(Rankings!AH2:AH651))/STDEV(Rankings!AH2:AH651)</f>
        <v>-0.46414446215037364</v>
      </c>
      <c r="AB552" s="121">
        <f>(VLOOKUP($A552,Pitchers!$A1:$S251,10,FALSE)-AVERAGE(Rankings!AI2:AI651))/STDEV(Rankings!AI2:AI651)*-1</f>
        <v>0.31535242012521503</v>
      </c>
      <c r="AC552" s="121">
        <f>(VLOOKUP($A552,Pitchers!$A1:$S251,11,FALSE)-AVERAGE(Rankings!AJ2:AJ651))/STDEV(Rankings!AJ2:AJ651)*-1</f>
        <v>0.41627602280535003</v>
      </c>
      <c r="AD552" s="121">
        <f>(VLOOKUP($A552,Pitchers!$A1:$S251,12,FALSE)-AVERAGE(Rankings!AK2:AK651))/STDEV(Rankings!AK2:AK651)*-1</f>
        <v>0.63997059387291333</v>
      </c>
      <c r="AE552" s="121">
        <f>IFERROR((VLOOKUP($A552,Pitchers!$A1:$S251,13,FALSE)-AVERAGE(Rankings!AL2:AL651))/STDEV(Rankings!AL2:AL651)*-1,0)</f>
        <v>3.3517691512580598E-2</v>
      </c>
      <c r="AF552" s="121">
        <f>(VLOOKUP($A552,Pitchers!$A1:$S251,14,FALSE)-AVERAGE(Rankings!AM2:AM651))/STDEV(Rankings!AM2:AM651)</f>
        <v>-1.5360891709502404</v>
      </c>
      <c r="AG552" s="121">
        <f>(VLOOKUP($A552,Pitchers!$A1:$S251,15,FALSE)-AVERAGE(Rankings!AN2:AN651))/STDEV(Rankings!AN2:AN651)</f>
        <v>-4.9843732083644184E-2</v>
      </c>
      <c r="AH552" s="121">
        <f>(VLOOKUP($A552,Pitchers!$A1:$S251,16,FALSE)-AVERAGE(Rankings!AO2:AO651))/STDEV(Rankings!AO2:AO651)*-1</f>
        <v>0.35227468623698877</v>
      </c>
      <c r="AI552" s="121">
        <f>IFERROR((VLOOKUP($A552,Pitchers!$A1:$S251,17,FALSE)-AVERAGE(Rankings!AP2:AP651))/STDEV(Rankings!AP2:AP651),0)</f>
        <v>-0.12321566752910794</v>
      </c>
      <c r="AJ552" s="121">
        <f>(VLOOKUP($A552,Pitchers!$A1:$S251,18,FALSE)-AVERAGE(Rankings!AQ2:AQ651))/STDEV(Rankings!AQ2:AQ651)</f>
        <v>-0.68467156957913733</v>
      </c>
      <c r="AK552" s="121">
        <f>IFERROR((VLOOKUP($A552,Pitchers!$A1:$S251,19,FALSE)-AVERAGE(Rankings!AR2:AR651))/STDEV(Rankings!AR2:AR651)*-1,0)</f>
        <v>0.47041511698728217</v>
      </c>
    </row>
    <row r="553" spans="1:37" ht="20.100000000000001" customHeight="1">
      <c r="A553" s="25" t="s">
        <v>638</v>
      </c>
      <c r="B553" s="26" t="s">
        <v>260</v>
      </c>
      <c r="C553" s="130" t="s">
        <v>31</v>
      </c>
      <c r="D553" s="67">
        <f>(V553*Settings!$G$2)+(Y553*Settings!$G$5)+(Z553*Settings!$G$6)+(AA553*Settings!$G$7)+(AB553*Settings!$G$8)+(AC553*Settings!$G$9)+(AD553*Settings!$G$10)+(AE553*Settings!$G$11)+(AF553*Settings!$G$12)+(AG553*Settings!$G$13)+(AH553*Settings!$G$14)+(AI553*Settings!$G$15)+(AJ553*Settings!$G$16)+(AK553*Settings!$G$17)+(W553*Settings!$G$3)+(X553*Settings!$G$4)</f>
        <v>-3.9901079930873293</v>
      </c>
      <c r="E553" s="67"/>
      <c r="F553" s="67"/>
      <c r="G553" s="67"/>
      <c r="H553" s="67"/>
      <c r="I553" s="67"/>
      <c r="J553" s="67"/>
      <c r="K553" s="73"/>
      <c r="L553" s="73"/>
      <c r="M553" s="67"/>
      <c r="N553" s="67"/>
      <c r="O553" s="67"/>
      <c r="P553" s="67"/>
      <c r="Q553" s="67"/>
      <c r="R553" s="73"/>
      <c r="S553" s="73"/>
      <c r="T553" s="67"/>
      <c r="U553" s="67"/>
      <c r="V553" s="121">
        <f>(VLOOKUP($A553,Pitchers!$A1:$S251,4,FALSE)-AVERAGE(Rankings!AC2:AC651))/STDEV(Rankings!AC2:AC651)</f>
        <v>-7.0028589068442074E-2</v>
      </c>
      <c r="W553" s="121">
        <f>(VLOOKUP($A553,Pitchers!$A1:$S251,5,FALSE)-AVERAGE(Rankings!AD2:AD651))/STDEV(Rankings!AD2:AD651)*-1</f>
        <v>-1.3661783280213942</v>
      </c>
      <c r="X553" s="121">
        <f>(VLOOKUP($A553,Pitchers!$A1:$S251,6,FALSE)-AVERAGE(Rankings!AE2:AE651))/STDEV(Rankings!AE2:AE651)*-1</f>
        <v>-1.6245795877076676</v>
      </c>
      <c r="Y553" s="121">
        <f>(VLOOKUP($A553,Pitchers!$A1:$S251,7,FALSE)-AVERAGE(Rankings!AF2:AF651))/STDEV(Rankings!AF2:AF651)</f>
        <v>-0.52063492479071838</v>
      </c>
      <c r="Z553" s="121">
        <f>(VLOOKUP($A553,Pitchers!$A1:$S251,8,FALSE)-AVERAGE(Rankings!AG2:AG651))/STDEV(Rankings!AG2:AG651)</f>
        <v>-5.9415565987259798E-2</v>
      </c>
      <c r="AA553" s="121">
        <f>(VLOOKUP($A553,Pitchers!$A1:$S251,9,FALSE)-AVERAGE(Rankings!AH2:AH651))/STDEV(Rankings!AH2:AH651)</f>
        <v>-0.41929958658028921</v>
      </c>
      <c r="AB553" s="121">
        <f>(VLOOKUP($A553,Pitchers!$A1:$S251,10,FALSE)-AVERAGE(Rankings!AI2:AI651))/STDEV(Rankings!AI2:AI651)*-1</f>
        <v>-0.2876109111285105</v>
      </c>
      <c r="AC553" s="121">
        <f>(VLOOKUP($A553,Pitchers!$A1:$S251,11,FALSE)-AVERAGE(Rankings!AJ2:AJ651))/STDEV(Rankings!AJ2:AJ651)*-1</f>
        <v>-5.8258151847355728E-2</v>
      </c>
      <c r="AD553" s="121">
        <f>(VLOOKUP($A553,Pitchers!$A1:$S251,12,FALSE)-AVERAGE(Rankings!AK2:AK651))/STDEV(Rankings!AK2:AK651)*-1</f>
        <v>-0.75976128316788383</v>
      </c>
      <c r="AE553" s="121">
        <f>IFERROR((VLOOKUP($A553,Pitchers!$A1:$S251,13,FALSE)-AVERAGE(Rankings!AL2:AL651))/STDEV(Rankings!AL2:AL651)*-1,0)</f>
        <v>-0.23249573319043931</v>
      </c>
      <c r="AF553" s="121">
        <f>(VLOOKUP($A553,Pitchers!$A1:$S251,14,FALSE)-AVERAGE(Rankings!AM2:AM651))/STDEV(Rankings!AM2:AM651)</f>
        <v>-0.75121915247347393</v>
      </c>
      <c r="AG553" s="121">
        <f>(VLOOKUP($A553,Pitchers!$A1:$S251,15,FALSE)-AVERAGE(Rankings!AN2:AN651))/STDEV(Rankings!AN2:AN651)</f>
        <v>0.19689198782684569</v>
      </c>
      <c r="AH553" s="121">
        <f>(VLOOKUP($A553,Pitchers!$A1:$S251,16,FALSE)-AVERAGE(Rankings!AO2:AO651))/STDEV(Rankings!AO2:AO651)*-1</f>
        <v>-0.43058578488418325</v>
      </c>
      <c r="AI553" s="121">
        <f>IFERROR((VLOOKUP($A553,Pitchers!$A1:$S251,17,FALSE)-AVERAGE(Rankings!AP2:AP651))/STDEV(Rankings!AP2:AP651),0)</f>
        <v>0.30660642850266379</v>
      </c>
      <c r="AJ553" s="121">
        <f>(VLOOKUP($A553,Pitchers!$A1:$S251,18,FALSE)-AVERAGE(Rankings!AQ2:AQ651))/STDEV(Rankings!AQ2:AQ651)</f>
        <v>-0.28308375658414087</v>
      </c>
      <c r="AK553" s="121">
        <f>IFERROR((VLOOKUP($A553,Pitchers!$A1:$S251,19,FALSE)-AVERAGE(Rankings!AR2:AR651))/STDEV(Rankings!AR2:AR651)*-1,0)</f>
        <v>0.47041511698728217</v>
      </c>
    </row>
    <row r="554" spans="1:37" ht="20.100000000000001" customHeight="1">
      <c r="A554" s="25" t="s">
        <v>682</v>
      </c>
      <c r="B554" s="26" t="s">
        <v>122</v>
      </c>
      <c r="C554" s="130" t="s">
        <v>31</v>
      </c>
      <c r="D554" s="67">
        <f>(V554*Settings!$G$2)+(Y554*Settings!$G$5)+(Z554*Settings!$G$6)+(AA554*Settings!$G$7)+(AB554*Settings!$G$8)+(AC554*Settings!$G$9)+(AD554*Settings!$G$10)+(AE554*Settings!$G$11)+(AF554*Settings!$G$12)+(AG554*Settings!$G$13)+(AH554*Settings!$G$14)+(AI554*Settings!$G$15)+(AJ554*Settings!$G$16)+(AK554*Settings!$G$17)+(W554*Settings!$G$3)+(X554*Settings!$G$4)</f>
        <v>-4.7475379987080952</v>
      </c>
      <c r="E554" s="67"/>
      <c r="F554" s="67"/>
      <c r="G554" s="67"/>
      <c r="H554" s="67"/>
      <c r="I554" s="67"/>
      <c r="J554" s="67"/>
      <c r="K554" s="73"/>
      <c r="L554" s="73"/>
      <c r="M554" s="67"/>
      <c r="N554" s="67"/>
      <c r="O554" s="67"/>
      <c r="P554" s="67"/>
      <c r="Q554" s="67"/>
      <c r="R554" s="73"/>
      <c r="S554" s="73"/>
      <c r="T554" s="67"/>
      <c r="U554" s="67"/>
      <c r="V554" s="121">
        <f>(VLOOKUP($A554,Pitchers!$A1:$S251,4,FALSE)-AVERAGE(Rankings!AC2:AC651))/STDEV(Rankings!AC2:AC651)</f>
        <v>0.45362087921989985</v>
      </c>
      <c r="W554" s="121">
        <f>(VLOOKUP($A554,Pitchers!$A1:$S251,5,FALSE)-AVERAGE(Rankings!AD2:AD651))/STDEV(Rankings!AD2:AD651)*-1</f>
        <v>-1.8229268843779849</v>
      </c>
      <c r="X554" s="121">
        <f>(VLOOKUP($A554,Pitchers!$A1:$S251,6,FALSE)-AVERAGE(Rankings!AE2:AE651))/STDEV(Rankings!AE2:AE651)*-1</f>
        <v>-2.0301195550720754</v>
      </c>
      <c r="Y554" s="121">
        <f>(VLOOKUP($A554,Pitchers!$A1:$S251,7,FALSE)-AVERAGE(Rankings!AF2:AF651))/STDEV(Rankings!AF2:AF651)</f>
        <v>-0.20986463135486527</v>
      </c>
      <c r="Z554" s="121">
        <f>(VLOOKUP($A554,Pitchers!$A1:$S251,8,FALSE)-AVERAGE(Rankings!AG2:AG651))/STDEV(Rankings!AG2:AG651)</f>
        <v>-0.22048246575279565</v>
      </c>
      <c r="AA554" s="121">
        <f>(VLOOKUP($A554,Pitchers!$A1:$S251,9,FALSE)-AVERAGE(Rankings!AH2:AH651))/STDEV(Rankings!AH2:AH651)</f>
        <v>-0.46414446215037364</v>
      </c>
      <c r="AB554" s="121">
        <f>(VLOOKUP($A554,Pitchers!$A1:$S251,10,FALSE)-AVERAGE(Rankings!AI2:AI651))/STDEV(Rankings!AI2:AI651)*-1</f>
        <v>-0.99945993249059006</v>
      </c>
      <c r="AC554" s="121">
        <f>(VLOOKUP($A554,Pitchers!$A1:$S251,11,FALSE)-AVERAGE(Rankings!AJ2:AJ651))/STDEV(Rankings!AJ2:AJ651)*-1</f>
        <v>-0.7592179963530763</v>
      </c>
      <c r="AD554" s="121">
        <f>(VLOOKUP($A554,Pitchers!$A1:$S251,12,FALSE)-AVERAGE(Rankings!AK2:AK651))/STDEV(Rankings!AK2:AK651)*-1</f>
        <v>-1.2381352115026636</v>
      </c>
      <c r="AE554" s="121">
        <f>IFERROR((VLOOKUP($A554,Pitchers!$A1:$S251,13,FALSE)-AVERAGE(Rankings!AL2:AL651))/STDEV(Rankings!AL2:AL651)*-1,0)</f>
        <v>-0.36550244554194927</v>
      </c>
      <c r="AF554" s="121">
        <f>(VLOOKUP($A554,Pitchers!$A1:$S251,14,FALSE)-AVERAGE(Rankings!AM2:AM651))/STDEV(Rankings!AM2:AM651)</f>
        <v>-0.85586848827037598</v>
      </c>
      <c r="AG554" s="121">
        <f>(VLOOKUP($A554,Pitchers!$A1:$S251,15,FALSE)-AVERAGE(Rankings!AN2:AN651))/STDEV(Rankings!AN2:AN651)</f>
        <v>0.79944658802930546</v>
      </c>
      <c r="AH554" s="121">
        <f>(VLOOKUP($A554,Pitchers!$A1:$S251,16,FALSE)-AVERAGE(Rankings!AO2:AO651))/STDEV(Rankings!AO2:AO651)*-1</f>
        <v>-0.88151341624997881</v>
      </c>
      <c r="AI554" s="121">
        <f>IFERROR((VLOOKUP($A554,Pitchers!$A1:$S251,17,FALSE)-AVERAGE(Rankings!AP2:AP651))/STDEV(Rankings!AP2:AP651),0)</f>
        <v>-0.12321566752910794</v>
      </c>
      <c r="AJ554" s="121">
        <f>(VLOOKUP($A554,Pitchers!$A1:$S251,18,FALSE)-AVERAGE(Rankings!AQ2:AQ651))/STDEV(Rankings!AQ2:AQ651)</f>
        <v>-0.68467156957913733</v>
      </c>
      <c r="AK554" s="121">
        <f>IFERROR((VLOOKUP($A554,Pitchers!$A1:$S251,19,FALSE)-AVERAGE(Rankings!AR2:AR651))/STDEV(Rankings!AR2:AR651)*-1,0)</f>
        <v>0.47041511698728217</v>
      </c>
    </row>
    <row r="555" spans="1:37" ht="20.100000000000001" customHeight="1">
      <c r="A555" s="25" t="s">
        <v>591</v>
      </c>
      <c r="B555" s="26" t="s">
        <v>72</v>
      </c>
      <c r="C555" s="130" t="s">
        <v>31</v>
      </c>
      <c r="D555" s="67">
        <f>(V555*Settings!$G$2)+(Y555*Settings!$G$5)+(Z555*Settings!$G$6)+(AA555*Settings!$G$7)+(AB555*Settings!$G$8)+(AC555*Settings!$G$9)+(AD555*Settings!$G$10)+(AE555*Settings!$G$11)+(AF555*Settings!$G$12)+(AG555*Settings!$G$13)+(AH555*Settings!$G$14)+(AI555*Settings!$G$15)+(AJ555*Settings!$G$16)+(AK555*Settings!$G$17)+(W555*Settings!$G$3)+(X555*Settings!$G$4)</f>
        <v>-3.374852134751519</v>
      </c>
      <c r="E555" s="67"/>
      <c r="F555" s="67"/>
      <c r="G555" s="67"/>
      <c r="H555" s="67"/>
      <c r="I555" s="67"/>
      <c r="J555" s="67"/>
      <c r="K555" s="73"/>
      <c r="L555" s="73"/>
      <c r="M555" s="67"/>
      <c r="N555" s="67"/>
      <c r="O555" s="67"/>
      <c r="P555" s="67"/>
      <c r="Q555" s="67"/>
      <c r="R555" s="73"/>
      <c r="S555" s="73"/>
      <c r="T555" s="67"/>
      <c r="U555" s="67"/>
      <c r="V555" s="121">
        <f>(VLOOKUP($A555,Pitchers!$A1:$S251,4,FALSE)-AVERAGE(Rankings!AC2:AC651))/STDEV(Rankings!AC2:AC651)</f>
        <v>-0.14695283710540857</v>
      </c>
      <c r="W555" s="121">
        <f>(VLOOKUP($A555,Pitchers!$A1:$S251,5,FALSE)-AVERAGE(Rankings!AD2:AD651))/STDEV(Rankings!AD2:AD651)*-1</f>
        <v>-0.74180639557303629</v>
      </c>
      <c r="X555" s="121">
        <f>(VLOOKUP($A555,Pitchers!$A1:$S251,6,FALSE)-AVERAGE(Rankings!AE2:AE651))/STDEV(Rankings!AE2:AE651)*-1</f>
        <v>-1.2126853857695499</v>
      </c>
      <c r="Y555" s="121">
        <f>(VLOOKUP($A555,Pitchers!$A1:$S251,7,FALSE)-AVERAGE(Rankings!AF2:AF651))/STDEV(Rankings!AF2:AF651)</f>
        <v>-0.78057830107584769</v>
      </c>
      <c r="Z555" s="121">
        <f>(VLOOKUP($A555,Pitchers!$A1:$S251,8,FALSE)-AVERAGE(Rankings!AG2:AG651))/STDEV(Rankings!AG2:AG651)</f>
        <v>-0.22048246575279565</v>
      </c>
      <c r="AA555" s="121">
        <f>(VLOOKUP($A555,Pitchers!$A1:$S251,9,FALSE)-AVERAGE(Rankings!AH2:AH651))/STDEV(Rankings!AH2:AH651)</f>
        <v>-0.41929958658028921</v>
      </c>
      <c r="AB555" s="121">
        <f>(VLOOKUP($A555,Pitchers!$A1:$S251,10,FALSE)-AVERAGE(Rankings!AI2:AI651))/STDEV(Rankings!AI2:AI651)*-1</f>
        <v>-3.370948396645522E-2</v>
      </c>
      <c r="AC555" s="121">
        <f>(VLOOKUP($A555,Pitchers!$A1:$S251,11,FALSE)-AVERAGE(Rankings!AJ2:AJ651))/STDEV(Rankings!AJ2:AJ651)*-1</f>
        <v>-0.12792758872520649</v>
      </c>
      <c r="AD555" s="121">
        <f>(VLOOKUP($A555,Pitchers!$A1:$S251,12,FALSE)-AVERAGE(Rankings!AK2:AK651))/STDEV(Rankings!AK2:AK651)*-1</f>
        <v>0.1603763238842181</v>
      </c>
      <c r="AE555" s="121">
        <f>IFERROR((VLOOKUP($A555,Pitchers!$A1:$S251,13,FALSE)-AVERAGE(Rankings!AL2:AL651))/STDEV(Rankings!AL2:AL651)*-1,0)</f>
        <v>3.3517691512580598E-2</v>
      </c>
      <c r="AF555" s="121">
        <f>(VLOOKUP($A555,Pitchers!$A1:$S251,14,FALSE)-AVERAGE(Rankings!AM2:AM651))/STDEV(Rankings!AM2:AM651)</f>
        <v>-0.169107222103205</v>
      </c>
      <c r="AG555" s="121">
        <f>(VLOOKUP($A555,Pitchers!$A1:$S251,15,FALSE)-AVERAGE(Rankings!AN2:AN651))/STDEV(Rankings!AN2:AN651)</f>
        <v>-0.23424621749043131</v>
      </c>
      <c r="AH555" s="121">
        <f>(VLOOKUP($A555,Pitchers!$A1:$S251,16,FALSE)-AVERAGE(Rankings!AO2:AO651))/STDEV(Rankings!AO2:AO651)*-1</f>
        <v>5.7919149095428092E-2</v>
      </c>
      <c r="AI555" s="121">
        <f>IFERROR((VLOOKUP($A555,Pitchers!$A1:$S251,17,FALSE)-AVERAGE(Rankings!AP2:AP651))/STDEV(Rankings!AP2:AP651),0)</f>
        <v>-0.69631179557147027</v>
      </c>
      <c r="AJ555" s="121">
        <f>(VLOOKUP($A555,Pitchers!$A1:$S251,18,FALSE)-AVERAGE(Rankings!AQ2:AQ651))/STDEV(Rankings!AQ2:AQ651)</f>
        <v>-0.52403644438113872</v>
      </c>
      <c r="AK555" s="121">
        <f>IFERROR((VLOOKUP($A555,Pitchers!$A1:$S251,19,FALSE)-AVERAGE(Rankings!AR2:AR651))/STDEV(Rankings!AR2:AR651)*-1,0)</f>
        <v>0.47041511698728217</v>
      </c>
    </row>
    <row r="556" spans="1:37" ht="20.100000000000001" customHeight="1">
      <c r="A556" s="25" t="s">
        <v>614</v>
      </c>
      <c r="B556" s="26" t="s">
        <v>260</v>
      </c>
      <c r="C556" s="130" t="s">
        <v>31</v>
      </c>
      <c r="D556" s="67">
        <f>(V556*Settings!$G$2)+(Y556*Settings!$G$5)+(Z556*Settings!$G$6)+(AA556*Settings!$G$7)+(AB556*Settings!$G$8)+(AC556*Settings!$G$9)+(AD556*Settings!$G$10)+(AE556*Settings!$G$11)+(AF556*Settings!$G$12)+(AG556*Settings!$G$13)+(AH556*Settings!$G$14)+(AI556*Settings!$G$15)+(AJ556*Settings!$G$16)+(AK556*Settings!$G$17)+(W556*Settings!$G$3)+(X556*Settings!$G$4)</f>
        <v>-3.6255050611570909</v>
      </c>
      <c r="E556" s="67"/>
      <c r="F556" s="67"/>
      <c r="G556" s="67"/>
      <c r="H556" s="67"/>
      <c r="I556" s="67"/>
      <c r="J556" s="67"/>
      <c r="K556" s="73"/>
      <c r="L556" s="73"/>
      <c r="M556" s="67"/>
      <c r="N556" s="67"/>
      <c r="O556" s="67"/>
      <c r="P556" s="67"/>
      <c r="Q556" s="67"/>
      <c r="R556" s="73"/>
      <c r="S556" s="73"/>
      <c r="T556" s="67"/>
      <c r="U556" s="67"/>
      <c r="V556" s="121">
        <f>(VLOOKUP($A556,Pitchers!$A1:$S251,4,FALSE)-AVERAGE(Rankings!AC2:AC651))/STDEV(Rankings!AC2:AC651)</f>
        <v>-0.36290531324588388</v>
      </c>
      <c r="W556" s="121">
        <f>(VLOOKUP($A556,Pitchers!$A1:$S251,5,FALSE)-AVERAGE(Rankings!AD2:AD651))/STDEV(Rankings!AD2:AD651)*-1</f>
        <v>-0.66490946178437837</v>
      </c>
      <c r="X556" s="121">
        <f>(VLOOKUP($A556,Pitchers!$A1:$S251,6,FALSE)-AVERAGE(Rankings!AE2:AE651))/STDEV(Rankings!AE2:AE651)*-1</f>
        <v>-1.2977507585109205</v>
      </c>
      <c r="Y556" s="121">
        <f>(VLOOKUP($A556,Pitchers!$A1:$S251,7,FALSE)-AVERAGE(Rankings!AF2:AF651))/STDEV(Rankings!AF2:AF651)</f>
        <v>-0.6963508383689343</v>
      </c>
      <c r="Z556" s="121">
        <f>(VLOOKUP($A556,Pitchers!$A1:$S251,8,FALSE)-AVERAGE(Rankings!AG2:AG651))/STDEV(Rankings!AG2:AG651)</f>
        <v>-0.50234954034248425</v>
      </c>
      <c r="AA556" s="121">
        <f>(VLOOKUP($A556,Pitchers!$A1:$S251,9,FALSE)-AVERAGE(Rankings!AH2:AH651))/STDEV(Rankings!AH2:AH651)</f>
        <v>-0.46414446215037364</v>
      </c>
      <c r="AB556" s="121">
        <f>(VLOOKUP($A556,Pitchers!$A1:$S251,10,FALSE)-AVERAGE(Rankings!AI2:AI651))/STDEV(Rankings!AI2:AI651)*-1</f>
        <v>0.19628544496742384</v>
      </c>
      <c r="AC556" s="121">
        <f>(VLOOKUP($A556,Pitchers!$A1:$S251,11,FALSE)-AVERAGE(Rankings!AJ2:AJ651))/STDEV(Rankings!AJ2:AJ651)*-1</f>
        <v>0.1528828966498032</v>
      </c>
      <c r="AD556" s="121">
        <f>(VLOOKUP($A556,Pitchers!$A1:$S251,12,FALSE)-AVERAGE(Rankings!AK2:AK651))/STDEV(Rankings!AK2:AK651)*-1</f>
        <v>0.13474914915199765</v>
      </c>
      <c r="AE556" s="121">
        <f>IFERROR((VLOOKUP($A556,Pitchers!$A1:$S251,13,FALSE)-AVERAGE(Rankings!AL2:AL651))/STDEV(Rankings!AL2:AL651)*-1,0)</f>
        <v>0.29953111621560052</v>
      </c>
      <c r="AF556" s="121">
        <f>(VLOOKUP($A556,Pitchers!$A1:$S251,14,FALSE)-AVERAGE(Rankings!AM2:AM651))/STDEV(Rankings!AM2:AM651)</f>
        <v>-0.76757061119173964</v>
      </c>
      <c r="AG556" s="121">
        <f>(VLOOKUP($A556,Pitchers!$A1:$S251,15,FALSE)-AVERAGE(Rankings!AN2:AN651))/STDEV(Rankings!AN2:AN651)</f>
        <v>0.43713466247653349</v>
      </c>
      <c r="AH556" s="121">
        <f>(VLOOKUP($A556,Pitchers!$A1:$S251,16,FALSE)-AVERAGE(Rankings!AO2:AO651))/STDEV(Rankings!AO2:AO651)*-1</f>
        <v>-0.54958057649460168</v>
      </c>
      <c r="AI556" s="121">
        <f>IFERROR((VLOOKUP($A556,Pitchers!$A1:$S251,17,FALSE)-AVERAGE(Rankings!AP2:AP651))/STDEV(Rankings!AP2:AP651),0)</f>
        <v>0.16333239649207321</v>
      </c>
      <c r="AJ556" s="121">
        <f>(VLOOKUP($A556,Pitchers!$A1:$S251,18,FALSE)-AVERAGE(Rankings!AQ2:AQ651))/STDEV(Rankings!AQ2:AQ651)</f>
        <v>-0.68467156957913733</v>
      </c>
      <c r="AK556" s="121">
        <f>IFERROR((VLOOKUP($A556,Pitchers!$A1:$S251,19,FALSE)-AVERAGE(Rankings!AR2:AR651))/STDEV(Rankings!AR2:AR651)*-1,0)</f>
        <v>0.47041511698728217</v>
      </c>
    </row>
    <row r="557" spans="1:37" ht="20.100000000000001" customHeight="1">
      <c r="A557" s="25" t="s">
        <v>623</v>
      </c>
      <c r="B557" s="26" t="s">
        <v>87</v>
      </c>
      <c r="C557" s="130" t="s">
        <v>31</v>
      </c>
      <c r="D557" s="67">
        <f>(V557*Settings!$G$2)+(Y557*Settings!$G$5)+(Z557*Settings!$G$6)+(AA557*Settings!$G$7)+(AB557*Settings!$G$8)+(AC557*Settings!$G$9)+(AD557*Settings!$G$10)+(AE557*Settings!$G$11)+(AF557*Settings!$G$12)+(AG557*Settings!$G$13)+(AH557*Settings!$G$14)+(AI557*Settings!$G$15)+(AJ557*Settings!$G$16)+(AK557*Settings!$G$17)+(W557*Settings!$G$3)+(X557*Settings!$G$4)</f>
        <v>-3.7235041249341423</v>
      </c>
      <c r="E557" s="67"/>
      <c r="F557" s="67"/>
      <c r="G557" s="67"/>
      <c r="H557" s="67"/>
      <c r="I557" s="67"/>
      <c r="J557" s="67"/>
      <c r="K557" s="73"/>
      <c r="L557" s="73"/>
      <c r="M557" s="67"/>
      <c r="N557" s="67"/>
      <c r="O557" s="67"/>
      <c r="P557" s="67"/>
      <c r="Q557" s="67"/>
      <c r="R557" s="73"/>
      <c r="S557" s="73"/>
      <c r="T557" s="67"/>
      <c r="U557" s="67"/>
      <c r="V557" s="121">
        <f>(VLOOKUP($A557,Pitchers!$A1:$S251,4,FALSE)-AVERAGE(Rankings!AC2:AC651))/STDEV(Rankings!AC2:AC651)</f>
        <v>-0.47582164063959631</v>
      </c>
      <c r="W557" s="121">
        <f>(VLOOKUP($A557,Pitchers!$A1:$S251,5,FALSE)-AVERAGE(Rankings!AD2:AD651))/STDEV(Rankings!AD2:AD651)*-1</f>
        <v>-1.1053309078248676</v>
      </c>
      <c r="X557" s="121">
        <f>(VLOOKUP($A557,Pitchers!$A1:$S251,6,FALSE)-AVERAGE(Rankings!AE2:AE651))/STDEV(Rankings!AE2:AE651)*-1</f>
        <v>-0.70089083574572331</v>
      </c>
      <c r="Y557" s="121">
        <f>(VLOOKUP($A557,Pitchers!$A1:$S251,7,FALSE)-AVERAGE(Rankings!AF2:AF651))/STDEV(Rankings!AF2:AF651)</f>
        <v>-0.7595214353991192</v>
      </c>
      <c r="Z557" s="121">
        <f>(VLOOKUP($A557,Pitchers!$A1:$S251,8,FALSE)-AVERAGE(Rankings!AG2:AG651))/STDEV(Rankings!AG2:AG651)</f>
        <v>-0.69361648381405827</v>
      </c>
      <c r="AA557" s="121">
        <f>(VLOOKUP($A557,Pitchers!$A1:$S251,9,FALSE)-AVERAGE(Rankings!AH2:AH651))/STDEV(Rankings!AH2:AH651)</f>
        <v>-0.46414446215037364</v>
      </c>
      <c r="AB557" s="121">
        <f>(VLOOKUP($A557,Pitchers!$A1:$S251,10,FALSE)-AVERAGE(Rankings!AI2:AI651))/STDEV(Rankings!AI2:AI651)*-1</f>
        <v>0.20136107084752655</v>
      </c>
      <c r="AC557" s="121">
        <f>(VLOOKUP($A557,Pitchers!$A1:$S251,11,FALSE)-AVERAGE(Rankings!AJ2:AJ651))/STDEV(Rankings!AJ2:AJ651)*-1</f>
        <v>0.27373804225423781</v>
      </c>
      <c r="AD557" s="121">
        <f>(VLOOKUP($A557,Pitchers!$A1:$S251,12,FALSE)-AVERAGE(Rankings!AK2:AK651))/STDEV(Rankings!AK2:AK651)*-1</f>
        <v>0.63386888560333687</v>
      </c>
      <c r="AE557" s="121">
        <f>IFERROR((VLOOKUP($A557,Pitchers!$A1:$S251,13,FALSE)-AVERAGE(Rankings!AL2:AL651))/STDEV(Rankings!AL2:AL651)*-1,0)</f>
        <v>0.43253782856711048</v>
      </c>
      <c r="AF557" s="121">
        <f>(VLOOKUP($A557,Pitchers!$A1:$S251,14,FALSE)-AVERAGE(Rankings!AM2:AM651))/STDEV(Rankings!AM2:AM651)</f>
        <v>0.31271576146169916</v>
      </c>
      <c r="AG557" s="121">
        <f>(VLOOKUP($A557,Pitchers!$A1:$S251,15,FALSE)-AVERAGE(Rankings!AN2:AN651))/STDEV(Rankings!AN2:AN651)</f>
        <v>-0.48098193740092132</v>
      </c>
      <c r="AH557" s="121">
        <f>(VLOOKUP($A557,Pitchers!$A1:$S251,16,FALSE)-AVERAGE(Rankings!AO2:AO651))/STDEV(Rankings!AO2:AO651)*-1</f>
        <v>0.38358910508183552</v>
      </c>
      <c r="AI557" s="121">
        <f>IFERROR((VLOOKUP($A557,Pitchers!$A1:$S251,17,FALSE)-AVERAGE(Rankings!AP2:AP651))/STDEV(Rankings!AP2:AP651),0)</f>
        <v>-0.8395858275820608</v>
      </c>
      <c r="AJ557" s="121">
        <f>(VLOOKUP($A557,Pitchers!$A1:$S251,18,FALSE)-AVERAGE(Rankings!AQ2:AQ651))/STDEV(Rankings!AQ2:AQ651)</f>
        <v>-0.20276619398514159</v>
      </c>
      <c r="AK557" s="121">
        <f>IFERROR((VLOOKUP($A557,Pitchers!$A1:$S251,19,FALSE)-AVERAGE(Rankings!AR2:AR651))/STDEV(Rankings!AR2:AR651)*-1,0)</f>
        <v>0.47041511698728217</v>
      </c>
    </row>
    <row r="558" spans="1:37" ht="20.100000000000001" customHeight="1">
      <c r="A558" s="25" t="s">
        <v>662</v>
      </c>
      <c r="B558" s="26" t="s">
        <v>87</v>
      </c>
      <c r="C558" s="130" t="s">
        <v>31</v>
      </c>
      <c r="D558" s="67">
        <f>(V558*Settings!$G$2)+(Y558*Settings!$G$5)+(Z558*Settings!$G$6)+(AA558*Settings!$G$7)+(AB558*Settings!$G$8)+(AC558*Settings!$G$9)+(AD558*Settings!$G$10)+(AE558*Settings!$G$11)+(AF558*Settings!$G$12)+(AG558*Settings!$G$13)+(AH558*Settings!$G$14)+(AI558*Settings!$G$15)+(AJ558*Settings!$G$16)+(AK558*Settings!$G$17)+(W558*Settings!$G$3)+(X558*Settings!$G$4)</f>
        <v>-4.470627885800929</v>
      </c>
      <c r="E558" s="67"/>
      <c r="F558" s="67"/>
      <c r="G558" s="67"/>
      <c r="H558" s="67"/>
      <c r="I558" s="67"/>
      <c r="J558" s="67"/>
      <c r="K558" s="73"/>
      <c r="L558" s="73"/>
      <c r="M558" s="67"/>
      <c r="N558" s="67"/>
      <c r="O558" s="67"/>
      <c r="P558" s="67"/>
      <c r="Q558" s="67"/>
      <c r="R558" s="73"/>
      <c r="S558" s="73"/>
      <c r="T558" s="67"/>
      <c r="U558" s="67"/>
      <c r="V558" s="121">
        <f>(VLOOKUP($A558,Pitchers!$A1:$S251,4,FALSE)-AVERAGE(Rankings!AC2:AC651))/STDEV(Rankings!AC2:AC651)</f>
        <v>-0.26833788905364958</v>
      </c>
      <c r="W558" s="121">
        <f>(VLOOKUP($A558,Pitchers!$A1:$S251,5,FALSE)-AVERAGE(Rankings!AD2:AD651))/STDEV(Rankings!AD2:AD651)*-1</f>
        <v>-1.0362237225026116</v>
      </c>
      <c r="X558" s="121">
        <f>(VLOOKUP($A558,Pitchers!$A1:$S251,6,FALSE)-AVERAGE(Rankings!AE2:AE651))/STDEV(Rankings!AE2:AE651)*-1</f>
        <v>-1.6975539137379621</v>
      </c>
      <c r="Y558" s="121">
        <f>(VLOOKUP($A558,Pitchers!$A1:$S251,7,FALSE)-AVERAGE(Rankings!AF2:AF651))/STDEV(Rankings!AF2:AF651)</f>
        <v>-0.46835581000711712</v>
      </c>
      <c r="Z558" s="121">
        <f>(VLOOKUP($A558,Pitchers!$A1:$S251,8,FALSE)-AVERAGE(Rankings!AG2:AG651))/STDEV(Rankings!AG2:AG651)</f>
        <v>-0.80434997740286429</v>
      </c>
      <c r="AA558" s="121">
        <f>(VLOOKUP($A558,Pitchers!$A1:$S251,9,FALSE)-AVERAGE(Rankings!AH2:AH651))/STDEV(Rankings!AH2:AH651)</f>
        <v>-0.46414446215037364</v>
      </c>
      <c r="AB558" s="121">
        <f>(VLOOKUP($A558,Pitchers!$A1:$S251,10,FALSE)-AVERAGE(Rankings!AI2:AI651))/STDEV(Rankings!AI2:AI651)*-1</f>
        <v>7.6463553051495294E-3</v>
      </c>
      <c r="AC558" s="121">
        <f>(VLOOKUP($A558,Pitchers!$A1:$S251,11,FALSE)-AVERAGE(Rankings!AJ2:AJ651))/STDEV(Rankings!AJ2:AJ651)*-1</f>
        <v>5.0130714396714841E-3</v>
      </c>
      <c r="AD558" s="121">
        <f>(VLOOKUP($A558,Pitchers!$A1:$S251,12,FALSE)-AVERAGE(Rankings!AK2:AK651))/STDEV(Rankings!AK2:AK651)*-1</f>
        <v>-8.6132690206663434E-2</v>
      </c>
      <c r="AE558" s="121">
        <f>IFERROR((VLOOKUP($A558,Pitchers!$A1:$S251,13,FALSE)-AVERAGE(Rankings!AL2:AL651))/STDEV(Rankings!AL2:AL651)*-1,0)</f>
        <v>0.96456467797315026</v>
      </c>
      <c r="AF558" s="121">
        <f>(VLOOKUP($A558,Pitchers!$A1:$S251,14,FALSE)-AVERAGE(Rankings!AM2:AM651))/STDEV(Rankings!AM2:AM651)</f>
        <v>-9.2800414751297258E-2</v>
      </c>
      <c r="AG558" s="121">
        <f>(VLOOKUP($A558,Pitchers!$A1:$S251,15,FALSE)-AVERAGE(Rankings!AN2:AN651))/STDEV(Rankings!AN2:AN651)</f>
        <v>-0.22385734507314756</v>
      </c>
      <c r="AH558" s="121">
        <f>(VLOOKUP($A558,Pitchers!$A1:$S251,16,FALSE)-AVERAGE(Rankings!AO2:AO651))/STDEV(Rankings!AO2:AO651)*-1</f>
        <v>0.32096026739214167</v>
      </c>
      <c r="AI558" s="121">
        <f>IFERROR((VLOOKUP($A558,Pitchers!$A1:$S251,17,FALSE)-AVERAGE(Rankings!AP2:AP651))/STDEV(Rankings!AP2:AP651),0)</f>
        <v>-0.69631179557147027</v>
      </c>
      <c r="AJ558" s="121">
        <f>(VLOOKUP($A558,Pitchers!$A1:$S251,18,FALSE)-AVERAGE(Rankings!AQ2:AQ651))/STDEV(Rankings!AQ2:AQ651)</f>
        <v>-0.28308375658414087</v>
      </c>
      <c r="AK558" s="121">
        <f>IFERROR((VLOOKUP($A558,Pitchers!$A1:$S251,19,FALSE)-AVERAGE(Rankings!AR2:AR651))/STDEV(Rankings!AR2:AR651)*-1,0)</f>
        <v>0.47041511698728217</v>
      </c>
    </row>
    <row r="559" spans="1:37" ht="20.100000000000001" customHeight="1">
      <c r="A559" s="25" t="s">
        <v>501</v>
      </c>
      <c r="B559" s="26" t="s">
        <v>77</v>
      </c>
      <c r="C559" s="130" t="s">
        <v>31</v>
      </c>
      <c r="D559" s="67">
        <f>(V559*Settings!$G$2)+(Y559*Settings!$G$5)+(Z559*Settings!$G$6)+(AA559*Settings!$G$7)+(AB559*Settings!$G$8)+(AC559*Settings!$G$9)+(AD559*Settings!$G$10)+(AE559*Settings!$G$11)+(AF559*Settings!$G$12)+(AG559*Settings!$G$13)+(AH559*Settings!$G$14)+(AI559*Settings!$G$15)+(AJ559*Settings!$G$16)+(AK559*Settings!$G$17)+(W559*Settings!$G$3)+(X559*Settings!$G$4)</f>
        <v>-2.3279089571379412</v>
      </c>
      <c r="E559" s="67"/>
      <c r="F559" s="67"/>
      <c r="G559" s="67"/>
      <c r="H559" s="67"/>
      <c r="I559" s="67"/>
      <c r="J559" s="67"/>
      <c r="K559" s="73"/>
      <c r="L559" s="73"/>
      <c r="M559" s="67"/>
      <c r="N559" s="67"/>
      <c r="O559" s="67"/>
      <c r="P559" s="67"/>
      <c r="Q559" s="67"/>
      <c r="R559" s="73"/>
      <c r="S559" s="73"/>
      <c r="T559" s="67"/>
      <c r="U559" s="67"/>
      <c r="V559" s="121">
        <f>(VLOOKUP($A559,Pitchers!$A1:$S251,4,FALSE)-AVERAGE(Rankings!AC2:AC651))/STDEV(Rankings!AC2:AC651)</f>
        <v>-1.3791522597892965</v>
      </c>
      <c r="W559" s="121">
        <f>(VLOOKUP($A559,Pitchers!$A1:$S251,5,FALSE)-AVERAGE(Rankings!AD2:AD651))/STDEV(Rankings!AD2:AD651)*-1</f>
        <v>1.0415972802982909</v>
      </c>
      <c r="X559" s="121">
        <f>(VLOOKUP($A559,Pitchers!$A1:$S251,6,FALSE)-AVERAGE(Rankings!AE2:AE651))/STDEV(Rankings!AE2:AE651)*-1</f>
        <v>-0.22146581771749502</v>
      </c>
      <c r="Y559" s="121">
        <f>(VLOOKUP($A559,Pitchers!$A1:$S251,7,FALSE)-AVERAGE(Rankings!AF2:AF651))/STDEV(Rankings!AF2:AF651)</f>
        <v>-1.3258785122214687</v>
      </c>
      <c r="Z559" s="121">
        <f>(VLOOKUP($A559,Pitchers!$A1:$S251,8,FALSE)-AVERAGE(Rankings!AG2:AG651))/STDEV(Rankings!AG2:AG651)</f>
        <v>-1.3580174453468949</v>
      </c>
      <c r="AA559" s="121">
        <f>(VLOOKUP($A559,Pitchers!$A1:$S251,9,FALSE)-AVERAGE(Rankings!AH2:AH651))/STDEV(Rankings!AH2:AH651)</f>
        <v>-0.46414446215037364</v>
      </c>
      <c r="AB559" s="121">
        <f>(VLOOKUP($A559,Pitchers!$A1:$S251,10,FALSE)-AVERAGE(Rankings!AI2:AI651))/STDEV(Rankings!AI2:AI651)*-1</f>
        <v>1.3910096905915712</v>
      </c>
      <c r="AC559" s="121">
        <f>(VLOOKUP($A559,Pitchers!$A1:$S251,11,FALSE)-AVERAGE(Rankings!AJ2:AJ651))/STDEV(Rankings!AJ2:AJ651)*-1</f>
        <v>1.3123813818311718</v>
      </c>
      <c r="AD559" s="121">
        <f>(VLOOKUP($A559,Pitchers!$A1:$S251,12,FALSE)-AVERAGE(Rankings!AK2:AK651))/STDEV(Rankings!AK2:AK651)*-1</f>
        <v>1.2464803958687951</v>
      </c>
      <c r="AE559" s="121">
        <f>IFERROR((VLOOKUP($A559,Pitchers!$A1:$S251,13,FALSE)-AVERAGE(Rankings!AL2:AL651))/STDEV(Rankings!AL2:AL651)*-1,0)</f>
        <v>1.0975713903246602</v>
      </c>
      <c r="AF559" s="121">
        <f>(VLOOKUP($A559,Pitchers!$A1:$S251,14,FALSE)-AVERAGE(Rankings!AM2:AM651))/STDEV(Rankings!AM2:AM651)</f>
        <v>-0.72287662402847952</v>
      </c>
      <c r="AG559" s="121">
        <f>(VLOOKUP($A559,Pitchers!$A1:$S251,15,FALSE)-AVERAGE(Rankings!AN2:AN651))/STDEV(Rankings!AN2:AN651)</f>
        <v>-0.87056465304906339</v>
      </c>
      <c r="AH559" s="121">
        <f>(VLOOKUP($A559,Pitchers!$A1:$S251,16,FALSE)-AVERAGE(Rankings!AO2:AO651))/STDEV(Rankings!AO2:AO651)*-1</f>
        <v>1.1977639950478545</v>
      </c>
      <c r="AI559" s="121">
        <f>IFERROR((VLOOKUP($A559,Pitchers!$A1:$S251,17,FALSE)-AVERAGE(Rankings!AP2:AP651))/STDEV(Rankings!AP2:AP651),0)</f>
        <v>-0.98285985959265143</v>
      </c>
      <c r="AJ559" s="121">
        <f>(VLOOKUP($A559,Pitchers!$A1:$S251,18,FALSE)-AVERAGE(Rankings!AQ2:AQ651))/STDEV(Rankings!AQ2:AQ651)</f>
        <v>-0.20276619398514159</v>
      </c>
      <c r="AK559" s="121">
        <f>IFERROR((VLOOKUP($A559,Pitchers!$A1:$S251,19,FALSE)-AVERAGE(Rankings!AR2:AR651))/STDEV(Rankings!AR2:AR651)*-1,0)</f>
        <v>0.47041511698728217</v>
      </c>
    </row>
    <row r="560" spans="1:37" ht="20.100000000000001" customHeight="1">
      <c r="A560" s="25" t="s">
        <v>590</v>
      </c>
      <c r="B560" s="26" t="s">
        <v>95</v>
      </c>
      <c r="C560" s="130" t="s">
        <v>31</v>
      </c>
      <c r="D560" s="67">
        <f>(V560*Settings!$G$2)+(Y560*Settings!$G$5)+(Z560*Settings!$G$6)+(AA560*Settings!$G$7)+(AB560*Settings!$G$8)+(AC560*Settings!$G$9)+(AD560*Settings!$G$10)+(AE560*Settings!$G$11)+(AF560*Settings!$G$12)+(AG560*Settings!$G$13)+(AH560*Settings!$G$14)+(AI560*Settings!$G$15)+(AJ560*Settings!$G$16)+(AK560*Settings!$G$17)+(W560*Settings!$G$3)+(X560*Settings!$G$4)</f>
        <v>-3.3676953896515629</v>
      </c>
      <c r="E560" s="67"/>
      <c r="F560" s="67"/>
      <c r="G560" s="67"/>
      <c r="H560" s="67"/>
      <c r="I560" s="67"/>
      <c r="J560" s="67"/>
      <c r="K560" s="73"/>
      <c r="L560" s="73"/>
      <c r="M560" s="67"/>
      <c r="N560" s="67"/>
      <c r="O560" s="67"/>
      <c r="P560" s="67"/>
      <c r="Q560" s="67"/>
      <c r="R560" s="73"/>
      <c r="S560" s="73"/>
      <c r="T560" s="67"/>
      <c r="U560" s="67"/>
      <c r="V560" s="121">
        <f>(VLOOKUP($A560,Pitchers!$A1:$S251,4,FALSE)-AVERAGE(Rankings!AC2:AC651))/STDEV(Rankings!AC2:AC651)</f>
        <v>-1.0128799228059415</v>
      </c>
      <c r="W560" s="121">
        <f>(VLOOKUP($A560,Pitchers!$A1:$S251,5,FALSE)-AVERAGE(Rankings!AD2:AD651))/STDEV(Rankings!AD2:AD651)*-1</f>
        <v>-0.2600393033983886</v>
      </c>
      <c r="X560" s="121">
        <f>(VLOOKUP($A560,Pitchers!$A1:$S251,6,FALSE)-AVERAGE(Rankings!AE2:AE651))/STDEV(Rankings!AE2:AE651)*-1</f>
        <v>-0.71996769351281531</v>
      </c>
      <c r="Y560" s="121">
        <f>(VLOOKUP($A560,Pitchers!$A1:$S251,7,FALSE)-AVERAGE(Rankings!AF2:AF651))/STDEV(Rankings!AF2:AF651)</f>
        <v>-0.92289366909787418</v>
      </c>
      <c r="Z560" s="121">
        <f>(VLOOKUP($A560,Pitchers!$A1:$S251,8,FALSE)-AVERAGE(Rankings!AG2:AG651))/STDEV(Rankings!AG2:AG651)</f>
        <v>-1.0006502614921116</v>
      </c>
      <c r="AA560" s="121">
        <f>(VLOOKUP($A560,Pitchers!$A1:$S251,9,FALSE)-AVERAGE(Rankings!AH2:AH651))/STDEV(Rankings!AH2:AH651)</f>
        <v>-0.46414446215037364</v>
      </c>
      <c r="AB560" s="121">
        <f>(VLOOKUP($A560,Pitchers!$A1:$S251,10,FALSE)-AVERAGE(Rankings!AI2:AI651))/STDEV(Rankings!AI2:AI651)*-1</f>
        <v>0.89320792158150986</v>
      </c>
      <c r="AC560" s="121">
        <f>(VLOOKUP($A560,Pitchers!$A1:$S251,11,FALSE)-AVERAGE(Rankings!AJ2:AJ651))/STDEV(Rankings!AJ2:AJ651)*-1</f>
        <v>0.98038518772957828</v>
      </c>
      <c r="AD560" s="121">
        <f>(VLOOKUP($A560,Pitchers!$A1:$S251,12,FALSE)-AVERAGE(Rankings!AK2:AK651))/STDEV(Rankings!AK2:AK651)*-1</f>
        <v>0.58505521944672689</v>
      </c>
      <c r="AE560" s="121">
        <f>IFERROR((VLOOKUP($A560,Pitchers!$A1:$S251,13,FALSE)-AVERAGE(Rankings!AL2:AL651))/STDEV(Rankings!AL2:AL651)*-1,0)</f>
        <v>0.69855125327013035</v>
      </c>
      <c r="AF560" s="121">
        <f>(VLOOKUP($A560,Pitchers!$A1:$S251,14,FALSE)-AVERAGE(Rankings!AM2:AM651))/STDEV(Rankings!AM2:AM651)</f>
        <v>0.46859966790916807</v>
      </c>
      <c r="AG560" s="121">
        <f>(VLOOKUP($A560,Pitchers!$A1:$S251,15,FALSE)-AVERAGE(Rankings!AN2:AN651))/STDEV(Rankings!AN2:AN651)</f>
        <v>-0.87965491641418669</v>
      </c>
      <c r="AH560" s="121">
        <f>(VLOOKUP($A560,Pitchers!$A1:$S251,16,FALSE)-AVERAGE(Rankings!AO2:AO651))/STDEV(Rankings!AO2:AO651)*-1</f>
        <v>1.0474547845925894</v>
      </c>
      <c r="AI560" s="121">
        <f>IFERROR((VLOOKUP($A560,Pitchers!$A1:$S251,17,FALSE)-AVERAGE(Rankings!AP2:AP651))/STDEV(Rankings!AP2:AP651),0)</f>
        <v>-0.8395858275820608</v>
      </c>
      <c r="AJ560" s="121">
        <f>(VLOOKUP($A560,Pitchers!$A1:$S251,18,FALSE)-AVERAGE(Rankings!AQ2:AQ651))/STDEV(Rankings!AQ2:AQ651)</f>
        <v>0.9216796824008483</v>
      </c>
      <c r="AK560" s="121">
        <f>IFERROR((VLOOKUP($A560,Pitchers!$A1:$S251,19,FALSE)-AVERAGE(Rankings!AR2:AR651))/STDEV(Rankings!AR2:AR651)*-1,0)</f>
        <v>0.47041511698728217</v>
      </c>
    </row>
    <row r="561" spans="1:37" ht="20.100000000000001" customHeight="1">
      <c r="A561" s="25" t="s">
        <v>631</v>
      </c>
      <c r="B561" s="26" t="s">
        <v>160</v>
      </c>
      <c r="C561" s="130" t="s">
        <v>31</v>
      </c>
      <c r="D561" s="67">
        <f>(V561*Settings!$G$2)+(Y561*Settings!$G$5)+(Z561*Settings!$G$6)+(AA561*Settings!$G$7)+(AB561*Settings!$G$8)+(AC561*Settings!$G$9)+(AD561*Settings!$G$10)+(AE561*Settings!$G$11)+(AF561*Settings!$G$12)+(AG561*Settings!$G$13)+(AH561*Settings!$G$14)+(AI561*Settings!$G$15)+(AJ561*Settings!$G$16)+(AK561*Settings!$G$17)+(W561*Settings!$G$3)+(X561*Settings!$G$4)</f>
        <v>-3.8806147936803033</v>
      </c>
      <c r="E561" s="67"/>
      <c r="F561" s="67"/>
      <c r="G561" s="67"/>
      <c r="H561" s="67"/>
      <c r="I561" s="67"/>
      <c r="J561" s="67"/>
      <c r="K561" s="73"/>
      <c r="L561" s="73"/>
      <c r="M561" s="67"/>
      <c r="N561" s="67"/>
      <c r="O561" s="67"/>
      <c r="P561" s="67"/>
      <c r="Q561" s="67"/>
      <c r="R561" s="73"/>
      <c r="S561" s="73"/>
      <c r="T561" s="67"/>
      <c r="U561" s="67"/>
      <c r="V561" s="121">
        <f>(VLOOKUP($A561,Pitchers!$A1:$S251,4,FALSE)-AVERAGE(Rankings!AC2:AC651))/STDEV(Rankings!AC2:AC651)</f>
        <v>-0.61837850397415817</v>
      </c>
      <c r="W561" s="121">
        <f>(VLOOKUP($A561,Pitchers!$A1:$S251,5,FALSE)-AVERAGE(Rankings!AD2:AD651))/STDEV(Rankings!AD2:AD651)*-1</f>
        <v>-0.67091705330398366</v>
      </c>
      <c r="X561" s="121">
        <f>(VLOOKUP($A561,Pitchers!$A1:$S251,6,FALSE)-AVERAGE(Rankings!AE2:AE651))/STDEV(Rankings!AE2:AE651)*-1</f>
        <v>-1.5035085282582599</v>
      </c>
      <c r="Y561" s="121">
        <f>(VLOOKUP($A561,Pitchers!$A1:$S251,7,FALSE)-AVERAGE(Rankings!AF2:AF651))/STDEV(Rankings!AF2:AF651)</f>
        <v>-0.74427336025390245</v>
      </c>
      <c r="Z561" s="121">
        <f>(VLOOKUP($A561,Pitchers!$A1:$S251,8,FALSE)-AVERAGE(Rankings!AG2:AG651))/STDEV(Rankings!AG2:AG651)</f>
        <v>-0.54261626528386819</v>
      </c>
      <c r="AA561" s="121">
        <f>(VLOOKUP($A561,Pitchers!$A1:$S251,9,FALSE)-AVERAGE(Rankings!AH2:AH651))/STDEV(Rankings!AH2:AH651)</f>
        <v>-0.41929958658028921</v>
      </c>
      <c r="AB561" s="121">
        <f>(VLOOKUP($A561,Pitchers!$A1:$S251,10,FALSE)-AVERAGE(Rankings!AI2:AI651))/STDEV(Rankings!AI2:AI651)*-1</f>
        <v>0.44186765101238734</v>
      </c>
      <c r="AC561" s="121">
        <f>(VLOOKUP($A561,Pitchers!$A1:$S251,11,FALSE)-AVERAGE(Rankings!AJ2:AJ651))/STDEV(Rankings!AJ2:AJ651)*-1</f>
        <v>0.48985547909981464</v>
      </c>
      <c r="AD561" s="121">
        <f>(VLOOKUP($A561,Pitchers!$A1:$S251,12,FALSE)-AVERAGE(Rankings!AK2:AK651))/STDEV(Rankings!AK2:AK651)*-1</f>
        <v>4.0782841800523148E-2</v>
      </c>
      <c r="AE561" s="121">
        <f>IFERROR((VLOOKUP($A561,Pitchers!$A1:$S251,13,FALSE)-AVERAGE(Rankings!AL2:AL651))/STDEV(Rankings!AL2:AL651)*-1,0)</f>
        <v>0.96456467797315026</v>
      </c>
      <c r="AF561" s="121">
        <f>(VLOOKUP($A561,Pitchers!$A1:$S251,14,FALSE)-AVERAGE(Rankings!AM2:AM651))/STDEV(Rankings!AM2:AM651)</f>
        <v>-0.31300005882394533</v>
      </c>
      <c r="AG561" s="121">
        <f>(VLOOKUP($A561,Pitchers!$A1:$S251,15,FALSE)-AVERAGE(Rankings!AN2:AN651))/STDEV(Rankings!AN2:AN651)</f>
        <v>-0.48098193740092132</v>
      </c>
      <c r="AH561" s="121">
        <f>(VLOOKUP($A561,Pitchers!$A1:$S251,16,FALSE)-AVERAGE(Rankings!AO2:AO651))/STDEV(Rankings!AO2:AO651)*-1</f>
        <v>0.52137254799916166</v>
      </c>
      <c r="AI561" s="121">
        <f>IFERROR((VLOOKUP($A561,Pitchers!$A1:$S251,17,FALSE)-AVERAGE(Rankings!AP2:AP651))/STDEV(Rankings!AP2:AP651),0)</f>
        <v>-0.98285985959265143</v>
      </c>
      <c r="AJ561" s="121">
        <f>(VLOOKUP($A561,Pitchers!$A1:$S251,18,FALSE)-AVERAGE(Rankings!AQ2:AQ651))/STDEV(Rankings!AQ2:AQ651)</f>
        <v>-0.52403644438113872</v>
      </c>
      <c r="AK561" s="121">
        <f>IFERROR((VLOOKUP($A561,Pitchers!$A1:$S251,19,FALSE)-AVERAGE(Rankings!AR2:AR651))/STDEV(Rankings!AR2:AR651)*-1,0)</f>
        <v>0.47041511698728217</v>
      </c>
    </row>
    <row r="562" spans="1:37" ht="20.100000000000001" customHeight="1">
      <c r="A562" s="25" t="s">
        <v>96</v>
      </c>
      <c r="B562" s="26" t="s">
        <v>97</v>
      </c>
      <c r="C562" s="131" t="s">
        <v>34</v>
      </c>
      <c r="D562" s="67">
        <f>(V562*Settings!$G$2)+(Y562*Settings!$G$5)+(Z562*Settings!$G$6)+(AA562*Settings!$G$7)+(AB562*Settings!$G$8)+(AC562*Settings!$G$9)+(AD562*Settings!$G$10)+(AE562*Settings!$G$11)+(AF562*Settings!$G$12)+(AG562*Settings!$G$13)+(AH562*Settings!$G$14)+(AI562*Settings!$G$15)+(AJ562*Settings!$G$16)+(AK562*Settings!$G$17)+(W562*Settings!$G$3)+(X562*Settings!$G$4)</f>
        <v>8.308031238481929</v>
      </c>
      <c r="E562" s="67"/>
      <c r="F562" s="67"/>
      <c r="G562" s="67"/>
      <c r="H562" s="67"/>
      <c r="I562" s="67"/>
      <c r="J562" s="67"/>
      <c r="K562" s="73"/>
      <c r="L562" s="73"/>
      <c r="M562" s="67"/>
      <c r="N562" s="67"/>
      <c r="O562" s="67"/>
      <c r="P562" s="67"/>
      <c r="Q562" s="67"/>
      <c r="R562" s="73"/>
      <c r="S562" s="73"/>
      <c r="T562" s="67"/>
      <c r="U562" s="67"/>
      <c r="V562" s="121">
        <f>(VLOOKUP($A562,Pitchers!$A1:$S251,4,FALSE)-AVERAGE(Rankings!AC2:AC651))/STDEV(Rankings!AC2:AC651)</f>
        <v>-1.0269944637301556</v>
      </c>
      <c r="W562" s="121">
        <f>(VLOOKUP($A562,Pitchers!$A1:$S251,5,FALSE)-AVERAGE(Rankings!AD2:AD651))/STDEV(Rankings!AD2:AD651)*-1</f>
        <v>2.7759657135086524</v>
      </c>
      <c r="X562" s="121">
        <f>(VLOOKUP($A562,Pitchers!$A1:$S251,6,FALSE)-AVERAGE(Rankings!AE2:AE651))/STDEV(Rankings!AE2:AE651)*-1</f>
        <v>2.3258319609531175</v>
      </c>
      <c r="Y562" s="121">
        <f>(VLOOKUP($A562,Pitchers!$A1:$S251,7,FALSE)-AVERAGE(Rankings!AF2:AF651))/STDEV(Rankings!AF2:AF651)</f>
        <v>-0.14887233077399695</v>
      </c>
      <c r="Z562" s="121">
        <f>(VLOOKUP($A562,Pitchers!$A1:$S251,8,FALSE)-AVERAGE(Rankings!AG2:AG651))/STDEV(Rankings!AG2:AG651)</f>
        <v>-0.84461670234424846</v>
      </c>
      <c r="AA562" s="121">
        <f>(VLOOKUP($A562,Pitchers!$A1:$S251,9,FALSE)-AVERAGE(Rankings!AH2:AH651))/STDEV(Rankings!AH2:AH651)</f>
        <v>4.1997225971384049</v>
      </c>
      <c r="AB562" s="121">
        <f>(VLOOKUP($A562,Pitchers!$A1:$S251,10,FALSE)-AVERAGE(Rankings!AI2:AI651))/STDEV(Rankings!AI2:AI651)*-1</f>
        <v>1.4165379864382412</v>
      </c>
      <c r="AC562" s="121">
        <f>(VLOOKUP($A562,Pitchers!$A1:$S251,11,FALSE)-AVERAGE(Rankings!AJ2:AJ651))/STDEV(Rankings!AJ2:AJ651)*-1</f>
        <v>1.2860776148466773</v>
      </c>
      <c r="AD562" s="121">
        <f>(VLOOKUP($A562,Pitchers!$A1:$S251,12,FALSE)-AVERAGE(Rankings!AK2:AK651))/STDEV(Rankings!AK2:AK651)*-1</f>
        <v>1.0121747983170659</v>
      </c>
      <c r="AE562" s="121">
        <f>IFERROR((VLOOKUP($A562,Pitchers!$A1:$S251,13,FALSE)-AVERAGE(Rankings!AL2:AL651))/STDEV(Rankings!AL2:AL651)*-1,0)</f>
        <v>1.3635848150276801</v>
      </c>
      <c r="AF562" s="121">
        <f>(VLOOKUP($A562,Pitchers!$A1:$S251,14,FALSE)-AVERAGE(Rankings!AM2:AM651))/STDEV(Rankings!AM2:AM651)</f>
        <v>1.6142918754356708</v>
      </c>
      <c r="AG562" s="121">
        <f>(VLOOKUP($A562,Pitchers!$A1:$S251,15,FALSE)-AVERAGE(Rankings!AN2:AN651))/STDEV(Rankings!AN2:AN651)</f>
        <v>-1.2653418049058471</v>
      </c>
      <c r="AH562" s="121">
        <f>(VLOOKUP($A562,Pitchers!$A1:$S251,16,FALSE)-AVERAGE(Rankings!AO2:AO651))/STDEV(Rankings!AO2:AO651)*-1</f>
        <v>1.3104959028893033</v>
      </c>
      <c r="AI562" s="121">
        <f>IFERROR((VLOOKUP($A562,Pitchers!$A1:$S251,17,FALSE)-AVERAGE(Rankings!AP2:AP651))/STDEV(Rankings!AP2:AP651),0)</f>
        <v>-1.126133891603242</v>
      </c>
      <c r="AJ562" s="121">
        <f>(VLOOKUP($A562,Pitchers!$A1:$S251,18,FALSE)-AVERAGE(Rankings!AQ2:AQ651))/STDEV(Rankings!AQ2:AQ651)</f>
        <v>-0.52403644438113872</v>
      </c>
      <c r="AK562" s="121">
        <f>IFERROR((VLOOKUP($A562,Pitchers!$A1:$S251,19,FALSE)-AVERAGE(Rankings!AR2:AR651))/STDEV(Rankings!AR2:AR651)*-1,0)</f>
        <v>-1.9394983921688764</v>
      </c>
    </row>
    <row r="563" spans="1:37" ht="20.100000000000001" customHeight="1">
      <c r="A563" s="25" t="s">
        <v>111</v>
      </c>
      <c r="B563" s="26" t="s">
        <v>77</v>
      </c>
      <c r="C563" s="131" t="s">
        <v>34</v>
      </c>
      <c r="D563" s="67">
        <f>(V563*Settings!$G$2)+(Y563*Settings!$G$5)+(Z563*Settings!$G$6)+(AA563*Settings!$G$7)+(AB563*Settings!$G$8)+(AC563*Settings!$G$9)+(AD563*Settings!$G$10)+(AE563*Settings!$G$11)+(AF563*Settings!$G$12)+(AG563*Settings!$G$13)+(AH563*Settings!$G$14)+(AI563*Settings!$G$15)+(AJ563*Settings!$G$16)+(AK563*Settings!$G$17)+(W563*Settings!$G$3)+(X563*Settings!$G$4)</f>
        <v>7.7520560385020243</v>
      </c>
      <c r="E563" s="67"/>
      <c r="F563" s="67"/>
      <c r="G563" s="67"/>
      <c r="H563" s="67"/>
      <c r="I563" s="67"/>
      <c r="J563" s="67"/>
      <c r="K563" s="73"/>
      <c r="L563" s="73"/>
      <c r="M563" s="67"/>
      <c r="N563" s="67"/>
      <c r="O563" s="67"/>
      <c r="P563" s="67"/>
      <c r="Q563" s="67"/>
      <c r="R563" s="73"/>
      <c r="S563" s="73"/>
      <c r="T563" s="67"/>
      <c r="U563" s="67"/>
      <c r="V563" s="121">
        <f>(VLOOKUP($A563,Pitchers!$A1:$S251,4,FALSE)-AVERAGE(Rankings!AC2:AC651))/STDEV(Rankings!AC2:AC651)</f>
        <v>-0.96206757547877098</v>
      </c>
      <c r="W563" s="121">
        <f>(VLOOKUP($A563,Pitchers!$A1:$S251,5,FALSE)-AVERAGE(Rankings!AD2:AD651))/STDEV(Rankings!AD2:AD651)*-1</f>
        <v>2.9924581112711746</v>
      </c>
      <c r="X563" s="121">
        <f>(VLOOKUP($A563,Pitchers!$A1:$S251,6,FALSE)-AVERAGE(Rankings!AE2:AE651))/STDEV(Rankings!AE2:AE651)*-1</f>
        <v>2.4648971792491916</v>
      </c>
      <c r="Y563" s="121">
        <f>(VLOOKUP($A563,Pitchers!$A1:$S251,7,FALSE)-AVERAGE(Rankings!AF2:AF651))/STDEV(Rankings!AF2:AF651)</f>
        <v>-0.89384971644031752</v>
      </c>
      <c r="Z563" s="121">
        <f>(VLOOKUP($A563,Pitchers!$A1:$S251,8,FALSE)-AVERAGE(Rankings!AG2:AG651))/STDEV(Rankings!AG2:AG651)</f>
        <v>-1.0560170082865146</v>
      </c>
      <c r="AA563" s="121">
        <f>(VLOOKUP($A563,Pitchers!$A1:$S251,9,FALSE)-AVERAGE(Rankings!AH2:AH651))/STDEV(Rankings!AH2:AH651)</f>
        <v>4.2445674727084901</v>
      </c>
      <c r="AB563" s="121">
        <f>(VLOOKUP($A563,Pitchers!$A1:$S251,10,FALSE)-AVERAGE(Rankings!AI2:AI651))/STDEV(Rankings!AI2:AI651)*-1</f>
        <v>1.4195413153613787</v>
      </c>
      <c r="AC563" s="121">
        <f>(VLOOKUP($A563,Pitchers!$A1:$S251,11,FALSE)-AVERAGE(Rankings!AJ2:AJ651))/STDEV(Rankings!AJ2:AJ651)*-1</f>
        <v>1.0863111682887592</v>
      </c>
      <c r="AD563" s="121">
        <f>(VLOOKUP($A563,Pitchers!$A1:$S251,12,FALSE)-AVERAGE(Rankings!AK2:AK651))/STDEV(Rankings!AK2:AK651)*-1</f>
        <v>1.5442437594241172</v>
      </c>
      <c r="AE563" s="121">
        <f>IFERROR((VLOOKUP($A563,Pitchers!$A1:$S251,13,FALSE)-AVERAGE(Rankings!AL2:AL651))/STDEV(Rankings!AL2:AL651)*-1,0)</f>
        <v>1.3635848150276801</v>
      </c>
      <c r="AF563" s="121">
        <f>(VLOOKUP($A563,Pitchers!$A1:$S251,14,FALSE)-AVERAGE(Rankings!AM2:AM651))/STDEV(Rankings!AM2:AM651)</f>
        <v>1.8977171598856151</v>
      </c>
      <c r="AG563" s="121">
        <f>(VLOOKUP($A563,Pitchers!$A1:$S251,15,FALSE)-AVERAGE(Rankings!AN2:AN651))/STDEV(Rankings!AN2:AN651)</f>
        <v>-1.2653418049058471</v>
      </c>
      <c r="AH563" s="121">
        <f>(VLOOKUP($A563,Pitchers!$A1:$S251,16,FALSE)-AVERAGE(Rankings!AO2:AO651))/STDEV(Rankings!AO2:AO651)*-1</f>
        <v>1.0474547845925897</v>
      </c>
      <c r="AI563" s="121">
        <f>IFERROR((VLOOKUP($A563,Pitchers!$A1:$S251,17,FALSE)-AVERAGE(Rankings!AP2:AP651))/STDEV(Rankings!AP2:AP651),0)</f>
        <v>-1.126133891603242</v>
      </c>
      <c r="AJ563" s="121">
        <f>(VLOOKUP($A563,Pitchers!$A1:$S251,18,FALSE)-AVERAGE(Rankings!AQ2:AQ651))/STDEV(Rankings!AQ2:AQ651)</f>
        <v>-0.68467156957913733</v>
      </c>
      <c r="AK563" s="121">
        <f>IFERROR((VLOOKUP($A563,Pitchers!$A1:$S251,19,FALSE)-AVERAGE(Rankings!AR2:AR651))/STDEV(Rankings!AR2:AR651)*-1,0)</f>
        <v>-1.4575156903376447</v>
      </c>
    </row>
    <row r="564" spans="1:37" ht="20.100000000000001" customHeight="1">
      <c r="A564" s="25" t="s">
        <v>174</v>
      </c>
      <c r="B564" s="26" t="s">
        <v>64</v>
      </c>
      <c r="C564" s="131" t="s">
        <v>34</v>
      </c>
      <c r="D564" s="67">
        <f>(V564*Settings!$G$2)+(Y564*Settings!$G$5)+(Z564*Settings!$G$6)+(AA564*Settings!$G$7)+(AB564*Settings!$G$8)+(AC564*Settings!$G$9)+(AD564*Settings!$G$10)+(AE564*Settings!$G$11)+(AF564*Settings!$G$12)+(AG564*Settings!$G$13)+(AH564*Settings!$G$14)+(AI564*Settings!$G$15)+(AJ564*Settings!$G$16)+(AK564*Settings!$G$17)+(W564*Settings!$G$3)+(X564*Settings!$G$4)</f>
        <v>5.1136966302521563</v>
      </c>
      <c r="E564" s="67"/>
      <c r="F564" s="67"/>
      <c r="G564" s="67"/>
      <c r="H564" s="67"/>
      <c r="I564" s="67"/>
      <c r="J564" s="67"/>
      <c r="K564" s="73"/>
      <c r="L564" s="73"/>
      <c r="M564" s="67"/>
      <c r="N564" s="67"/>
      <c r="O564" s="67"/>
      <c r="P564" s="67"/>
      <c r="Q564" s="67"/>
      <c r="R564" s="73"/>
      <c r="S564" s="73"/>
      <c r="T564" s="67"/>
      <c r="U564" s="67"/>
      <c r="V564" s="121">
        <f>(VLOOKUP($A564,Pitchers!$A1:$S251,4,FALSE)-AVERAGE(Rankings!AC2:AC651))/STDEV(Rankings!AC2:AC651)</f>
        <v>-1.1836658679889318</v>
      </c>
      <c r="W564" s="121">
        <f>(VLOOKUP($A564,Pitchers!$A1:$S251,5,FALSE)-AVERAGE(Rankings!AD2:AD651))/STDEV(Rankings!AD2:AD651)*-1</f>
        <v>1.1460512296866885</v>
      </c>
      <c r="X564" s="121">
        <f>(VLOOKUP($A564,Pitchers!$A1:$S251,6,FALSE)-AVERAGE(Rankings!AE2:AE651))/STDEV(Rankings!AE2:AE651)*-1</f>
        <v>1.4529214991418089</v>
      </c>
      <c r="Y564" s="121">
        <f>(VLOOKUP($A564,Pitchers!$A1:$S251,7,FALSE)-AVERAGE(Rankings!AF2:AF651))/STDEV(Rankings!AF2:AF651)</f>
        <v>-0.54387008691676342</v>
      </c>
      <c r="Z564" s="121">
        <f>(VLOOKUP($A564,Pitchers!$A1:$S251,8,FALSE)-AVERAGE(Rankings!AG2:AG651))/STDEV(Rankings!AG2:AG651)</f>
        <v>-1.0962837332278987</v>
      </c>
      <c r="AA564" s="121">
        <f>(VLOOKUP($A564,Pitchers!$A1:$S251,9,FALSE)-AVERAGE(Rankings!AH2:AH651))/STDEV(Rankings!AH2:AH651)</f>
        <v>4.1548777215683215</v>
      </c>
      <c r="AB564" s="121">
        <f>(VLOOKUP($A564,Pitchers!$A1:$S251,10,FALSE)-AVERAGE(Rankings!AI2:AI651))/STDEV(Rankings!AI2:AI651)*-1</f>
        <v>1.2588632179735157</v>
      </c>
      <c r="AC564" s="121">
        <f>(VLOOKUP($A564,Pitchers!$A1:$S251,11,FALSE)-AVERAGE(Rankings!AJ2:AJ651))/STDEV(Rankings!AJ2:AJ651)*-1</f>
        <v>1.3550361391033252</v>
      </c>
      <c r="AD564" s="121">
        <f>(VLOOKUP($A564,Pitchers!$A1:$S251,12,FALSE)-AVERAGE(Rankings!AK2:AK651))/STDEV(Rankings!AK2:AK651)*-1</f>
        <v>0.95115771562130336</v>
      </c>
      <c r="AE564" s="121">
        <f>IFERROR((VLOOKUP($A564,Pitchers!$A1:$S251,13,FALSE)-AVERAGE(Rankings!AL2:AL651))/STDEV(Rankings!AL2:AL651)*-1,0)</f>
        <v>1.0975713903246602</v>
      </c>
      <c r="AF564" s="121">
        <f>(VLOOKUP($A564,Pitchers!$A1:$S251,14,FALSE)-AVERAGE(Rankings!AM2:AM651))/STDEV(Rankings!AM2:AM651)</f>
        <v>1.4398763157741672</v>
      </c>
      <c r="AG564" s="121">
        <f>(VLOOKUP($A564,Pitchers!$A1:$S251,15,FALSE)-AVERAGE(Rankings!AN2:AN651))/STDEV(Rankings!AN2:AN651)</f>
        <v>-1.2653418049058471</v>
      </c>
      <c r="AH564" s="121">
        <f>(VLOOKUP($A564,Pitchers!$A1:$S251,16,FALSE)-AVERAGE(Rankings!AO2:AO651))/STDEV(Rankings!AO2:AO651)*-1</f>
        <v>1.0850320872064056</v>
      </c>
      <c r="AI564" s="121">
        <f>IFERROR((VLOOKUP($A564,Pitchers!$A1:$S251,17,FALSE)-AVERAGE(Rankings!AP2:AP651))/STDEV(Rankings!AP2:AP651),0)</f>
        <v>-1.126133891603242</v>
      </c>
      <c r="AJ564" s="121">
        <f>(VLOOKUP($A564,Pitchers!$A1:$S251,18,FALSE)-AVERAGE(Rankings!AQ2:AQ651))/STDEV(Rankings!AQ2:AQ651)</f>
        <v>-0.68467156957913733</v>
      </c>
      <c r="AK564" s="121">
        <f>IFERROR((VLOOKUP($A564,Pitchers!$A1:$S251,19,FALSE)-AVERAGE(Rankings!AR2:AR651))/STDEV(Rankings!AR2:AR651)*-1,0)</f>
        <v>-0.97553298850641301</v>
      </c>
    </row>
    <row r="565" spans="1:37" ht="20.100000000000001" customHeight="1">
      <c r="A565" s="25" t="s">
        <v>176</v>
      </c>
      <c r="B565" s="26" t="s">
        <v>99</v>
      </c>
      <c r="C565" s="131" t="s">
        <v>34</v>
      </c>
      <c r="D565" s="67">
        <f>(V565*Settings!$G$2)+(Y565*Settings!$G$5)+(Z565*Settings!$G$6)+(AA565*Settings!$G$7)+(AB565*Settings!$G$8)+(AC565*Settings!$G$9)+(AD565*Settings!$G$10)+(AE565*Settings!$G$11)+(AF565*Settings!$G$12)+(AG565*Settings!$G$13)+(AH565*Settings!$G$14)+(AI565*Settings!$G$15)+(AJ565*Settings!$G$16)+(AK565*Settings!$G$17)+(W565*Settings!$G$3)+(X565*Settings!$G$4)</f>
        <v>5.0596988032413064</v>
      </c>
      <c r="E565" s="67"/>
      <c r="F565" s="67"/>
      <c r="G565" s="67"/>
      <c r="H565" s="67"/>
      <c r="I565" s="67"/>
      <c r="J565" s="67"/>
      <c r="K565" s="73"/>
      <c r="L565" s="73"/>
      <c r="M565" s="67"/>
      <c r="N565" s="67"/>
      <c r="O565" s="67"/>
      <c r="P565" s="67"/>
      <c r="Q565" s="67"/>
      <c r="R565" s="73"/>
      <c r="S565" s="73"/>
      <c r="T565" s="67"/>
      <c r="U565" s="67"/>
      <c r="V565" s="121">
        <f>(VLOOKUP($A565,Pitchers!$A1:$S251,4,FALSE)-AVERAGE(Rankings!AC2:AC651))/STDEV(Rankings!AC2:AC651)</f>
        <v>-1.0651037242255335</v>
      </c>
      <c r="W565" s="121">
        <f>(VLOOKUP($A565,Pitchers!$A1:$S251,5,FALSE)-AVERAGE(Rankings!AD2:AD651))/STDEV(Rankings!AD2:AD651)*-1</f>
        <v>2.1994705024829484</v>
      </c>
      <c r="X565" s="121">
        <f>(VLOOKUP($A565,Pitchers!$A1:$S251,6,FALSE)-AVERAGE(Rankings!AE2:AE651))/STDEV(Rankings!AE2:AE651)*-1</f>
        <v>0.89637930600144777</v>
      </c>
      <c r="Y565" s="121">
        <f>(VLOOKUP($A565,Pitchers!$A1:$S251,7,FALSE)-AVERAGE(Rankings!AF2:AF651))/STDEV(Rankings!AF2:AF651)</f>
        <v>-0.48796047805096748</v>
      </c>
      <c r="Z565" s="121">
        <f>(VLOOKUP($A565,Pitchers!$A1:$S251,8,FALSE)-AVERAGE(Rankings!AG2:AG651))/STDEV(Rankings!AG2:AG651)</f>
        <v>-0.98555023963909261</v>
      </c>
      <c r="AA565" s="121">
        <f>(VLOOKUP($A565,Pitchers!$A1:$S251,9,FALSE)-AVERAGE(Rankings!AH2:AH651))/STDEV(Rankings!AH2:AH651)</f>
        <v>3.4373597124469706</v>
      </c>
      <c r="AB565" s="121">
        <f>(VLOOKUP($A565,Pitchers!$A1:$S251,10,FALSE)-AVERAGE(Rankings!AI2:AI651))/STDEV(Rankings!AI2:AI651)*-1</f>
        <v>1.3429564278213693</v>
      </c>
      <c r="AC565" s="121">
        <f>(VLOOKUP($A565,Pitchers!$A1:$S251,11,FALSE)-AVERAGE(Rankings!AJ2:AJ651))/STDEV(Rankings!AJ2:AJ651)*-1</f>
        <v>1.2768357507710439</v>
      </c>
      <c r="AD565" s="121">
        <f>(VLOOKUP($A565,Pitchers!$A1:$S251,12,FALSE)-AVERAGE(Rankings!AK2:AK651))/STDEV(Rankings!AK2:AK651)*-1</f>
        <v>0.52891950336662519</v>
      </c>
      <c r="AE565" s="121">
        <f>IFERROR((VLOOKUP($A565,Pitchers!$A1:$S251,13,FALSE)-AVERAGE(Rankings!AL2:AL651))/STDEV(Rankings!AL2:AL651)*-1,0)</f>
        <v>1.2305781026761702</v>
      </c>
      <c r="AF565" s="121">
        <f>(VLOOKUP($A565,Pitchers!$A1:$S251,14,FALSE)-AVERAGE(Rankings!AM2:AM651))/STDEV(Rankings!AM2:AM651)</f>
        <v>1.5706879855202949</v>
      </c>
      <c r="AG565" s="121">
        <f>(VLOOKUP($A565,Pitchers!$A1:$S251,15,FALSE)-AVERAGE(Rankings!AN2:AN651))/STDEV(Rankings!AN2:AN651)</f>
        <v>-1.2653418049058471</v>
      </c>
      <c r="AH565" s="121">
        <f>(VLOOKUP($A565,Pitchers!$A1:$S251,16,FALSE)-AVERAGE(Rankings!AO2:AO651))/STDEV(Rankings!AO2:AO651)*-1</f>
        <v>1.1476609248960994</v>
      </c>
      <c r="AI565" s="121">
        <f>IFERROR((VLOOKUP($A565,Pitchers!$A1:$S251,17,FALSE)-AVERAGE(Rankings!AP2:AP651))/STDEV(Rankings!AP2:AP651),0)</f>
        <v>-1.126133891603242</v>
      </c>
      <c r="AJ565" s="121">
        <f>(VLOOKUP($A565,Pitchers!$A1:$S251,18,FALSE)-AVERAGE(Rankings!AQ2:AQ651))/STDEV(Rankings!AQ2:AQ651)</f>
        <v>-0.44371888178213942</v>
      </c>
      <c r="AK565" s="121">
        <f>IFERROR((VLOOKUP($A565,Pitchers!$A1:$S251,19,FALSE)-AVERAGE(Rankings!AR2:AR651))/STDEV(Rankings!AR2:AR651)*-1,0)</f>
        <v>-3.3854464976625716</v>
      </c>
    </row>
    <row r="566" spans="1:37" ht="20.100000000000001" customHeight="1">
      <c r="A566" s="25" t="s">
        <v>163</v>
      </c>
      <c r="B566" s="26" t="s">
        <v>95</v>
      </c>
      <c r="C566" s="131" t="s">
        <v>34</v>
      </c>
      <c r="D566" s="67">
        <f>(V566*Settings!$G$2)+(Y566*Settings!$G$5)+(Z566*Settings!$G$6)+(AA566*Settings!$G$7)+(AB566*Settings!$G$8)+(AC566*Settings!$G$9)+(AD566*Settings!$G$10)+(AE566*Settings!$G$11)+(AF566*Settings!$G$12)+(AG566*Settings!$G$13)+(AH566*Settings!$G$14)+(AI566*Settings!$G$15)+(AJ566*Settings!$G$16)+(AK566*Settings!$G$17)+(W566*Settings!$G$3)+(X566*Settings!$G$4)</f>
        <v>5.3330142887227279</v>
      </c>
      <c r="E566" s="67"/>
      <c r="F566" s="67"/>
      <c r="G566" s="67"/>
      <c r="H566" s="67"/>
      <c r="I566" s="67"/>
      <c r="J566" s="67"/>
      <c r="K566" s="73"/>
      <c r="L566" s="73"/>
      <c r="M566" s="67"/>
      <c r="N566" s="67"/>
      <c r="O566" s="67"/>
      <c r="P566" s="67"/>
      <c r="Q566" s="67"/>
      <c r="R566" s="73"/>
      <c r="S566" s="73"/>
      <c r="T566" s="67"/>
      <c r="U566" s="67"/>
      <c r="V566" s="121">
        <f>(VLOOKUP($A566,Pitchers!$A1:$S251,4,FALSE)-AVERAGE(Rankings!AC2:AC651))/STDEV(Rankings!AC2:AC651)</f>
        <v>-1.0467548210240556</v>
      </c>
      <c r="W566" s="121">
        <f>(VLOOKUP($A566,Pitchers!$A1:$S251,5,FALSE)-AVERAGE(Rankings!AD2:AD651))/STDEV(Rankings!AD2:AD651)*-1</f>
        <v>1.7778274299706673</v>
      </c>
      <c r="X566" s="121">
        <f>(VLOOKUP($A566,Pitchers!$A1:$S251,6,FALSE)-AVERAGE(Rankings!AE2:AE651))/STDEV(Rankings!AE2:AE651)*-1</f>
        <v>1.2234681986429019</v>
      </c>
      <c r="Y566" s="121">
        <f>(VLOOKUP($A566,Pitchers!$A1:$S251,7,FALSE)-AVERAGE(Rankings!AF2:AF651))/STDEV(Rankings!AF2:AF651)</f>
        <v>-0.83576181112520476</v>
      </c>
      <c r="Z566" s="121">
        <f>(VLOOKUP($A566,Pitchers!$A1:$S251,8,FALSE)-AVERAGE(Rankings!AG2:AG651))/STDEV(Rankings!AG2:AG651)</f>
        <v>-0.67348312134336641</v>
      </c>
      <c r="AA566" s="121">
        <f>(VLOOKUP($A566,Pitchers!$A1:$S251,9,FALSE)-AVERAGE(Rankings!AH2:AH651))/STDEV(Rankings!AH2:AH651)</f>
        <v>3.8409635925777303</v>
      </c>
      <c r="AB566" s="121">
        <f>(VLOOKUP($A566,Pitchers!$A1:$S251,10,FALSE)-AVERAGE(Rankings!AI2:AI651))/STDEV(Rankings!AI2:AI651)*-1</f>
        <v>1.2618665468966535</v>
      </c>
      <c r="AC566" s="121">
        <f>(VLOOKUP($A566,Pitchers!$A1:$S251,11,FALSE)-AVERAGE(Rankings!AJ2:AJ651))/STDEV(Rankings!AJ2:AJ651)*-1</f>
        <v>1.1616679061362301</v>
      </c>
      <c r="AD566" s="121">
        <f>(VLOOKUP($A566,Pitchers!$A1:$S251,12,FALSE)-AVERAGE(Rankings!AK2:AK651))/STDEV(Rankings!AK2:AK651)*-1</f>
        <v>1.0024120650857442</v>
      </c>
      <c r="AE566" s="121">
        <f>IFERROR((VLOOKUP($A566,Pitchers!$A1:$S251,13,FALSE)-AVERAGE(Rankings!AL2:AL651))/STDEV(Rankings!AL2:AL651)*-1,0)</f>
        <v>0.96456467797315026</v>
      </c>
      <c r="AF566" s="121">
        <f>(VLOOKUP($A566,Pitchers!$A1:$S251,14,FALSE)-AVERAGE(Rankings!AM2:AM651))/STDEV(Rankings!AM2:AM651)</f>
        <v>1.5052821506472311</v>
      </c>
      <c r="AG566" s="121">
        <f>(VLOOKUP($A566,Pitchers!$A1:$S251,15,FALSE)-AVERAGE(Rankings!AN2:AN651))/STDEV(Rankings!AN2:AN651)</f>
        <v>-1.2653418049058471</v>
      </c>
      <c r="AH566" s="121">
        <f>(VLOOKUP($A566,Pitchers!$A1:$S251,16,FALSE)-AVERAGE(Rankings!AO2:AO651))/STDEV(Rankings!AO2:AO651)*-1</f>
        <v>1.1476609248960994</v>
      </c>
      <c r="AI566" s="121">
        <f>IFERROR((VLOOKUP($A566,Pitchers!$A1:$S251,17,FALSE)-AVERAGE(Rankings!AP2:AP651))/STDEV(Rankings!AP2:AP651),0)</f>
        <v>-1.126133891603242</v>
      </c>
      <c r="AJ566" s="121">
        <f>(VLOOKUP($A566,Pitchers!$A1:$S251,18,FALSE)-AVERAGE(Rankings!AQ2:AQ651))/STDEV(Rankings!AQ2:AQ651)</f>
        <v>-0.28308375658414087</v>
      </c>
      <c r="AK566" s="121">
        <f>IFERROR((VLOOKUP($A566,Pitchers!$A1:$S251,19,FALSE)-AVERAGE(Rankings!AR2:AR651))/STDEV(Rankings!AR2:AR651)*-1,0)</f>
        <v>-2.4214810940001081</v>
      </c>
    </row>
    <row r="567" spans="1:37" ht="20.100000000000001" customHeight="1">
      <c r="A567" s="25" t="s">
        <v>183</v>
      </c>
      <c r="B567" s="26" t="s">
        <v>79</v>
      </c>
      <c r="C567" s="131" t="s">
        <v>34</v>
      </c>
      <c r="D567" s="67">
        <f>(V567*Settings!$G$2)+(Y567*Settings!$G$5)+(Z567*Settings!$G$6)+(AA567*Settings!$G$7)+(AB567*Settings!$G$8)+(AC567*Settings!$G$9)+(AD567*Settings!$G$10)+(AE567*Settings!$G$11)+(AF567*Settings!$G$12)+(AG567*Settings!$G$13)+(AH567*Settings!$G$14)+(AI567*Settings!$G$15)+(AJ567*Settings!$G$16)+(AK567*Settings!$G$17)+(W567*Settings!$G$3)+(X567*Settings!$G$4)</f>
        <v>4.8897599038306492</v>
      </c>
      <c r="E567" s="67"/>
      <c r="F567" s="67"/>
      <c r="G567" s="67"/>
      <c r="H567" s="67"/>
      <c r="I567" s="67"/>
      <c r="J567" s="67"/>
      <c r="K567" s="73"/>
      <c r="L567" s="73"/>
      <c r="M567" s="67"/>
      <c r="N567" s="67"/>
      <c r="O567" s="67"/>
      <c r="P567" s="67"/>
      <c r="Q567" s="67"/>
      <c r="R567" s="73"/>
      <c r="S567" s="73"/>
      <c r="T567" s="67"/>
      <c r="U567" s="67"/>
      <c r="V567" s="121">
        <f>(VLOOKUP($A567,Pitchers!$A1:$S251,4,FALSE)-AVERAGE(Rankings!AC2:AC651))/STDEV(Rankings!AC2:AC651)</f>
        <v>-1.1377936099852362</v>
      </c>
      <c r="W567" s="121">
        <f>(VLOOKUP($A567,Pitchers!$A1:$S251,5,FALSE)-AVERAGE(Rankings!AD2:AD651))/STDEV(Rankings!AD2:AD651)*-1</f>
        <v>1.444437301031769</v>
      </c>
      <c r="X567" s="121">
        <f>(VLOOKUP($A567,Pitchers!$A1:$S251,6,FALSE)-AVERAGE(Rankings!AE2:AE651))/STDEV(Rankings!AE2:AE651)*-1</f>
        <v>1.502661688868441</v>
      </c>
      <c r="Y567" s="121">
        <f>(VLOOKUP($A567,Pitchers!$A1:$S251,7,FALSE)-AVERAGE(Rankings!AF2:AF651))/STDEV(Rankings!AF2:AF651)</f>
        <v>-0.88804092590880634</v>
      </c>
      <c r="Z567" s="121">
        <f>(VLOOKUP($A567,Pitchers!$A1:$S251,8,FALSE)-AVERAGE(Rankings!AG2:AG651))/STDEV(Rankings!AG2:AG651)</f>
        <v>-0.96541687716840074</v>
      </c>
      <c r="AA567" s="121">
        <f>(VLOOKUP($A567,Pitchers!$A1:$S251,9,FALSE)-AVERAGE(Rankings!AH2:AH651))/STDEV(Rankings!AH2:AH651)</f>
        <v>3.796118717007646</v>
      </c>
      <c r="AB567" s="121">
        <f>(VLOOKUP($A567,Pitchers!$A1:$S251,10,FALSE)-AVERAGE(Rankings!AI2:AI651))/STDEV(Rankings!AI2:AI651)*-1</f>
        <v>1.2708765336660663</v>
      </c>
      <c r="AC567" s="121">
        <f>(VLOOKUP($A567,Pitchers!$A1:$S251,11,FALSE)-AVERAGE(Rankings!AJ2:AJ651))/STDEV(Rankings!AJ2:AJ651)*-1</f>
        <v>1.168066119727053</v>
      </c>
      <c r="AD567" s="121">
        <f>(VLOOKUP($A567,Pitchers!$A1:$S251,12,FALSE)-AVERAGE(Rankings!AK2:AK651))/STDEV(Rankings!AK2:AK651)*-1</f>
        <v>1.4441757438030665</v>
      </c>
      <c r="AE567" s="121">
        <f>IFERROR((VLOOKUP($A567,Pitchers!$A1:$S251,13,FALSE)-AVERAGE(Rankings!AL2:AL651))/STDEV(Rankings!AL2:AL651)*-1,0)</f>
        <v>1.2305781026761702</v>
      </c>
      <c r="AF567" s="121">
        <f>(VLOOKUP($A567,Pitchers!$A1:$S251,14,FALSE)-AVERAGE(Rankings!AM2:AM651))/STDEV(Rankings!AM2:AM651)</f>
        <v>1.3744704809011032</v>
      </c>
      <c r="AG567" s="121">
        <f>(VLOOKUP($A567,Pitchers!$A1:$S251,15,FALSE)-AVERAGE(Rankings!AN2:AN651))/STDEV(Rankings!AN2:AN651)</f>
        <v>-1.2653418049058471</v>
      </c>
      <c r="AH567" s="121">
        <f>(VLOOKUP($A567,Pitchers!$A1:$S251,16,FALSE)-AVERAGE(Rankings!AO2:AO651))/STDEV(Rankings!AO2:AO651)*-1</f>
        <v>1.0349290170546508</v>
      </c>
      <c r="AI567" s="121">
        <f>IFERROR((VLOOKUP($A567,Pitchers!$A1:$S251,17,FALSE)-AVERAGE(Rankings!AP2:AP651))/STDEV(Rankings!AP2:AP651),0)</f>
        <v>-1.126133891603242</v>
      </c>
      <c r="AJ567" s="121">
        <f>(VLOOKUP($A567,Pitchers!$A1:$S251,18,FALSE)-AVERAGE(Rankings!AQ2:AQ651))/STDEV(Rankings!AQ2:AQ651)</f>
        <v>-0.44371888178213942</v>
      </c>
      <c r="AK567" s="121">
        <f>IFERROR((VLOOKUP($A567,Pitchers!$A1:$S251,19,FALSE)-AVERAGE(Rankings!AR2:AR651))/STDEV(Rankings!AR2:AR651)*-1,0)</f>
        <v>-1.4575156903376447</v>
      </c>
    </row>
    <row r="568" spans="1:37" ht="20.100000000000001" customHeight="1">
      <c r="A568" s="25" t="s">
        <v>184</v>
      </c>
      <c r="B568" s="26" t="s">
        <v>125</v>
      </c>
      <c r="C568" s="131" t="s">
        <v>34</v>
      </c>
      <c r="D568" s="67">
        <f>(V568*Settings!$G$2)+(Y568*Settings!$G$5)+(Z568*Settings!$G$6)+(AA568*Settings!$G$7)+(AB568*Settings!$G$8)+(AC568*Settings!$G$9)+(AD568*Settings!$G$10)+(AE568*Settings!$G$11)+(AF568*Settings!$G$12)+(AG568*Settings!$G$13)+(AH568*Settings!$G$14)+(AI568*Settings!$G$15)+(AJ568*Settings!$G$16)+(AK568*Settings!$G$17)+(W568*Settings!$G$3)+(X568*Settings!$G$4)</f>
        <v>4.8779871718667662</v>
      </c>
      <c r="E568" s="67"/>
      <c r="F568" s="67"/>
      <c r="G568" s="67"/>
      <c r="H568" s="67"/>
      <c r="I568" s="67"/>
      <c r="J568" s="67"/>
      <c r="K568" s="73"/>
      <c r="L568" s="73"/>
      <c r="M568" s="67"/>
      <c r="N568" s="67"/>
      <c r="O568" s="67"/>
      <c r="P568" s="67"/>
      <c r="Q568" s="67"/>
      <c r="R568" s="73"/>
      <c r="S568" s="73"/>
      <c r="T568" s="67"/>
      <c r="U568" s="67"/>
      <c r="V568" s="121">
        <f>(VLOOKUP($A568,Pitchers!$A1:$S251,4,FALSE)-AVERAGE(Rankings!AC2:AC651))/STDEV(Rankings!AC2:AC651)</f>
        <v>-1.0643979971793229</v>
      </c>
      <c r="W568" s="121">
        <f>(VLOOKUP($A568,Pitchers!$A1:$S251,5,FALSE)-AVERAGE(Rankings!AD2:AD651))/STDEV(Rankings!AD2:AD651)*-1</f>
        <v>1.8255276534071327</v>
      </c>
      <c r="X568" s="121">
        <f>(VLOOKUP($A568,Pitchers!$A1:$S251,6,FALSE)-AVERAGE(Rankings!AE2:AE651))/STDEV(Rankings!AE2:AE651)*-1</f>
        <v>1.4863987651382264</v>
      </c>
      <c r="Y568" s="121">
        <f>(VLOOKUP($A568,Pitchers!$A1:$S251,7,FALSE)-AVERAGE(Rankings!AF2:AF651))/STDEV(Rankings!AF2:AF651)</f>
        <v>-0.70361182653332333</v>
      </c>
      <c r="Z568" s="121">
        <f>(VLOOKUP($A568,Pitchers!$A1:$S251,8,FALSE)-AVERAGE(Rankings!AG2:AG651))/STDEV(Rankings!AG2:AG651)</f>
        <v>-0.76408325246148046</v>
      </c>
      <c r="AA568" s="121">
        <f>(VLOOKUP($A568,Pitchers!$A1:$S251,9,FALSE)-AVERAGE(Rankings!AH2:AH651))/STDEV(Rankings!AH2:AH651)</f>
        <v>3.0337558323162108</v>
      </c>
      <c r="AB568" s="121">
        <f>(VLOOKUP($A568,Pitchers!$A1:$S251,10,FALSE)-AVERAGE(Rankings!AI2:AI651))/STDEV(Rankings!AI2:AI651)*-1</f>
        <v>1.2813881848970481</v>
      </c>
      <c r="AC568" s="121">
        <f>(VLOOKUP($A568,Pitchers!$A1:$S251,11,FALSE)-AVERAGE(Rankings!AJ2:AJ651))/STDEV(Rankings!AJ2:AJ651)*-1</f>
        <v>1.2775466633922468</v>
      </c>
      <c r="AD568" s="121">
        <f>(VLOOKUP($A568,Pitchers!$A1:$S251,12,FALSE)-AVERAGE(Rankings!AK2:AK651))/STDEV(Rankings!AK2:AK651)*-1</f>
        <v>0.79007261730448974</v>
      </c>
      <c r="AE568" s="121">
        <f>IFERROR((VLOOKUP($A568,Pitchers!$A1:$S251,13,FALSE)-AVERAGE(Rankings!AL2:AL651))/STDEV(Rankings!AL2:AL651)*-1,0)</f>
        <v>1.0975713903246602</v>
      </c>
      <c r="AF568" s="121">
        <f>(VLOOKUP($A568,Pitchers!$A1:$S251,14,FALSE)-AVERAGE(Rankings!AM2:AM651))/STDEV(Rankings!AM2:AM651)</f>
        <v>1.2022351157353683</v>
      </c>
      <c r="AG568" s="121">
        <f>(VLOOKUP($A568,Pitchers!$A1:$S251,15,FALSE)-AVERAGE(Rankings!AN2:AN651))/STDEV(Rankings!AN2:AN651)</f>
        <v>-1.2653418049058471</v>
      </c>
      <c r="AH568" s="121">
        <f>(VLOOKUP($A568,Pitchers!$A1:$S251,16,FALSE)-AVERAGE(Rankings!AO2:AO651))/STDEV(Rankings!AO2:AO651)*-1</f>
        <v>1.2854443678134257</v>
      </c>
      <c r="AI568" s="121">
        <f>IFERROR((VLOOKUP($A568,Pitchers!$A1:$S251,17,FALSE)-AVERAGE(Rankings!AP2:AP651))/STDEV(Rankings!AP2:AP651),0)</f>
        <v>-1.126133891603242</v>
      </c>
      <c r="AJ568" s="121">
        <f>(VLOOKUP($A568,Pitchers!$A1:$S251,18,FALSE)-AVERAGE(Rankings!AQ2:AQ651))/STDEV(Rankings!AQ2:AQ651)</f>
        <v>-0.28308375658414087</v>
      </c>
      <c r="AK568" s="121">
        <f>IFERROR((VLOOKUP($A568,Pitchers!$A1:$S251,19,FALSE)-AVERAGE(Rankings!AR2:AR651))/STDEV(Rankings!AR2:AR651)*-1,0)</f>
        <v>-2.9034637958313398</v>
      </c>
    </row>
    <row r="569" spans="1:37" ht="20.100000000000001" customHeight="1">
      <c r="A569" s="25" t="s">
        <v>190</v>
      </c>
      <c r="B569" s="26" t="s">
        <v>74</v>
      </c>
      <c r="C569" s="131" t="s">
        <v>34</v>
      </c>
      <c r="D569" s="67">
        <f>(V569*Settings!$G$2)+(Y569*Settings!$G$5)+(Z569*Settings!$G$6)+(AA569*Settings!$G$7)+(AB569*Settings!$G$8)+(AC569*Settings!$G$9)+(AD569*Settings!$G$10)+(AE569*Settings!$G$11)+(AF569*Settings!$G$12)+(AG569*Settings!$G$13)+(AH569*Settings!$G$14)+(AI569*Settings!$G$15)+(AJ569*Settings!$G$16)+(AK569*Settings!$G$17)+(W569*Settings!$G$3)+(X569*Settings!$G$4)</f>
        <v>4.6794839742505827</v>
      </c>
      <c r="E569" s="67"/>
      <c r="F569" s="67"/>
      <c r="G569" s="67"/>
      <c r="H569" s="67"/>
      <c r="I569" s="67"/>
      <c r="J569" s="67"/>
      <c r="K569" s="73"/>
      <c r="L569" s="73"/>
      <c r="M569" s="67"/>
      <c r="N569" s="67"/>
      <c r="O569" s="67"/>
      <c r="P569" s="67"/>
      <c r="Q569" s="67"/>
      <c r="R569" s="73"/>
      <c r="S569" s="73"/>
      <c r="T569" s="67"/>
      <c r="U569" s="67"/>
      <c r="V569" s="121">
        <f>(VLOOKUP($A569,Pitchers!$A1:$S251,4,FALSE)-AVERAGE(Rankings!AC2:AC651))/STDEV(Rankings!AC2:AC651)</f>
        <v>-1.0227601014528913</v>
      </c>
      <c r="W569" s="121">
        <f>(VLOOKUP($A569,Pitchers!$A1:$S251,5,FALSE)-AVERAGE(Rankings!AD2:AD651))/STDEV(Rankings!AD2:AD651)*-1</f>
        <v>1.2935659323294055</v>
      </c>
      <c r="X569" s="121">
        <f>(VLOOKUP($A569,Pitchers!$A1:$S251,6,FALSE)-AVERAGE(Rankings!AE2:AE651))/STDEV(Rankings!AE2:AE651)*-1</f>
        <v>1.7802552325657957</v>
      </c>
      <c r="Y569" s="121">
        <f>(VLOOKUP($A569,Pitchers!$A1:$S251,7,FALSE)-AVERAGE(Rankings!AF2:AF651))/STDEV(Rankings!AF2:AF651)</f>
        <v>-0.73265577919087987</v>
      </c>
      <c r="Z569" s="121">
        <f>(VLOOKUP($A569,Pitchers!$A1:$S251,8,FALSE)-AVERAGE(Rankings!AG2:AG651))/STDEV(Rankings!AG2:AG651)</f>
        <v>-0.87481674605028648</v>
      </c>
      <c r="AA569" s="121">
        <f>(VLOOKUP($A569,Pitchers!$A1:$S251,9,FALSE)-AVERAGE(Rankings!AH2:AH651))/STDEV(Rankings!AH2:AH651)</f>
        <v>3.2131353345965481</v>
      </c>
      <c r="AB569" s="121">
        <f>(VLOOKUP($A569,Pitchers!$A1:$S251,10,FALSE)-AVERAGE(Rankings!AI2:AI651))/STDEV(Rankings!AI2:AI651)*-1</f>
        <v>1.1642583568946805</v>
      </c>
      <c r="AC569" s="121">
        <f>(VLOOKUP($A569,Pitchers!$A1:$S251,11,FALSE)-AVERAGE(Rankings!AJ2:AJ651))/STDEV(Rankings!AJ2:AJ651)*-1</f>
        <v>1.0635619644102772</v>
      </c>
      <c r="AD569" s="121">
        <f>(VLOOKUP($A569,Pitchers!$A1:$S251,12,FALSE)-AVERAGE(Rankings!AK2:AK651))/STDEV(Rankings!AK2:AK651)*-1</f>
        <v>1.5076335098066596</v>
      </c>
      <c r="AE569" s="121">
        <f>IFERROR((VLOOKUP($A569,Pitchers!$A1:$S251,13,FALSE)-AVERAGE(Rankings!AL2:AL651))/STDEV(Rankings!AL2:AL651)*-1,0)</f>
        <v>0.96456467797315026</v>
      </c>
      <c r="AF569" s="121">
        <f>(VLOOKUP($A569,Pitchers!$A1:$S251,14,FALSE)-AVERAGE(Rankings!AM2:AM651))/STDEV(Rankings!AM2:AM651)</f>
        <v>1.6578957653510471</v>
      </c>
      <c r="AG569" s="121">
        <f>(VLOOKUP($A569,Pitchers!$A1:$S251,15,FALSE)-AVERAGE(Rankings!AN2:AN651))/STDEV(Rankings!AN2:AN651)</f>
        <v>-1.2653418049058471</v>
      </c>
      <c r="AH569" s="121">
        <f>(VLOOKUP($A569,Pitchers!$A1:$S251,16,FALSE)-AVERAGE(Rankings!AO2:AO651))/STDEV(Rankings!AO2:AO651)*-1</f>
        <v>0.77188789875793684</v>
      </c>
      <c r="AI569" s="121">
        <f>IFERROR((VLOOKUP($A569,Pitchers!$A1:$S251,17,FALSE)-AVERAGE(Rankings!AP2:AP651))/STDEV(Rankings!AP2:AP651),0)</f>
        <v>-1.126133891603242</v>
      </c>
      <c r="AJ569" s="121">
        <f>(VLOOKUP($A569,Pitchers!$A1:$S251,18,FALSE)-AVERAGE(Rankings!AQ2:AQ651))/STDEV(Rankings!AQ2:AQ651)</f>
        <v>-4.2131068787143025E-2</v>
      </c>
      <c r="AK569" s="121">
        <f>IFERROR((VLOOKUP($A569,Pitchers!$A1:$S251,19,FALSE)-AVERAGE(Rankings!AR2:AR651))/STDEV(Rankings!AR2:AR651)*-1,0)</f>
        <v>-2.9034637958313398</v>
      </c>
    </row>
    <row r="570" spans="1:37" ht="20.100000000000001" customHeight="1">
      <c r="A570" s="25" t="s">
        <v>199</v>
      </c>
      <c r="B570" s="26" t="s">
        <v>101</v>
      </c>
      <c r="C570" s="131" t="s">
        <v>34</v>
      </c>
      <c r="D570" s="67">
        <f>(V570*Settings!$G$2)+(Y570*Settings!$G$5)+(Z570*Settings!$G$6)+(AA570*Settings!$G$7)+(AB570*Settings!$G$8)+(AC570*Settings!$G$9)+(AD570*Settings!$G$10)+(AE570*Settings!$G$11)+(AF570*Settings!$G$12)+(AG570*Settings!$G$13)+(AH570*Settings!$G$14)+(AI570*Settings!$G$15)+(AJ570*Settings!$G$16)+(AK570*Settings!$G$17)+(W570*Settings!$G$3)+(X570*Settings!$G$4)</f>
        <v>4.4181059844995705</v>
      </c>
      <c r="E570" s="67"/>
      <c r="F570" s="67"/>
      <c r="G570" s="67"/>
      <c r="H570" s="67"/>
      <c r="I570" s="67"/>
      <c r="J570" s="67"/>
      <c r="K570" s="73"/>
      <c r="L570" s="73"/>
      <c r="M570" s="67"/>
      <c r="N570" s="67"/>
      <c r="O570" s="67"/>
      <c r="P570" s="67"/>
      <c r="Q570" s="67"/>
      <c r="R570" s="73"/>
      <c r="S570" s="73"/>
      <c r="T570" s="67"/>
      <c r="U570" s="67"/>
      <c r="V570" s="121">
        <f>(VLOOKUP($A570,Pitchers!$A1:$S251,4,FALSE)-AVERAGE(Rankings!AC2:AC651))/STDEV(Rankings!AC2:AC651)</f>
        <v>-0.98253365981888141</v>
      </c>
      <c r="W570" s="121">
        <f>(VLOOKUP($A570,Pitchers!$A1:$S251,5,FALSE)-AVERAGE(Rankings!AD2:AD651))/STDEV(Rankings!AD2:AD651)*-1</f>
        <v>1.8506272364355976</v>
      </c>
      <c r="X570" s="121">
        <f>(VLOOKUP($A570,Pitchers!$A1:$S251,6,FALSE)-AVERAGE(Rankings!AE2:AE651))/STDEV(Rankings!AE2:AE651)*-1</f>
        <v>1.3844916105077261</v>
      </c>
      <c r="Y570" s="121">
        <f>(VLOOKUP($A570,Pitchers!$A1:$S251,7,FALSE)-AVERAGE(Rankings!AF2:AF651))/STDEV(Rankings!AF2:AF651)</f>
        <v>-0.59614920170036467</v>
      </c>
      <c r="Z570" s="121">
        <f>(VLOOKUP($A570,Pitchers!$A1:$S251,8,FALSE)-AVERAGE(Rankings!AG2:AG651))/STDEV(Rankings!AG2:AG651)</f>
        <v>-0.98555023963909261</v>
      </c>
      <c r="AA570" s="121">
        <f>(VLOOKUP($A570,Pitchers!$A1:$S251,9,FALSE)-AVERAGE(Rankings!AH2:AH651))/STDEV(Rankings!AH2:AH651)</f>
        <v>2.764686578895704</v>
      </c>
      <c r="AB570" s="121">
        <f>(VLOOKUP($A570,Pitchers!$A1:$S251,10,FALSE)-AVERAGE(Rankings!AI2:AI651))/STDEV(Rankings!AI2:AI651)*-1</f>
        <v>1.2318332576652771</v>
      </c>
      <c r="AC570" s="121">
        <f>(VLOOKUP($A570,Pitchers!$A1:$S251,11,FALSE)-AVERAGE(Rankings!AJ2:AJ651))/STDEV(Rankings!AJ2:AJ651)*-1</f>
        <v>1.2014790129235731</v>
      </c>
      <c r="AD570" s="121">
        <f>(VLOOKUP($A570,Pitchers!$A1:$S251,12,FALSE)-AVERAGE(Rankings!AK2:AK651))/STDEV(Rankings!AK2:AK651)*-1</f>
        <v>0.69976733491476084</v>
      </c>
      <c r="AE570" s="121">
        <f>IFERROR((VLOOKUP($A570,Pitchers!$A1:$S251,13,FALSE)-AVERAGE(Rankings!AL2:AL651))/STDEV(Rankings!AL2:AL651)*-1,0)</f>
        <v>1.0975713903246602</v>
      </c>
      <c r="AF570" s="121">
        <f>(VLOOKUP($A570,Pitchers!$A1:$S251,14,FALSE)-AVERAGE(Rankings!AM2:AM651))/STDEV(Rankings!AM2:AM651)</f>
        <v>1.8105093800548624</v>
      </c>
      <c r="AG570" s="121">
        <f>(VLOOKUP($A570,Pitchers!$A1:$S251,15,FALSE)-AVERAGE(Rankings!AN2:AN651))/STDEV(Rankings!AN2:AN651)</f>
        <v>-1.2653418049058471</v>
      </c>
      <c r="AH570" s="121">
        <f>(VLOOKUP($A570,Pitchers!$A1:$S251,16,FALSE)-AVERAGE(Rankings!AO2:AO651))/STDEV(Rankings!AO2:AO651)*-1</f>
        <v>1.0224032495167119</v>
      </c>
      <c r="AI570" s="121">
        <f>IFERROR((VLOOKUP($A570,Pitchers!$A1:$S251,17,FALSE)-AVERAGE(Rankings!AP2:AP651))/STDEV(Rankings!AP2:AP651),0)</f>
        <v>-1.126133891603242</v>
      </c>
      <c r="AJ570" s="121">
        <f>(VLOOKUP($A570,Pitchers!$A1:$S251,18,FALSE)-AVERAGE(Rankings!AQ2:AQ651))/STDEV(Rankings!AQ2:AQ651)</f>
        <v>-0.1224486313861423</v>
      </c>
      <c r="AK570" s="121">
        <f>IFERROR((VLOOKUP($A570,Pitchers!$A1:$S251,19,FALSE)-AVERAGE(Rankings!AR2:AR651))/STDEV(Rankings!AR2:AR651)*-1,0)</f>
        <v>-1.4575156903376447</v>
      </c>
    </row>
    <row r="571" spans="1:37" ht="20.100000000000001" customHeight="1">
      <c r="A571" s="25" t="s">
        <v>258</v>
      </c>
      <c r="B571" s="26" t="s">
        <v>105</v>
      </c>
      <c r="C571" s="131" t="s">
        <v>34</v>
      </c>
      <c r="D571" s="67">
        <f>(V571*Settings!$G$2)+(Y571*Settings!$G$5)+(Z571*Settings!$G$6)+(AA571*Settings!$G$7)+(AB571*Settings!$G$8)+(AC571*Settings!$G$9)+(AD571*Settings!$G$10)+(AE571*Settings!$G$11)+(AF571*Settings!$G$12)+(AG571*Settings!$G$13)+(AH571*Settings!$G$14)+(AI571*Settings!$G$15)+(AJ571*Settings!$G$16)+(AK571*Settings!$G$17)+(W571*Settings!$G$3)+(X571*Settings!$G$4)</f>
        <v>2.8002175668023739</v>
      </c>
      <c r="E571" s="67"/>
      <c r="F571" s="67"/>
      <c r="G571" s="67"/>
      <c r="H571" s="67"/>
      <c r="I571" s="67"/>
      <c r="J571" s="67"/>
      <c r="K571" s="73"/>
      <c r="L571" s="73"/>
      <c r="M571" s="67"/>
      <c r="N571" s="67"/>
      <c r="O571" s="67"/>
      <c r="P571" s="67"/>
      <c r="Q571" s="67"/>
      <c r="R571" s="73"/>
      <c r="S571" s="73"/>
      <c r="T571" s="67"/>
      <c r="U571" s="67"/>
      <c r="V571" s="121">
        <f>(VLOOKUP($A571,Pitchers!$A1:$S251,4,FALSE)-AVERAGE(Rankings!AC2:AC651))/STDEV(Rankings!AC2:AC651)</f>
        <v>-1.0411090046543698</v>
      </c>
      <c r="W571" s="121">
        <f>(VLOOKUP($A571,Pitchers!$A1:$S251,5,FALSE)-AVERAGE(Rankings!AD2:AD651))/STDEV(Rankings!AD2:AD651)*-1</f>
        <v>0.29302030955360758</v>
      </c>
      <c r="X571" s="121">
        <f>(VLOOKUP($A571,Pitchers!$A1:$S251,6,FALSE)-AVERAGE(Rankings!AE2:AE651))/STDEV(Rankings!AE2:AE651)*-1</f>
        <v>0.54209974003012962</v>
      </c>
      <c r="Y571" s="121">
        <f>(VLOOKUP($A571,Pitchers!$A1:$S251,7,FALSE)-AVERAGE(Rankings!AF2:AF651))/STDEV(Rankings!AF2:AF651)</f>
        <v>-0.79146978332243134</v>
      </c>
      <c r="Z571" s="121">
        <f>(VLOOKUP($A571,Pitchers!$A1:$S251,8,FALSE)-AVERAGE(Rankings!AG2:AG651))/STDEV(Rankings!AG2:AG651)</f>
        <v>-0.90501678975632449</v>
      </c>
      <c r="AA571" s="121">
        <f>(VLOOKUP($A571,Pitchers!$A1:$S251,9,FALSE)-AVERAGE(Rankings!AH2:AH651))/STDEV(Rankings!AH2:AH651)</f>
        <v>3.6615840902973926</v>
      </c>
      <c r="AB571" s="121">
        <f>(VLOOKUP($A571,Pitchers!$A1:$S251,10,FALSE)-AVERAGE(Rankings!AI2:AI651))/STDEV(Rankings!AI2:AI651)*-1</f>
        <v>1.0110885818146618</v>
      </c>
      <c r="AC571" s="121">
        <f>(VLOOKUP($A571,Pitchers!$A1:$S251,11,FALSE)-AVERAGE(Rankings!AJ2:AJ651))/STDEV(Rankings!AJ2:AJ651)*-1</f>
        <v>1.1282550129397098</v>
      </c>
      <c r="AD571" s="121">
        <f>(VLOOKUP($A571,Pitchers!$A1:$S251,12,FALSE)-AVERAGE(Rankings!AK2:AK651))/STDEV(Rankings!AK2:AK651)*-1</f>
        <v>0.78275056738099835</v>
      </c>
      <c r="AE571" s="121">
        <f>IFERROR((VLOOKUP($A571,Pitchers!$A1:$S251,13,FALSE)-AVERAGE(Rankings!AL2:AL651))/STDEV(Rankings!AL2:AL651)*-1,0)</f>
        <v>0.96456467797315026</v>
      </c>
      <c r="AF571" s="121">
        <f>(VLOOKUP($A571,Pitchers!$A1:$S251,14,FALSE)-AVERAGE(Rankings!AM2:AM651))/STDEV(Rankings!AM2:AM651)</f>
        <v>1.6578957653510471</v>
      </c>
      <c r="AG571" s="121">
        <f>(VLOOKUP($A571,Pitchers!$A1:$S251,15,FALSE)-AVERAGE(Rankings!AN2:AN651))/STDEV(Rankings!AN2:AN651)</f>
        <v>-1.2653418049058471</v>
      </c>
      <c r="AH571" s="121">
        <f>(VLOOKUP($A571,Pitchers!$A1:$S251,16,FALSE)-AVERAGE(Rankings!AO2:AO651))/STDEV(Rankings!AO2:AO651)*-1</f>
        <v>1.1100836222822834</v>
      </c>
      <c r="AI571" s="121">
        <f>IFERROR((VLOOKUP($A571,Pitchers!$A1:$S251,17,FALSE)-AVERAGE(Rankings!AP2:AP651))/STDEV(Rankings!AP2:AP651),0)</f>
        <v>-1.126133891603242</v>
      </c>
      <c r="AJ571" s="121">
        <f>(VLOOKUP($A571,Pitchers!$A1:$S251,18,FALSE)-AVERAGE(Rankings!AQ2:AQ651))/STDEV(Rankings!AQ2:AQ651)</f>
        <v>-0.44371888178213942</v>
      </c>
      <c r="AK571" s="121">
        <f>IFERROR((VLOOKUP($A571,Pitchers!$A1:$S251,19,FALSE)-AVERAGE(Rankings!AR2:AR651))/STDEV(Rankings!AR2:AR651)*-1,0)</f>
        <v>-1.4575156903376447</v>
      </c>
    </row>
    <row r="572" spans="1:37" ht="20.100000000000001" customHeight="1">
      <c r="A572" s="25" t="s">
        <v>222</v>
      </c>
      <c r="B572" s="26" t="s">
        <v>158</v>
      </c>
      <c r="C572" s="131" t="s">
        <v>34</v>
      </c>
      <c r="D572" s="67">
        <f>(V572*Settings!$G$2)+(Y572*Settings!$G$5)+(Z572*Settings!$G$6)+(AA572*Settings!$G$7)+(AB572*Settings!$G$8)+(AC572*Settings!$G$9)+(AD572*Settings!$G$10)+(AE572*Settings!$G$11)+(AF572*Settings!$G$12)+(AG572*Settings!$G$13)+(AH572*Settings!$G$14)+(AI572*Settings!$G$15)+(AJ572*Settings!$G$16)+(AK572*Settings!$G$17)+(W572*Settings!$G$3)+(X572*Settings!$G$4)</f>
        <v>3.7573611650874223</v>
      </c>
      <c r="E572" s="67"/>
      <c r="F572" s="67"/>
      <c r="G572" s="67"/>
      <c r="H572" s="67"/>
      <c r="I572" s="67"/>
      <c r="J572" s="67"/>
      <c r="K572" s="73"/>
      <c r="L572" s="73"/>
      <c r="M572" s="67"/>
      <c r="N572" s="67"/>
      <c r="O572" s="67"/>
      <c r="P572" s="67"/>
      <c r="Q572" s="67"/>
      <c r="R572" s="73"/>
      <c r="S572" s="73"/>
      <c r="T572" s="67"/>
      <c r="U572" s="67"/>
      <c r="V572" s="121">
        <f>(VLOOKUP($A572,Pitchers!$A1:$S251,4,FALSE)-AVERAGE(Rankings!AC2:AC651))/STDEV(Rankings!AC2:AC651)</f>
        <v>-0.88796623562664712</v>
      </c>
      <c r="W572" s="121">
        <f>(VLOOKUP($A572,Pitchers!$A1:$S251,5,FALSE)-AVERAGE(Rankings!AD2:AD651))/STDEV(Rankings!AD2:AD651)*-1</f>
        <v>2.63085203295359</v>
      </c>
      <c r="X572" s="121">
        <f>(VLOOKUP($A572,Pitchers!$A1:$S251,6,FALSE)-AVERAGE(Rankings!AE2:AE651))/STDEV(Rankings!AE2:AE651)*-1</f>
        <v>1.6829803685675992</v>
      </c>
      <c r="Y572" s="121">
        <f>(VLOOKUP($A572,Pitchers!$A1:$S251,7,FALSE)-AVERAGE(Rankings!AF2:AF651))/STDEV(Rankings!AF2:AF651)</f>
        <v>-0.46036872302628895</v>
      </c>
      <c r="Z572" s="121">
        <f>(VLOOKUP($A572,Pitchers!$A1:$S251,8,FALSE)-AVERAGE(Rankings!AG2:AG651))/STDEV(Rankings!AG2:AG651)</f>
        <v>-1.1566838206399748</v>
      </c>
      <c r="AA572" s="121">
        <f>(VLOOKUP($A572,Pitchers!$A1:$S251,9,FALSE)-AVERAGE(Rankings!AH2:AH651))/STDEV(Rankings!AH2:AH651)</f>
        <v>1.0605813072324966</v>
      </c>
      <c r="AB572" s="121">
        <f>(VLOOKUP($A572,Pitchers!$A1:$S251,10,FALSE)-AVERAGE(Rankings!AI2:AI651))/STDEV(Rankings!AI2:AI651)*-1</f>
        <v>1.314424803051562</v>
      </c>
      <c r="AC572" s="121">
        <f>(VLOOKUP($A572,Pitchers!$A1:$S251,11,FALSE)-AVERAGE(Rankings!AJ2:AJ651))/STDEV(Rankings!AJ2:AJ651)*-1</f>
        <v>1.0280163333501495</v>
      </c>
      <c r="AD572" s="121">
        <f>(VLOOKUP($A572,Pitchers!$A1:$S251,12,FALSE)-AVERAGE(Rankings!AK2:AK651))/STDEV(Rankings!AK2:AK651)*-1</f>
        <v>1.0951580307833035</v>
      </c>
      <c r="AE572" s="121">
        <f>IFERROR((VLOOKUP($A572,Pitchers!$A1:$S251,13,FALSE)-AVERAGE(Rankings!AL2:AL651))/STDEV(Rankings!AL2:AL651)*-1,0)</f>
        <v>1.3635848150276801</v>
      </c>
      <c r="AF572" s="121">
        <f>(VLOOKUP($A572,Pitchers!$A1:$S251,14,FALSE)-AVERAGE(Rankings!AM2:AM651))/STDEV(Rankings!AM2:AM651)</f>
        <v>1.4202545653122483</v>
      </c>
      <c r="AG572" s="121">
        <f>(VLOOKUP($A572,Pitchers!$A1:$S251,15,FALSE)-AVERAGE(Rankings!AN2:AN651))/STDEV(Rankings!AN2:AN651)</f>
        <v>-1.2653418049058471</v>
      </c>
      <c r="AH572" s="121">
        <f>(VLOOKUP($A572,Pitchers!$A1:$S251,16,FALSE)-AVERAGE(Rankings!AO2:AO651))/STDEV(Rankings!AO2:AO651)*-1</f>
        <v>0.92219710921320197</v>
      </c>
      <c r="AI572" s="121">
        <f>IFERROR((VLOOKUP($A572,Pitchers!$A1:$S251,17,FALSE)-AVERAGE(Rankings!AP2:AP651))/STDEV(Rankings!AP2:AP651),0)</f>
        <v>-1.126133891603242</v>
      </c>
      <c r="AJ572" s="121">
        <f>(VLOOKUP($A572,Pitchers!$A1:$S251,18,FALSE)-AVERAGE(Rankings!AQ2:AQ651))/STDEV(Rankings!AQ2:AQ651)</f>
        <v>2.4477133717818349</v>
      </c>
      <c r="AK572" s="121">
        <f>IFERROR((VLOOKUP($A572,Pitchers!$A1:$S251,19,FALSE)-AVERAGE(Rankings!AR2:AR651))/STDEV(Rankings!AR2:AR651)*-1,0)</f>
        <v>-0.97553298850641301</v>
      </c>
    </row>
    <row r="573" spans="1:37" ht="20.100000000000001" customHeight="1">
      <c r="A573" s="25" t="s">
        <v>239</v>
      </c>
      <c r="B573" s="26" t="s">
        <v>72</v>
      </c>
      <c r="C573" s="131" t="s">
        <v>34</v>
      </c>
      <c r="D573" s="67">
        <f>(V573*Settings!$G$2)+(Y573*Settings!$G$5)+(Z573*Settings!$G$6)+(AA573*Settings!$G$7)+(AB573*Settings!$G$8)+(AC573*Settings!$G$9)+(AD573*Settings!$G$10)+(AE573*Settings!$G$11)+(AF573*Settings!$G$12)+(AG573*Settings!$G$13)+(AH573*Settings!$G$14)+(AI573*Settings!$G$15)+(AJ573*Settings!$G$16)+(AK573*Settings!$G$17)+(W573*Settings!$G$3)+(X573*Settings!$G$4)</f>
        <v>3.2464891469940764</v>
      </c>
      <c r="E573" s="67"/>
      <c r="F573" s="67"/>
      <c r="G573" s="67"/>
      <c r="H573" s="67"/>
      <c r="I573" s="67"/>
      <c r="J573" s="67"/>
      <c r="K573" s="73"/>
      <c r="L573" s="73"/>
      <c r="M573" s="67"/>
      <c r="N573" s="67"/>
      <c r="O573" s="67"/>
      <c r="P573" s="67"/>
      <c r="Q573" s="67"/>
      <c r="R573" s="73"/>
      <c r="S573" s="73"/>
      <c r="T573" s="67"/>
      <c r="U573" s="67"/>
      <c r="V573" s="121">
        <f>(VLOOKUP($A573,Pitchers!$A1:$S251,4,FALSE)-AVERAGE(Rankings!AC2:AC651))/STDEV(Rankings!AC2:AC651)</f>
        <v>-1.0389918235157376</v>
      </c>
      <c r="W573" s="121">
        <f>(VLOOKUP($A573,Pitchers!$A1:$S251,5,FALSE)-AVERAGE(Rankings!AD2:AD651))/STDEV(Rankings!AD2:AD651)*-1</f>
        <v>2.1692592100369628</v>
      </c>
      <c r="X573" s="121">
        <f>(VLOOKUP($A573,Pitchers!$A1:$S251,6,FALSE)-AVERAGE(Rankings!AE2:AE651))/STDEV(Rankings!AE2:AE651)*-1</f>
        <v>2.3483147872464762</v>
      </c>
      <c r="Y573" s="121">
        <f>(VLOOKUP($A573,Pitchers!$A1:$S251,7,FALSE)-AVERAGE(Rankings!AF2:AF651))/STDEV(Rankings!AF2:AF651)</f>
        <v>-0.45746432776053347</v>
      </c>
      <c r="Z573" s="121">
        <f>(VLOOKUP($A573,Pitchers!$A1:$S251,8,FALSE)-AVERAGE(Rankings!AG2:AG651))/STDEV(Rankings!AG2:AG651)</f>
        <v>-1.1566838206399748</v>
      </c>
      <c r="AA573" s="121">
        <f>(VLOOKUP($A573,Pitchers!$A1:$S251,9,FALSE)-AVERAGE(Rankings!AH2:AH651))/STDEV(Rankings!AH2:AH651)</f>
        <v>0.34306329811114578</v>
      </c>
      <c r="AB573" s="121">
        <f>(VLOOKUP($A573,Pitchers!$A1:$S251,10,FALSE)-AVERAGE(Rankings!AI2:AI651))/STDEV(Rankings!AI2:AI651)*-1</f>
        <v>1.3219331253594058</v>
      </c>
      <c r="AC573" s="121">
        <f>(VLOOKUP($A573,Pitchers!$A1:$S251,11,FALSE)-AVERAGE(Rankings!AJ2:AJ651))/STDEV(Rankings!AJ2:AJ651)*-1</f>
        <v>1.2441337701957265</v>
      </c>
      <c r="AD573" s="121">
        <f>(VLOOKUP($A573,Pitchers!$A1:$S251,12,FALSE)-AVERAGE(Rankings!AK2:AK651))/STDEV(Rankings!AK2:AK651)*-1</f>
        <v>1.2074294629435069</v>
      </c>
      <c r="AE573" s="121">
        <f>IFERROR((VLOOKUP($A573,Pitchers!$A1:$S251,13,FALSE)-AVERAGE(Rankings!AL2:AL651))/STDEV(Rankings!AL2:AL651)*-1,0)</f>
        <v>1.3635848150276801</v>
      </c>
      <c r="AF573" s="121">
        <f>(VLOOKUP($A573,Pitchers!$A1:$S251,14,FALSE)-AVERAGE(Rankings!AM2:AM651))/STDEV(Rankings!AM2:AM651)</f>
        <v>1.5924899304779832</v>
      </c>
      <c r="AG573" s="121">
        <f>(VLOOKUP($A573,Pitchers!$A1:$S251,15,FALSE)-AVERAGE(Rankings!AN2:AN651))/STDEV(Rankings!AN2:AN651)</f>
        <v>-1.2653418049058471</v>
      </c>
      <c r="AH573" s="121">
        <f>(VLOOKUP($A573,Pitchers!$A1:$S251,16,FALSE)-AVERAGE(Rankings!AO2:AO651))/STDEV(Rankings!AO2:AO651)*-1</f>
        <v>0.92219710921320197</v>
      </c>
      <c r="AI573" s="121">
        <f>IFERROR((VLOOKUP($A573,Pitchers!$A1:$S251,17,FALSE)-AVERAGE(Rankings!AP2:AP651))/STDEV(Rankings!AP2:AP651),0)</f>
        <v>-1.126133891603242</v>
      </c>
      <c r="AJ573" s="121">
        <f>(VLOOKUP($A573,Pitchers!$A1:$S251,18,FALSE)-AVERAGE(Rankings!AQ2:AQ651))/STDEV(Rankings!AQ2:AQ651)</f>
        <v>2.0461255587868381</v>
      </c>
      <c r="AK573" s="121">
        <f>IFERROR((VLOOKUP($A573,Pitchers!$A1:$S251,19,FALSE)-AVERAGE(Rankings!AR2:AR651))/STDEV(Rankings!AR2:AR651)*-1,0)</f>
        <v>0.47041511698728217</v>
      </c>
    </row>
    <row r="574" spans="1:37" ht="20.100000000000001" customHeight="1">
      <c r="A574" s="25" t="s">
        <v>289</v>
      </c>
      <c r="B574" s="26" t="s">
        <v>219</v>
      </c>
      <c r="C574" s="131" t="s">
        <v>34</v>
      </c>
      <c r="D574" s="67">
        <f>(V574*Settings!$G$2)+(Y574*Settings!$G$5)+(Z574*Settings!$G$6)+(AA574*Settings!$G$7)+(AB574*Settings!$G$8)+(AC574*Settings!$G$9)+(AD574*Settings!$G$10)+(AE574*Settings!$G$11)+(AF574*Settings!$G$12)+(AG574*Settings!$G$13)+(AH574*Settings!$G$14)+(AI574*Settings!$G$15)+(AJ574*Settings!$G$16)+(AK574*Settings!$G$17)+(W574*Settings!$G$3)+(X574*Settings!$G$4)</f>
        <v>2.2049312842669537</v>
      </c>
      <c r="E574" s="67"/>
      <c r="F574" s="67"/>
      <c r="G574" s="67"/>
      <c r="H574" s="67"/>
      <c r="I574" s="67"/>
      <c r="J574" s="67"/>
      <c r="K574" s="73"/>
      <c r="L574" s="73"/>
      <c r="M574" s="67"/>
      <c r="N574" s="67"/>
      <c r="O574" s="67"/>
      <c r="P574" s="67"/>
      <c r="Q574" s="67"/>
      <c r="R574" s="73"/>
      <c r="S574" s="73"/>
      <c r="T574" s="67"/>
      <c r="U574" s="67"/>
      <c r="V574" s="121">
        <f>(VLOOKUP($A574,Pitchers!$A1:$S251,4,FALSE)-AVERAGE(Rankings!AC2:AC651))/STDEV(Rankings!AC2:AC651)</f>
        <v>-1.0778068110573262</v>
      </c>
      <c r="W574" s="121">
        <f>(VLOOKUP($A574,Pitchers!$A1:$S251,5,FALSE)-AVERAGE(Rankings!AD2:AD651))/STDEV(Rankings!AD2:AD651)*-1</f>
        <v>1.1307039722709467</v>
      </c>
      <c r="X574" s="121">
        <f>(VLOOKUP($A574,Pitchers!$A1:$S251,6,FALSE)-AVERAGE(Rankings!AE2:AE651))/STDEV(Rankings!AE2:AE651)*-1</f>
        <v>-0.41063113630379738</v>
      </c>
      <c r="Y574" s="121">
        <f>(VLOOKUP($A574,Pitchers!$A1:$S251,7,FALSE)-AVERAGE(Rankings!AF2:AF651))/STDEV(Rankings!AF2:AF651)</f>
        <v>-0.86625796141563904</v>
      </c>
      <c r="Z574" s="121">
        <f>(VLOOKUP($A574,Pitchers!$A1:$S251,8,FALSE)-AVERAGE(Rankings!AG2:AG651))/STDEV(Rankings!AG2:AG651)</f>
        <v>-0.59294967146059829</v>
      </c>
      <c r="AA574" s="121">
        <f>(VLOOKUP($A574,Pitchers!$A1:$S251,9,FALSE)-AVERAGE(Rankings!AH2:AH651))/STDEV(Rankings!AH2:AH651)</f>
        <v>2.9440660811760417</v>
      </c>
      <c r="AB574" s="121">
        <f>(VLOOKUP($A574,Pitchers!$A1:$S251,10,FALSE)-AVERAGE(Rankings!AI2:AI651))/STDEV(Rankings!AI2:AI651)*-1</f>
        <v>1.1777733370487997</v>
      </c>
      <c r="AC574" s="121">
        <f>(VLOOKUP($A574,Pitchers!$A1:$S251,11,FALSE)-AVERAGE(Rankings!AJ2:AJ651))/STDEV(Rankings!AJ2:AJ651)*-1</f>
        <v>1.0912875566371769</v>
      </c>
      <c r="AD574" s="121">
        <f>(VLOOKUP($A574,Pitchers!$A1:$S251,12,FALSE)-AVERAGE(Rankings!AK2:AK651))/STDEV(Rankings!AK2:AK651)*-1</f>
        <v>0.63142820229550656</v>
      </c>
      <c r="AE574" s="121">
        <f>IFERROR((VLOOKUP($A574,Pitchers!$A1:$S251,13,FALSE)-AVERAGE(Rankings!AL2:AL651))/STDEV(Rankings!AL2:AL651)*-1,0)</f>
        <v>1.3635848150276801</v>
      </c>
      <c r="AF574" s="121">
        <f>(VLOOKUP($A574,Pitchers!$A1:$S251,14,FALSE)-AVERAGE(Rankings!AM2:AM651))/STDEV(Rankings!AM2:AM651)</f>
        <v>1.5052821506472311</v>
      </c>
      <c r="AG574" s="121">
        <f>(VLOOKUP($A574,Pitchers!$A1:$S251,15,FALSE)-AVERAGE(Rankings!AN2:AN651))/STDEV(Rankings!AN2:AN651)</f>
        <v>-1.2653418049058471</v>
      </c>
      <c r="AH574" s="121">
        <f>(VLOOKUP($A574,Pitchers!$A1:$S251,16,FALSE)-AVERAGE(Rankings!AO2:AO651))/STDEV(Rankings!AO2:AO651)*-1</f>
        <v>0.99735171444083448</v>
      </c>
      <c r="AI574" s="121">
        <f>IFERROR((VLOOKUP($A574,Pitchers!$A1:$S251,17,FALSE)-AVERAGE(Rankings!AP2:AP651))/STDEV(Rankings!AP2:AP651),0)</f>
        <v>-1.126133891603242</v>
      </c>
      <c r="AJ574" s="121">
        <f>(VLOOKUP($A574,Pitchers!$A1:$S251,18,FALSE)-AVERAGE(Rankings!AQ2:AQ651))/STDEV(Rankings!AQ2:AQ651)</f>
        <v>-0.36340131918314017</v>
      </c>
      <c r="AK574" s="121">
        <f>IFERROR((VLOOKUP($A574,Pitchers!$A1:$S251,19,FALSE)-AVERAGE(Rankings!AR2:AR651))/STDEV(Rankings!AR2:AR651)*-1,0)</f>
        <v>-1.9394983921688764</v>
      </c>
    </row>
    <row r="575" spans="1:37" ht="20.100000000000001" customHeight="1">
      <c r="A575" s="25" t="s">
        <v>257</v>
      </c>
      <c r="B575" s="26" t="s">
        <v>72</v>
      </c>
      <c r="C575" s="131" t="s">
        <v>34</v>
      </c>
      <c r="D575" s="67">
        <f>(V575*Settings!$G$2)+(Y575*Settings!$G$5)+(Z575*Settings!$G$6)+(AA575*Settings!$G$7)+(AB575*Settings!$G$8)+(AC575*Settings!$G$9)+(AD575*Settings!$G$10)+(AE575*Settings!$G$11)+(AF575*Settings!$G$12)+(AG575*Settings!$G$13)+(AH575*Settings!$G$14)+(AI575*Settings!$G$15)+(AJ575*Settings!$G$16)+(AK575*Settings!$G$17)+(W575*Settings!$G$3)+(X575*Settings!$G$4)</f>
        <v>2.8054632558016492</v>
      </c>
      <c r="E575" s="67"/>
      <c r="F575" s="67"/>
      <c r="G575" s="67"/>
      <c r="H575" s="67"/>
      <c r="I575" s="67"/>
      <c r="J575" s="67"/>
      <c r="K575" s="73"/>
      <c r="L575" s="73"/>
      <c r="M575" s="67"/>
      <c r="N575" s="67"/>
      <c r="O575" s="67"/>
      <c r="P575" s="67"/>
      <c r="Q575" s="67"/>
      <c r="R575" s="73"/>
      <c r="S575" s="73"/>
      <c r="T575" s="67"/>
      <c r="U575" s="67"/>
      <c r="V575" s="121">
        <f>(VLOOKUP($A575,Pitchers!$A1:$S251,4,FALSE)-AVERAGE(Rankings!AC2:AC651))/STDEV(Rankings!AC2:AC651)</f>
        <v>-1.1166217985989151</v>
      </c>
      <c r="W575" s="121">
        <f>(VLOOKUP($A575,Pitchers!$A1:$S251,5,FALSE)-AVERAGE(Rankings!AD2:AD651))/STDEV(Rankings!AD2:AD651)*-1</f>
        <v>0.58331414929670755</v>
      </c>
      <c r="X575" s="121">
        <f>(VLOOKUP($A575,Pitchers!$A1:$S251,6,FALSE)-AVERAGE(Rankings!AE2:AE651))/STDEV(Rankings!AE2:AE651)*-1</f>
        <v>2.1613496066689635</v>
      </c>
      <c r="Y575" s="121">
        <f>(VLOOKUP($A575,Pitchers!$A1:$S251,7,FALSE)-AVERAGE(Rankings!AF2:AF651))/STDEV(Rankings!AF2:AF651)</f>
        <v>-0.95048542412255266</v>
      </c>
      <c r="Z575" s="121">
        <f>(VLOOKUP($A575,Pitchers!$A1:$S251,8,FALSE)-AVERAGE(Rankings!AG2:AG651))/STDEV(Rankings!AG2:AG651)</f>
        <v>-1.0358836458158227</v>
      </c>
      <c r="AA575" s="121">
        <f>(VLOOKUP($A575,Pitchers!$A1:$S251,9,FALSE)-AVERAGE(Rankings!AH2:AH651))/STDEV(Rankings!AH2:AH651)</f>
        <v>2.0471685697743536</v>
      </c>
      <c r="AB575" s="121">
        <f>(VLOOKUP($A575,Pitchers!$A1:$S251,10,FALSE)-AVERAGE(Rankings!AI2:AI651))/STDEV(Rankings!AI2:AI651)*-1</f>
        <v>1.1207100875091849</v>
      </c>
      <c r="AC575" s="121">
        <f>(VLOOKUP($A575,Pitchers!$A1:$S251,11,FALSE)-AVERAGE(Rankings!AJ2:AJ651))/STDEV(Rankings!AJ2:AJ651)*-1</f>
        <v>1.2761248381498416</v>
      </c>
      <c r="AD575" s="121">
        <f>(VLOOKUP($A575,Pitchers!$A1:$S251,12,FALSE)-AVERAGE(Rankings!AK2:AK651))/STDEV(Rankings!AK2:AK651)*-1</f>
        <v>1.2806499621784222</v>
      </c>
      <c r="AE575" s="121">
        <f>IFERROR((VLOOKUP($A575,Pitchers!$A1:$S251,13,FALSE)-AVERAGE(Rankings!AL2:AL651))/STDEV(Rankings!AL2:AL651)*-1,0)</f>
        <v>0.8315579656216403</v>
      </c>
      <c r="AF575" s="121">
        <f>(VLOOKUP($A575,Pitchers!$A1:$S251,14,FALSE)-AVERAGE(Rankings!AM2:AM651))/STDEV(Rankings!AM2:AM651)</f>
        <v>1.3526685359434156</v>
      </c>
      <c r="AG575" s="121">
        <f>(VLOOKUP($A575,Pitchers!$A1:$S251,15,FALSE)-AVERAGE(Rankings!AN2:AN651))/STDEV(Rankings!AN2:AN651)</f>
        <v>-1.2653418049058471</v>
      </c>
      <c r="AH575" s="121">
        <f>(VLOOKUP($A575,Pitchers!$A1:$S251,16,FALSE)-AVERAGE(Rankings!AO2:AO651))/STDEV(Rankings!AO2:AO651)*-1</f>
        <v>1.1351351573581607</v>
      </c>
      <c r="AI575" s="121">
        <f>IFERROR((VLOOKUP($A575,Pitchers!$A1:$S251,17,FALSE)-AVERAGE(Rankings!AP2:AP651))/STDEV(Rankings!AP2:AP651),0)</f>
        <v>-1.126133891603242</v>
      </c>
      <c r="AJ575" s="121">
        <f>(VLOOKUP($A575,Pitchers!$A1:$S251,18,FALSE)-AVERAGE(Rankings!AQ2:AQ651))/STDEV(Rankings!AQ2:AQ651)</f>
        <v>0.7610445572028498</v>
      </c>
      <c r="AK575" s="121">
        <f>IFERROR((VLOOKUP($A575,Pitchers!$A1:$S251,19,FALSE)-AVERAGE(Rankings!AR2:AR651))/STDEV(Rankings!AR2:AR651)*-1,0)</f>
        <v>-3.8674291994938037</v>
      </c>
    </row>
    <row r="576" spans="1:37" ht="20.100000000000001" customHeight="1">
      <c r="A576" s="25" t="s">
        <v>272</v>
      </c>
      <c r="B576" s="26" t="s">
        <v>103</v>
      </c>
      <c r="C576" s="131" t="s">
        <v>34</v>
      </c>
      <c r="D576" s="67">
        <f>(V576*Settings!$G$2)+(Y576*Settings!$G$5)+(Z576*Settings!$G$6)+(AA576*Settings!$G$7)+(AB576*Settings!$G$8)+(AC576*Settings!$G$9)+(AD576*Settings!$G$10)+(AE576*Settings!$G$11)+(AF576*Settings!$G$12)+(AG576*Settings!$G$13)+(AH576*Settings!$G$14)+(AI576*Settings!$G$15)+(AJ576*Settings!$G$16)+(AK576*Settings!$G$17)+(W576*Settings!$G$3)+(X576*Settings!$G$4)</f>
        <v>2.5339503973568061</v>
      </c>
      <c r="E576" s="67"/>
      <c r="F576" s="67"/>
      <c r="G576" s="67"/>
      <c r="H576" s="67"/>
      <c r="I576" s="67"/>
      <c r="J576" s="67"/>
      <c r="K576" s="73"/>
      <c r="L576" s="73"/>
      <c r="M576" s="67"/>
      <c r="N576" s="67"/>
      <c r="O576" s="67"/>
      <c r="P576" s="67"/>
      <c r="Q576" s="67"/>
      <c r="R576" s="73"/>
      <c r="S576" s="73"/>
      <c r="T576" s="67"/>
      <c r="U576" s="67"/>
      <c r="V576" s="121">
        <f>(VLOOKUP($A576,Pitchers!$A1:$S251,4,FALSE)-AVERAGE(Rankings!AC2:AC651))/STDEV(Rankings!AC2:AC651)</f>
        <v>-1.178725778665457</v>
      </c>
      <c r="W576" s="121">
        <f>(VLOOKUP($A576,Pitchers!$A1:$S251,5,FALSE)-AVERAGE(Rankings!AD2:AD651))/STDEV(Rankings!AD2:AD651)*-1</f>
        <v>1.7939702225217207</v>
      </c>
      <c r="X576" s="121">
        <f>(VLOOKUP($A576,Pitchers!$A1:$S251,6,FALSE)-AVERAGE(Rankings!AE2:AE651))/STDEV(Rankings!AE2:AE651)*-1</f>
        <v>0.82856647924246163</v>
      </c>
      <c r="Y576" s="121">
        <f>(VLOOKUP($A576,Pitchers!$A1:$S251,7,FALSE)-AVERAGE(Rankings!AF2:AF651))/STDEV(Rankings!AF2:AF651)</f>
        <v>-0.81615714308135434</v>
      </c>
      <c r="Z576" s="121">
        <f>(VLOOKUP($A576,Pitchers!$A1:$S251,8,FALSE)-AVERAGE(Rankings!AG2:AG651))/STDEV(Rankings!AG2:AG651)</f>
        <v>-1.0056836021097846</v>
      </c>
      <c r="AA576" s="121">
        <f>(VLOOKUP($A576,Pitchers!$A1:$S251,9,FALSE)-AVERAGE(Rankings!AH2:AH651))/STDEV(Rankings!AH2:AH651)</f>
        <v>1.7332544407837625</v>
      </c>
      <c r="AB576" s="121">
        <f>(VLOOKUP($A576,Pitchers!$A1:$S251,10,FALSE)-AVERAGE(Rankings!AI2:AI651))/STDEV(Rankings!AI2:AI651)*-1</f>
        <v>1.3519664145907822</v>
      </c>
      <c r="AC576" s="121">
        <f>(VLOOKUP($A576,Pitchers!$A1:$S251,11,FALSE)-AVERAGE(Rankings!AJ2:AJ651))/STDEV(Rankings!AJ2:AJ651)*-1</f>
        <v>1.2220954789384473</v>
      </c>
      <c r="AD576" s="121">
        <f>(VLOOKUP($A576,Pitchers!$A1:$S251,12,FALSE)-AVERAGE(Rankings!AK2:AK651))/STDEV(Rankings!AK2:AK651)*-1</f>
        <v>1.1317682804007612</v>
      </c>
      <c r="AE576" s="121">
        <f>IFERROR((VLOOKUP($A576,Pitchers!$A1:$S251,13,FALSE)-AVERAGE(Rankings!AL2:AL651))/STDEV(Rankings!AL2:AL651)*-1,0)</f>
        <v>1.2305781026761702</v>
      </c>
      <c r="AF576" s="121">
        <f>(VLOOKUP($A576,Pitchers!$A1:$S251,14,FALSE)-AVERAGE(Rankings!AM2:AM651))/STDEV(Rankings!AM2:AM651)</f>
        <v>1.1673520038030678</v>
      </c>
      <c r="AG576" s="121">
        <f>(VLOOKUP($A576,Pitchers!$A1:$S251,15,FALSE)-AVERAGE(Rankings!AN2:AN651))/STDEV(Rankings!AN2:AN651)</f>
        <v>-1.2653418049058471</v>
      </c>
      <c r="AH576" s="121">
        <f>(VLOOKUP($A576,Pitchers!$A1:$S251,16,FALSE)-AVERAGE(Rankings!AO2:AO651))/STDEV(Rankings!AO2:AO651)*-1</f>
        <v>1.1977639950478545</v>
      </c>
      <c r="AI576" s="121">
        <f>IFERROR((VLOOKUP($A576,Pitchers!$A1:$S251,17,FALSE)-AVERAGE(Rankings!AP2:AP651))/STDEV(Rankings!AP2:AP651),0)</f>
        <v>-1.126133891603242</v>
      </c>
      <c r="AJ576" s="121">
        <f>(VLOOKUP($A576,Pitchers!$A1:$S251,18,FALSE)-AVERAGE(Rankings!AQ2:AQ651))/STDEV(Rankings!AQ2:AQ651)</f>
        <v>0.68072699460385055</v>
      </c>
      <c r="AK576" s="121">
        <f>IFERROR((VLOOKUP($A576,Pitchers!$A1:$S251,19,FALSE)-AVERAGE(Rankings!AR2:AR651))/STDEV(Rankings!AR2:AR651)*-1,0)</f>
        <v>-1.4575156903376447</v>
      </c>
    </row>
    <row r="577" spans="1:37" ht="20.100000000000001" customHeight="1">
      <c r="A577" s="25" t="s">
        <v>292</v>
      </c>
      <c r="B577" s="26" t="s">
        <v>139</v>
      </c>
      <c r="C577" s="131" t="s">
        <v>34</v>
      </c>
      <c r="D577" s="67">
        <f>(V577*Settings!$G$2)+(Y577*Settings!$G$5)+(Z577*Settings!$G$6)+(AA577*Settings!$G$7)+(AB577*Settings!$G$8)+(AC577*Settings!$G$9)+(AD577*Settings!$G$10)+(AE577*Settings!$G$11)+(AF577*Settings!$G$12)+(AG577*Settings!$G$13)+(AH577*Settings!$G$14)+(AI577*Settings!$G$15)+(AJ577*Settings!$G$16)+(AK577*Settings!$G$17)+(W577*Settings!$G$3)+(X577*Settings!$G$4)</f>
        <v>2.1530774095457672</v>
      </c>
      <c r="E577" s="67"/>
      <c r="F577" s="67"/>
      <c r="G577" s="67"/>
      <c r="H577" s="67"/>
      <c r="I577" s="67"/>
      <c r="J577" s="67"/>
      <c r="K577" s="73"/>
      <c r="L577" s="73"/>
      <c r="M577" s="67"/>
      <c r="N577" s="67"/>
      <c r="O577" s="67"/>
      <c r="P577" s="67"/>
      <c r="Q577" s="67"/>
      <c r="R577" s="73"/>
      <c r="S577" s="73"/>
      <c r="T577" s="67"/>
      <c r="U577" s="67"/>
      <c r="V577" s="121">
        <f>(VLOOKUP($A577,Pitchers!$A1:$S251,4,FALSE)-AVERAGE(Rankings!AC2:AC651))/STDEV(Rankings!AC2:AC651)</f>
        <v>-1.1469680615859754</v>
      </c>
      <c r="W577" s="121">
        <f>(VLOOKUP($A577,Pitchers!$A1:$S251,5,FALSE)-AVERAGE(Rankings!AD2:AD651))/STDEV(Rankings!AD2:AD651)*-1</f>
        <v>1.2258610011804718</v>
      </c>
      <c r="X577" s="121">
        <f>(VLOOKUP($A577,Pitchers!$A1:$S251,6,FALSE)-AVERAGE(Rankings!AE2:AE651))/STDEV(Rankings!AE2:AE651)*-1</f>
        <v>0.55187328980137362</v>
      </c>
      <c r="Y577" s="121">
        <f>(VLOOKUP($A577,Pitchers!$A1:$S251,7,FALSE)-AVERAGE(Rankings!AF2:AF651))/STDEV(Rankings!AF2:AF651)</f>
        <v>-0.89312361762387871</v>
      </c>
      <c r="Z577" s="121">
        <f>(VLOOKUP($A577,Pitchers!$A1:$S251,8,FALSE)-AVERAGE(Rankings!AG2:AG651))/STDEV(Rankings!AG2:AG651)</f>
        <v>-1.2271505892873971</v>
      </c>
      <c r="AA577" s="121">
        <f>(VLOOKUP($A577,Pitchers!$A1:$S251,9,FALSE)-AVERAGE(Rankings!AH2:AH651))/STDEV(Rankings!AH2:AH651)</f>
        <v>2.4956173254751977</v>
      </c>
      <c r="AB577" s="121">
        <f>(VLOOKUP($A577,Pitchers!$A1:$S251,10,FALSE)-AVERAGE(Rankings!AI2:AI651))/STDEV(Rankings!AI2:AI651)*-1</f>
        <v>1.2438465733578277</v>
      </c>
      <c r="AC577" s="121">
        <f>(VLOOKUP($A577,Pitchers!$A1:$S251,11,FALSE)-AVERAGE(Rankings!AJ2:AJ651))/STDEV(Rankings!AJ2:AJ651)*-1</f>
        <v>1.1289659255609126</v>
      </c>
      <c r="AD577" s="121">
        <f>(VLOOKUP($A577,Pitchers!$A1:$S251,12,FALSE)-AVERAGE(Rankings!AK2:AK651))/STDEV(Rankings!AK2:AK651)*-1</f>
        <v>1.2098701462513375</v>
      </c>
      <c r="AE577" s="121">
        <f>IFERROR((VLOOKUP($A577,Pitchers!$A1:$S251,13,FALSE)-AVERAGE(Rankings!AL2:AL651))/STDEV(Rankings!AL2:AL651)*-1,0)</f>
        <v>1.0975713903246602</v>
      </c>
      <c r="AF577" s="121">
        <f>(VLOOKUP($A577,Pitchers!$A1:$S251,14,FALSE)-AVERAGE(Rankings!AM2:AM651))/STDEV(Rankings!AM2:AM651)</f>
        <v>0.98421566615848854</v>
      </c>
      <c r="AG577" s="121">
        <f>(VLOOKUP($A577,Pitchers!$A1:$S251,15,FALSE)-AVERAGE(Rankings!AN2:AN651))/STDEV(Rankings!AN2:AN651)</f>
        <v>-1.2653418049058471</v>
      </c>
      <c r="AH577" s="121">
        <f>(VLOOKUP($A577,Pitchers!$A1:$S251,16,FALSE)-AVERAGE(Rankings!AO2:AO651))/STDEV(Rankings!AO2:AO651)*-1</f>
        <v>1.2854443678134257</v>
      </c>
      <c r="AI577" s="121">
        <f>IFERROR((VLOOKUP($A577,Pitchers!$A1:$S251,17,FALSE)-AVERAGE(Rankings!AP2:AP651))/STDEV(Rankings!AP2:AP651),0)</f>
        <v>-1.126133891603242</v>
      </c>
      <c r="AJ577" s="121">
        <f>(VLOOKUP($A577,Pitchers!$A1:$S251,18,FALSE)-AVERAGE(Rankings!AQ2:AQ651))/STDEV(Rankings!AQ2:AQ651)</f>
        <v>-0.20276619398514159</v>
      </c>
      <c r="AK577" s="121">
        <f>IFERROR((VLOOKUP($A577,Pitchers!$A1:$S251,19,FALSE)-AVERAGE(Rankings!AR2:AR651))/STDEV(Rankings!AR2:AR651)*-1,0)</f>
        <v>-1.9394983921688764</v>
      </c>
    </row>
    <row r="578" spans="1:37" ht="20.100000000000001" customHeight="1">
      <c r="A578" s="25" t="s">
        <v>304</v>
      </c>
      <c r="B578" s="26" t="s">
        <v>119</v>
      </c>
      <c r="C578" s="131" t="s">
        <v>34</v>
      </c>
      <c r="D578" s="67">
        <f>(V578*Settings!$G$2)+(Y578*Settings!$G$5)+(Z578*Settings!$G$6)+(AA578*Settings!$G$7)+(AB578*Settings!$G$8)+(AC578*Settings!$G$9)+(AD578*Settings!$G$10)+(AE578*Settings!$G$11)+(AF578*Settings!$G$12)+(AG578*Settings!$G$13)+(AH578*Settings!$G$14)+(AI578*Settings!$G$15)+(AJ578*Settings!$G$16)+(AK578*Settings!$G$17)+(W578*Settings!$G$3)+(X578*Settings!$G$4)</f>
        <v>1.9574555793842254</v>
      </c>
      <c r="E578" s="67"/>
      <c r="F578" s="67"/>
      <c r="G578" s="67"/>
      <c r="H578" s="67"/>
      <c r="I578" s="67"/>
      <c r="J578" s="67"/>
      <c r="K578" s="73"/>
      <c r="L578" s="73"/>
      <c r="M578" s="67"/>
      <c r="N578" s="67"/>
      <c r="O578" s="67"/>
      <c r="P578" s="67"/>
      <c r="Q578" s="67"/>
      <c r="R578" s="73"/>
      <c r="S578" s="73"/>
      <c r="T578" s="67"/>
      <c r="U578" s="67"/>
      <c r="V578" s="121">
        <f>(VLOOKUP($A578,Pitchers!$A1:$S251,4,FALSE)-AVERAGE(Rankings!AC2:AC651))/STDEV(Rankings!AC2:AC651)</f>
        <v>-0.88796623562664712</v>
      </c>
      <c r="W578" s="121">
        <f>(VLOOKUP($A578,Pitchers!$A1:$S251,5,FALSE)-AVERAGE(Rankings!AD2:AD651))/STDEV(Rankings!AD2:AD651)*-1</f>
        <v>1.0181708058194188</v>
      </c>
      <c r="X578" s="121">
        <f>(VLOOKUP($A578,Pitchers!$A1:$S251,6,FALSE)-AVERAGE(Rankings!AE2:AE651))/STDEV(Rankings!AE2:AE651)*-1</f>
        <v>0.43792281826388496</v>
      </c>
      <c r="Y578" s="121">
        <f>(VLOOKUP($A578,Pitchers!$A1:$S251,7,FALSE)-AVERAGE(Rankings!AF2:AF651))/STDEV(Rankings!AF2:AF651)</f>
        <v>-0.79727857385394285</v>
      </c>
      <c r="Z578" s="121">
        <f>(VLOOKUP($A578,Pitchers!$A1:$S251,8,FALSE)-AVERAGE(Rankings!AG2:AG651))/STDEV(Rankings!AG2:AG651)</f>
        <v>-0.70368316504940431</v>
      </c>
      <c r="AA578" s="121">
        <f>(VLOOKUP($A578,Pitchers!$A1:$S251,9,FALSE)-AVERAGE(Rankings!AH2:AH651))/STDEV(Rankings!AH2:AH651)</f>
        <v>2.0023236942042688</v>
      </c>
      <c r="AB578" s="121">
        <f>(VLOOKUP($A578,Pitchers!$A1:$S251,10,FALSE)-AVERAGE(Rankings!AI2:AI651))/STDEV(Rankings!AI2:AI651)*-1</f>
        <v>1.0155935751993681</v>
      </c>
      <c r="AC578" s="121">
        <f>(VLOOKUP($A578,Pitchers!$A1:$S251,11,FALSE)-AVERAGE(Rankings!AJ2:AJ651))/STDEV(Rankings!AJ2:AJ651)*-1</f>
        <v>0.91142666347293033</v>
      </c>
      <c r="AD578" s="121">
        <f>(VLOOKUP($A578,Pitchers!$A1:$S251,12,FALSE)-AVERAGE(Rankings!AK2:AK651))/STDEV(Rankings!AK2:AK651)*-1</f>
        <v>0.85841174992374403</v>
      </c>
      <c r="AE578" s="121">
        <f>IFERROR((VLOOKUP($A578,Pitchers!$A1:$S251,13,FALSE)-AVERAGE(Rankings!AL2:AL651))/STDEV(Rankings!AL2:AL651)*-1,0)</f>
        <v>0.96456467797315026</v>
      </c>
      <c r="AF578" s="121">
        <f>(VLOOKUP($A578,Pitchers!$A1:$S251,14,FALSE)-AVERAGE(Rankings!AM2:AM651))/STDEV(Rankings!AM2:AM651)</f>
        <v>1.8977171598856151</v>
      </c>
      <c r="AG578" s="121">
        <f>(VLOOKUP($A578,Pitchers!$A1:$S251,15,FALSE)-AVERAGE(Rankings!AN2:AN651))/STDEV(Rankings!AN2:AN651)</f>
        <v>-1.2653418049058471</v>
      </c>
      <c r="AH578" s="121">
        <f>(VLOOKUP($A578,Pitchers!$A1:$S251,16,FALSE)-AVERAGE(Rankings!AO2:AO651))/STDEV(Rankings!AO2:AO651)*-1</f>
        <v>1.1100836222822834</v>
      </c>
      <c r="AI578" s="121">
        <f>IFERROR((VLOOKUP($A578,Pitchers!$A1:$S251,17,FALSE)-AVERAGE(Rankings!AP2:AP651))/STDEV(Rankings!AP2:AP651),0)</f>
        <v>-1.126133891603242</v>
      </c>
      <c r="AJ578" s="121">
        <f>(VLOOKUP($A578,Pitchers!$A1:$S251,18,FALSE)-AVERAGE(Rankings!AQ2:AQ651))/STDEV(Rankings!AQ2:AQ651)</f>
        <v>1.2429499327968454</v>
      </c>
      <c r="AK578" s="121">
        <f>IFERROR((VLOOKUP($A578,Pitchers!$A1:$S251,19,FALSE)-AVERAGE(Rankings!AR2:AR651))/STDEV(Rankings!AR2:AR651)*-1,0)</f>
        <v>-1.4575156903376447</v>
      </c>
    </row>
    <row r="579" spans="1:37" ht="20.100000000000001" customHeight="1">
      <c r="A579" s="25" t="s">
        <v>291</v>
      </c>
      <c r="B579" s="26" t="s">
        <v>69</v>
      </c>
      <c r="C579" s="131" t="s">
        <v>34</v>
      </c>
      <c r="D579" s="67">
        <f>(V579*Settings!$G$2)+(Y579*Settings!$G$5)+(Z579*Settings!$G$6)+(AA579*Settings!$G$7)+(AB579*Settings!$G$8)+(AC579*Settings!$G$9)+(AD579*Settings!$G$10)+(AE579*Settings!$G$11)+(AF579*Settings!$G$12)+(AG579*Settings!$G$13)+(AH579*Settings!$G$14)+(AI579*Settings!$G$15)+(AJ579*Settings!$G$16)+(AK579*Settings!$G$17)+(W579*Settings!$G$3)+(X579*Settings!$G$4)</f>
        <v>2.1701106589860855</v>
      </c>
      <c r="E579" s="67"/>
      <c r="F579" s="67"/>
      <c r="G579" s="67"/>
      <c r="H579" s="67"/>
      <c r="I579" s="67"/>
      <c r="J579" s="67"/>
      <c r="K579" s="73"/>
      <c r="L579" s="73"/>
      <c r="M579" s="67"/>
      <c r="N579" s="67"/>
      <c r="O579" s="67"/>
      <c r="P579" s="67"/>
      <c r="Q579" s="67"/>
      <c r="R579" s="73"/>
      <c r="S579" s="73"/>
      <c r="T579" s="67"/>
      <c r="U579" s="67"/>
      <c r="V579" s="121">
        <f>(VLOOKUP($A579,Pitchers!$A1:$S251,4,FALSE)-AVERAGE(Rankings!AC2:AC651))/STDEV(Rankings!AC2:AC651)</f>
        <v>-1.0919213519815405</v>
      </c>
      <c r="W579" s="121">
        <f>(VLOOKUP($A579,Pitchers!$A1:$S251,5,FALSE)-AVERAGE(Rankings!AD2:AD651))/STDEV(Rankings!AD2:AD651)*-1</f>
        <v>1.1307292559336648</v>
      </c>
      <c r="X579" s="121">
        <f>(VLOOKUP($A579,Pitchers!$A1:$S251,6,FALSE)-AVERAGE(Rankings!AE2:AE651))/STDEV(Rankings!AE2:AE651)*-1</f>
        <v>0.14638383273065095</v>
      </c>
      <c r="Y579" s="121">
        <f>(VLOOKUP($A579,Pitchers!$A1:$S251,7,FALSE)-AVERAGE(Rankings!AF2:AF651))/STDEV(Rankings!AF2:AF651)</f>
        <v>-1.0746483217336058</v>
      </c>
      <c r="Z579" s="121">
        <f>(VLOOKUP($A579,Pitchers!$A1:$S251,8,FALSE)-AVERAGE(Rankings!AG2:AG651))/STDEV(Rankings!AG2:AG651)</f>
        <v>-0.57281630898990632</v>
      </c>
      <c r="AA579" s="121">
        <f>(VLOOKUP($A579,Pitchers!$A1:$S251,9,FALSE)-AVERAGE(Rankings!AH2:AH651))/STDEV(Rankings!AH2:AH651)</f>
        <v>2.540462201045282</v>
      </c>
      <c r="AB579" s="121">
        <f>(VLOOKUP($A579,Pitchers!$A1:$S251,10,FALSE)-AVERAGE(Rankings!AI2:AI651))/STDEV(Rankings!AI2:AI651)*-1</f>
        <v>1.1882849882797815</v>
      </c>
      <c r="AC579" s="121">
        <f>(VLOOKUP($A579,Pitchers!$A1:$S251,11,FALSE)-AVERAGE(Rankings!AJ2:AJ651))/STDEV(Rankings!AJ2:AJ651)*-1</f>
        <v>1.0834675178039488</v>
      </c>
      <c r="AD579" s="121">
        <f>(VLOOKUP($A579,Pitchers!$A1:$S251,12,FALSE)-AVERAGE(Rankings!AK2:AK651))/STDEV(Rankings!AK2:AK651)*-1</f>
        <v>0.96580181546828658</v>
      </c>
      <c r="AE579" s="121">
        <f>IFERROR((VLOOKUP($A579,Pitchers!$A1:$S251,13,FALSE)-AVERAGE(Rankings!AL2:AL651))/STDEV(Rankings!AL2:AL651)*-1,0)</f>
        <v>1.3635848150276801</v>
      </c>
      <c r="AF579" s="121">
        <f>(VLOOKUP($A579,Pitchers!$A1:$S251,14,FALSE)-AVERAGE(Rankings!AM2:AM651))/STDEV(Rankings!AM2:AM651)</f>
        <v>1.3526685359434156</v>
      </c>
      <c r="AG579" s="121">
        <f>(VLOOKUP($A579,Pitchers!$A1:$S251,15,FALSE)-AVERAGE(Rankings!AN2:AN651))/STDEV(Rankings!AN2:AN651)</f>
        <v>-1.2653418049058471</v>
      </c>
      <c r="AH579" s="121">
        <f>(VLOOKUP($A579,Pitchers!$A1:$S251,16,FALSE)-AVERAGE(Rankings!AO2:AO651))/STDEV(Rankings!AO2:AO651)*-1</f>
        <v>1.1476609248960994</v>
      </c>
      <c r="AI579" s="121">
        <f>IFERROR((VLOOKUP($A579,Pitchers!$A1:$S251,17,FALSE)-AVERAGE(Rankings!AP2:AP651))/STDEV(Rankings!AP2:AP651),0)</f>
        <v>-1.126133891603242</v>
      </c>
      <c r="AJ579" s="121">
        <f>(VLOOKUP($A579,Pitchers!$A1:$S251,18,FALSE)-AVERAGE(Rankings!AQ2:AQ651))/STDEV(Rankings!AQ2:AQ651)</f>
        <v>-0.20276619398514159</v>
      </c>
      <c r="AK579" s="121">
        <f>IFERROR((VLOOKUP($A579,Pitchers!$A1:$S251,19,FALSE)-AVERAGE(Rankings!AR2:AR651))/STDEV(Rankings!AR2:AR651)*-1,0)</f>
        <v>-4.8313946031562676</v>
      </c>
    </row>
    <row r="580" spans="1:37" ht="20.100000000000001" customHeight="1">
      <c r="A580" s="25" t="s">
        <v>350</v>
      </c>
      <c r="B580" s="26" t="s">
        <v>225</v>
      </c>
      <c r="C580" s="131" t="s">
        <v>34</v>
      </c>
      <c r="D580" s="67">
        <f>(V580*Settings!$G$2)+(Y580*Settings!$G$5)+(Z580*Settings!$G$6)+(AA580*Settings!$G$7)+(AB580*Settings!$G$8)+(AC580*Settings!$G$9)+(AD580*Settings!$G$10)+(AE580*Settings!$G$11)+(AF580*Settings!$G$12)+(AG580*Settings!$G$13)+(AH580*Settings!$G$14)+(AI580*Settings!$G$15)+(AJ580*Settings!$G$16)+(AK580*Settings!$G$17)+(W580*Settings!$G$3)+(X580*Settings!$G$4)</f>
        <v>1.3927889504114179</v>
      </c>
      <c r="E580" s="67"/>
      <c r="F580" s="67"/>
      <c r="G580" s="67"/>
      <c r="H580" s="67"/>
      <c r="I580" s="67"/>
      <c r="J580" s="67"/>
      <c r="K580" s="73"/>
      <c r="L580" s="73"/>
      <c r="M580" s="67"/>
      <c r="N580" s="67"/>
      <c r="O580" s="67"/>
      <c r="P580" s="67"/>
      <c r="Q580" s="67"/>
      <c r="R580" s="73"/>
      <c r="S580" s="73"/>
      <c r="T580" s="67"/>
      <c r="U580" s="67"/>
      <c r="V580" s="121">
        <f>(VLOOKUP($A580,Pitchers!$A1:$S251,4,FALSE)-AVERAGE(Rankings!AC2:AC651))/STDEV(Rankings!AC2:AC651)</f>
        <v>-1.0284059178225771</v>
      </c>
      <c r="W580" s="121">
        <f>(VLOOKUP($A580,Pitchers!$A1:$S251,5,FALSE)-AVERAGE(Rankings!AD2:AD651))/STDEV(Rankings!AD2:AD651)*-1</f>
        <v>0.76848148581014009</v>
      </c>
      <c r="X580" s="121">
        <f>(VLOOKUP($A580,Pitchers!$A1:$S251,6,FALSE)-AVERAGE(Rankings!AE2:AE651))/STDEV(Rankings!AE2:AE651)*-1</f>
        <v>0.40481049505712341</v>
      </c>
      <c r="Y580" s="121">
        <f>(VLOOKUP($A580,Pitchers!$A1:$S251,7,FALSE)-AVERAGE(Rankings!AF2:AF651))/STDEV(Rankings!AF2:AF651)</f>
        <v>-0.68836375138810646</v>
      </c>
      <c r="Z580" s="121">
        <f>(VLOOKUP($A580,Pitchers!$A1:$S251,8,FALSE)-AVERAGE(Rankings!AG2:AG651))/STDEV(Rankings!AG2:AG651)</f>
        <v>-0.91508347099167064</v>
      </c>
      <c r="AA580" s="121">
        <f>(VLOOKUP($A580,Pitchers!$A1:$S251,9,FALSE)-AVERAGE(Rankings!AH2:AH651))/STDEV(Rankings!AH2:AH651)</f>
        <v>1.8229441919239315</v>
      </c>
      <c r="AB580" s="121">
        <f>(VLOOKUP($A580,Pitchers!$A1:$S251,10,FALSE)-AVERAGE(Rankings!AI2:AI651))/STDEV(Rankings!AI2:AI651)*-1</f>
        <v>1.080165147046827</v>
      </c>
      <c r="AC580" s="121">
        <f>(VLOOKUP($A580,Pitchers!$A1:$S251,11,FALSE)-AVERAGE(Rankings!AJ2:AJ651))/STDEV(Rankings!AJ2:AJ651)*-1</f>
        <v>1.2327591682564856</v>
      </c>
      <c r="AD580" s="121">
        <f>(VLOOKUP($A580,Pitchers!$A1:$S251,12,FALSE)-AVERAGE(Rankings!AK2:AK651))/STDEV(Rankings!AK2:AK651)*-1</f>
        <v>0.30925800566187933</v>
      </c>
      <c r="AE580" s="121">
        <f>IFERROR((VLOOKUP($A580,Pitchers!$A1:$S251,13,FALSE)-AVERAGE(Rankings!AL2:AL651))/STDEV(Rankings!AL2:AL651)*-1,0)</f>
        <v>0.8315579656216403</v>
      </c>
      <c r="AF580" s="121">
        <f>(VLOOKUP($A580,Pitchers!$A1:$S251,14,FALSE)-AVERAGE(Rankings!AM2:AM651))/STDEV(Rankings!AM2:AM651)</f>
        <v>1.5270840956049192</v>
      </c>
      <c r="AG580" s="121">
        <f>(VLOOKUP($A580,Pitchers!$A1:$S251,15,FALSE)-AVERAGE(Rankings!AN2:AN651))/STDEV(Rankings!AN2:AN651)</f>
        <v>-1.2653418049058471</v>
      </c>
      <c r="AH580" s="121">
        <f>(VLOOKUP($A580,Pitchers!$A1:$S251,16,FALSE)-AVERAGE(Rankings!AO2:AO651))/STDEV(Rankings!AO2:AO651)*-1</f>
        <v>1.2228155301237322</v>
      </c>
      <c r="AI580" s="121">
        <f>IFERROR((VLOOKUP($A580,Pitchers!$A1:$S251,17,FALSE)-AVERAGE(Rankings!AP2:AP651))/STDEV(Rankings!AP2:AP651),0)</f>
        <v>-1.126133891603242</v>
      </c>
      <c r="AJ580" s="121">
        <f>(VLOOKUP($A580,Pitchers!$A1:$S251,18,FALSE)-AVERAGE(Rankings!AQ2:AQ651))/STDEV(Rankings!AQ2:AQ651)</f>
        <v>0.84136211980184905</v>
      </c>
      <c r="AK580" s="121">
        <f>IFERROR((VLOOKUP($A580,Pitchers!$A1:$S251,19,FALSE)-AVERAGE(Rankings!AR2:AR651))/STDEV(Rankings!AR2:AR651)*-1,0)</f>
        <v>-2.9034637958313398</v>
      </c>
    </row>
    <row r="581" spans="1:37" ht="20.100000000000001" customHeight="1">
      <c r="A581" s="25" t="s">
        <v>385</v>
      </c>
      <c r="B581" s="26" t="s">
        <v>178</v>
      </c>
      <c r="C581" s="131" t="s">
        <v>34</v>
      </c>
      <c r="D581" s="67">
        <f>(V581*Settings!$G$2)+(Y581*Settings!$G$5)+(Z581*Settings!$G$6)+(AA581*Settings!$G$7)+(AB581*Settings!$G$8)+(AC581*Settings!$G$9)+(AD581*Settings!$G$10)+(AE581*Settings!$G$11)+(AF581*Settings!$G$12)+(AG581*Settings!$G$13)+(AH581*Settings!$G$14)+(AI581*Settings!$G$15)+(AJ581*Settings!$G$16)+(AK581*Settings!$G$17)+(W581*Settings!$G$3)+(X581*Settings!$G$4)</f>
        <v>0.81639999853437006</v>
      </c>
      <c r="E581" s="67"/>
      <c r="F581" s="67"/>
      <c r="G581" s="67"/>
      <c r="H581" s="67"/>
      <c r="I581" s="67"/>
      <c r="J581" s="67"/>
      <c r="K581" s="73"/>
      <c r="L581" s="73"/>
      <c r="M581" s="67"/>
      <c r="N581" s="67"/>
      <c r="O581" s="67"/>
      <c r="P581" s="67"/>
      <c r="Q581" s="67"/>
      <c r="R581" s="73"/>
      <c r="S581" s="73"/>
      <c r="T581" s="67"/>
      <c r="U581" s="67"/>
      <c r="V581" s="121">
        <f>(VLOOKUP($A581,Pitchers!$A1:$S251,4,FALSE)-AVERAGE(Rankings!AC2:AC651))/STDEV(Rankings!AC2:AC651)</f>
        <v>-1.0269944637301556</v>
      </c>
      <c r="W581" s="121">
        <f>(VLOOKUP($A581,Pitchers!$A1:$S251,5,FALSE)-AVERAGE(Rankings!AD2:AD651))/STDEV(Rankings!AD2:AD651)*-1</f>
        <v>3.371835211704588E-2</v>
      </c>
      <c r="X581" s="121">
        <f>(VLOOKUP($A581,Pitchers!$A1:$S251,6,FALSE)-AVERAGE(Rankings!AE2:AE651))/STDEV(Rankings!AE2:AE651)*-1</f>
        <v>-0.81846025598696193</v>
      </c>
      <c r="Y581" s="121">
        <f>(VLOOKUP($A581,Pitchers!$A1:$S251,7,FALSE)-AVERAGE(Rankings!AF2:AF651))/STDEV(Rankings!AF2:AF651)</f>
        <v>-0.89457581525675678</v>
      </c>
      <c r="Z581" s="121">
        <f>(VLOOKUP($A581,Pitchers!$A1:$S251,8,FALSE)-AVERAGE(Rankings!AG2:AG651))/STDEV(Rankings!AG2:AG651)</f>
        <v>-0.58288299022525236</v>
      </c>
      <c r="AA581" s="121">
        <f>(VLOOKUP($A581,Pitchers!$A1:$S251,9,FALSE)-AVERAGE(Rankings!AH2:AH651))/STDEV(Rankings!AH2:AH651)</f>
        <v>3.0786007078862951</v>
      </c>
      <c r="AB581" s="121">
        <f>(VLOOKUP($A581,Pitchers!$A1:$S251,10,FALSE)-AVERAGE(Rankings!AI2:AI651))/STDEV(Rankings!AI2:AI651)*-1</f>
        <v>0.95552699673661556</v>
      </c>
      <c r="AC581" s="121">
        <f>(VLOOKUP($A581,Pitchers!$A1:$S251,11,FALSE)-AVERAGE(Rankings!AJ2:AJ651))/STDEV(Rankings!AJ2:AJ651)*-1</f>
        <v>1.0059780420928703</v>
      </c>
      <c r="AD581" s="121">
        <f>(VLOOKUP($A581,Pitchers!$A1:$S251,12,FALSE)-AVERAGE(Rankings!AK2:AK651))/STDEV(Rankings!AK2:AK651)*-1</f>
        <v>0.51427540351964218</v>
      </c>
      <c r="AE581" s="121">
        <f>IFERROR((VLOOKUP($A581,Pitchers!$A1:$S251,13,FALSE)-AVERAGE(Rankings!AL2:AL651))/STDEV(Rankings!AL2:AL651)*-1,0)</f>
        <v>0.96456467797315026</v>
      </c>
      <c r="AF581" s="121">
        <f>(VLOOKUP($A581,Pitchers!$A1:$S251,14,FALSE)-AVERAGE(Rankings!AM2:AM651))/STDEV(Rankings!AM2:AM651)</f>
        <v>1.5924899304779832</v>
      </c>
      <c r="AG581" s="121">
        <f>(VLOOKUP($A581,Pitchers!$A1:$S251,15,FALSE)-AVERAGE(Rankings!AN2:AN651))/STDEV(Rankings!AN2:AN651)</f>
        <v>-1.2653418049058471</v>
      </c>
      <c r="AH581" s="121">
        <f>(VLOOKUP($A581,Pitchers!$A1:$S251,16,FALSE)-AVERAGE(Rankings!AO2:AO651))/STDEV(Rankings!AO2:AO651)*-1</f>
        <v>0.75936213121999818</v>
      </c>
      <c r="AI581" s="121">
        <f>IFERROR((VLOOKUP($A581,Pitchers!$A1:$S251,17,FALSE)-AVERAGE(Rankings!AP2:AP651))/STDEV(Rankings!AP2:AP651),0)</f>
        <v>-1.126133891603242</v>
      </c>
      <c r="AJ581" s="121">
        <f>(VLOOKUP($A581,Pitchers!$A1:$S251,18,FALSE)-AVERAGE(Rankings!AQ2:AQ651))/STDEV(Rankings!AQ2:AQ651)</f>
        <v>-0.28308375658414087</v>
      </c>
      <c r="AK581" s="121">
        <f>IFERROR((VLOOKUP($A581,Pitchers!$A1:$S251,19,FALSE)-AVERAGE(Rankings!AR2:AR651))/STDEV(Rankings!AR2:AR651)*-1,0)</f>
        <v>-1.4575156903376447</v>
      </c>
    </row>
    <row r="582" spans="1:37" ht="20.100000000000001" customHeight="1">
      <c r="A582" s="25" t="s">
        <v>243</v>
      </c>
      <c r="B582" s="26" t="s">
        <v>116</v>
      </c>
      <c r="C582" s="131" t="s">
        <v>34</v>
      </c>
      <c r="D582" s="67">
        <f>(V582*Settings!$G$2)+(Y582*Settings!$G$5)+(Z582*Settings!$G$6)+(AA582*Settings!$G$7)+(AB582*Settings!$G$8)+(AC582*Settings!$G$9)+(AD582*Settings!$G$10)+(AE582*Settings!$G$11)+(AF582*Settings!$G$12)+(AG582*Settings!$G$13)+(AH582*Settings!$G$14)+(AI582*Settings!$G$15)+(AJ582*Settings!$G$16)+(AK582*Settings!$G$17)+(W582*Settings!$G$3)+(X582*Settings!$G$4)</f>
        <v>3.1802586532333992</v>
      </c>
      <c r="E582" s="67"/>
      <c r="F582" s="67"/>
      <c r="G582" s="67"/>
      <c r="H582" s="67"/>
      <c r="I582" s="67"/>
      <c r="J582" s="67"/>
      <c r="K582" s="73"/>
      <c r="L582" s="73"/>
      <c r="M582" s="67"/>
      <c r="N582" s="67"/>
      <c r="O582" s="67"/>
      <c r="P582" s="67"/>
      <c r="Q582" s="67"/>
      <c r="R582" s="73"/>
      <c r="S582" s="73"/>
      <c r="T582" s="67"/>
      <c r="U582" s="67"/>
      <c r="V582" s="121">
        <f>(VLOOKUP($A582,Pitchers!$A1:$S251,4,FALSE)-AVERAGE(Rankings!AC2:AC651))/STDEV(Rankings!AC2:AC651)</f>
        <v>-1.7609505917892874</v>
      </c>
      <c r="W582" s="121">
        <f>(VLOOKUP($A582,Pitchers!$A1:$S251,5,FALSE)-AVERAGE(Rankings!AD2:AD651))/STDEV(Rankings!AD2:AD651)*-1</f>
        <v>2.0879895063756138</v>
      </c>
      <c r="X582" s="121">
        <f>(VLOOKUP($A582,Pitchers!$A1:$S251,6,FALSE)-AVERAGE(Rankings!AE2:AE651))/STDEV(Rankings!AE2:AE651)*-1</f>
        <v>2.8235530519459031</v>
      </c>
      <c r="Y582" s="121">
        <f>(VLOOKUP($A582,Pitchers!$A1:$S251,7,FALSE)-AVERAGE(Rankings!AF2:AF651))/STDEV(Rankings!AF2:AF651)</f>
        <v>-1.5473386512353358</v>
      </c>
      <c r="Z582" s="121">
        <f>(VLOOKUP($A582,Pitchers!$A1:$S251,8,FALSE)-AVERAGE(Rankings!AG2:AG651))/STDEV(Rankings!AG2:AG651)</f>
        <v>-1.468750938935701</v>
      </c>
      <c r="AA582" s="121">
        <f>(VLOOKUP($A582,Pitchers!$A1:$S251,9,FALSE)-AVERAGE(Rankings!AH2:AH651))/STDEV(Rankings!AH2:AH651)</f>
        <v>1.2848056850829186</v>
      </c>
      <c r="AB582" s="121">
        <f>(VLOOKUP($A582,Pitchers!$A1:$S251,10,FALSE)-AVERAGE(Rankings!AI2:AI651))/STDEV(Rankings!AI2:AI651)*-1</f>
        <v>1.7604191481374991</v>
      </c>
      <c r="AC582" s="121">
        <f>(VLOOKUP($A582,Pitchers!$A1:$S251,11,FALSE)-AVERAGE(Rankings!AJ2:AJ651))/STDEV(Rankings!AJ2:AJ651)*-1</f>
        <v>1.714047012810616</v>
      </c>
      <c r="AD582" s="121">
        <f>(VLOOKUP($A582,Pitchers!$A1:$S251,12,FALSE)-AVERAGE(Rankings!AK2:AK651))/STDEV(Rankings!AK2:AK651)*-1</f>
        <v>2.1519739030739142</v>
      </c>
      <c r="AE582" s="121">
        <f>IFERROR((VLOOKUP($A582,Pitchers!$A1:$S251,13,FALSE)-AVERAGE(Rankings!AL2:AL651))/STDEV(Rankings!AL2:AL651)*-1,0)</f>
        <v>1.4965915273791901</v>
      </c>
      <c r="AF582" s="121">
        <f>(VLOOKUP($A582,Pitchers!$A1:$S251,14,FALSE)-AVERAGE(Rankings!AM2:AM651))/STDEV(Rankings!AM2:AM651)</f>
        <v>-0.72287662402847952</v>
      </c>
      <c r="AG582" s="121">
        <f>(VLOOKUP($A582,Pitchers!$A1:$S251,15,FALSE)-AVERAGE(Rankings!AN2:AN651))/STDEV(Rankings!AN2:AN651)</f>
        <v>-1.2653418049058471</v>
      </c>
      <c r="AH582" s="121">
        <f>(VLOOKUP($A582,Pitchers!$A1:$S251,16,FALSE)-AVERAGE(Rankings!AO2:AO651))/STDEV(Rankings!AO2:AO651)*-1</f>
        <v>1.6862689290274659</v>
      </c>
      <c r="AI582" s="121">
        <f>IFERROR((VLOOKUP($A582,Pitchers!$A1:$S251,17,FALSE)-AVERAGE(Rankings!AP2:AP651))/STDEV(Rankings!AP2:AP651),0)</f>
        <v>-1.126133891603242</v>
      </c>
      <c r="AJ582" s="121">
        <f>(VLOOKUP($A582,Pitchers!$A1:$S251,18,FALSE)-AVERAGE(Rankings!AQ2:AQ651))/STDEV(Rankings!AQ2:AQ651)</f>
        <v>-0.68467156957913733</v>
      </c>
      <c r="AK582" s="121">
        <f>IFERROR((VLOOKUP($A582,Pitchers!$A1:$S251,19,FALSE)-AVERAGE(Rankings!AR2:AR651))/STDEV(Rankings!AR2:AR651)*-1,0)</f>
        <v>-0.97553298850641301</v>
      </c>
    </row>
    <row r="583" spans="1:37" ht="20.100000000000001" customHeight="1">
      <c r="A583" s="25" t="s">
        <v>334</v>
      </c>
      <c r="B583" s="26" t="s">
        <v>125</v>
      </c>
      <c r="C583" s="131" t="s">
        <v>34</v>
      </c>
      <c r="D583" s="67">
        <f>(V583*Settings!$G$2)+(Y583*Settings!$G$5)+(Z583*Settings!$G$6)+(AA583*Settings!$G$7)+(AB583*Settings!$G$8)+(AC583*Settings!$G$9)+(AD583*Settings!$G$10)+(AE583*Settings!$G$11)+(AF583*Settings!$G$12)+(AG583*Settings!$G$13)+(AH583*Settings!$G$14)+(AI583*Settings!$G$15)+(AJ583*Settings!$G$16)+(AK583*Settings!$G$17)+(W583*Settings!$G$3)+(X583*Settings!$G$4)</f>
        <v>1.5710648638818441</v>
      </c>
      <c r="E583" s="67"/>
      <c r="F583" s="67"/>
      <c r="G583" s="67"/>
      <c r="H583" s="67"/>
      <c r="I583" s="67"/>
      <c r="J583" s="67"/>
      <c r="K583" s="73"/>
      <c r="L583" s="73"/>
      <c r="M583" s="67"/>
      <c r="N583" s="67"/>
      <c r="O583" s="67"/>
      <c r="P583" s="67"/>
      <c r="Q583" s="67"/>
      <c r="R583" s="73"/>
      <c r="S583" s="73"/>
      <c r="T583" s="67"/>
      <c r="U583" s="67"/>
      <c r="V583" s="121">
        <f>(VLOOKUP($A583,Pitchers!$A1:$S251,4,FALSE)-AVERAGE(Rankings!AC2:AC651))/STDEV(Rankings!AC2:AC651)</f>
        <v>-1.022054374406681</v>
      </c>
      <c r="W583" s="121">
        <f>(VLOOKUP($A583,Pitchers!$A1:$S251,5,FALSE)-AVERAGE(Rankings!AD2:AD651))/STDEV(Rankings!AD2:AD651)*-1</f>
        <v>0.79819154274580395</v>
      </c>
      <c r="X583" s="121">
        <f>(VLOOKUP($A583,Pitchers!$A1:$S251,6,FALSE)-AVERAGE(Rankings!AE2:AE651))/STDEV(Rankings!AE2:AE651)*-1</f>
        <v>1.6599673232357599</v>
      </c>
      <c r="Y583" s="121">
        <f>(VLOOKUP($A583,Pitchers!$A1:$S251,7,FALSE)-AVERAGE(Rankings!AF2:AF651))/STDEV(Rankings!AF2:AF651)</f>
        <v>-0.82850082296081573</v>
      </c>
      <c r="Z583" s="121">
        <f>(VLOOKUP($A583,Pitchers!$A1:$S251,8,FALSE)-AVERAGE(Rankings!AG2:AG651))/STDEV(Rankings!AG2:AG651)</f>
        <v>-0.89495010852097845</v>
      </c>
      <c r="AA583" s="121">
        <f>(VLOOKUP($A583,Pitchers!$A1:$S251,9,FALSE)-AVERAGE(Rankings!AH2:AH651))/STDEV(Rankings!AH2:AH651)</f>
        <v>0.83635692938207429</v>
      </c>
      <c r="AB583" s="121">
        <f>(VLOOKUP($A583,Pitchers!$A1:$S251,10,FALSE)-AVERAGE(Rankings!AI2:AI651))/STDEV(Rankings!AI2:AI651)*-1</f>
        <v>1.080165147046827</v>
      </c>
      <c r="AC583" s="121">
        <f>(VLOOKUP($A583,Pitchers!$A1:$S251,11,FALSE)-AVERAGE(Rankings!AJ2:AJ651))/STDEV(Rankings!AJ2:AJ651)*-1</f>
        <v>1.1261222750761022</v>
      </c>
      <c r="AD583" s="121">
        <f>(VLOOKUP($A583,Pitchers!$A1:$S251,12,FALSE)-AVERAGE(Rankings!AK2:AK651))/STDEV(Rankings!AK2:AK651)*-1</f>
        <v>1.2342769793296426</v>
      </c>
      <c r="AE583" s="121">
        <f>IFERROR((VLOOKUP($A583,Pitchers!$A1:$S251,13,FALSE)-AVERAGE(Rankings!AL2:AL651))/STDEV(Rankings!AL2:AL651)*-1,0)</f>
        <v>0.96456467797315026</v>
      </c>
      <c r="AF583" s="121">
        <f>(VLOOKUP($A583,Pitchers!$A1:$S251,14,FALSE)-AVERAGE(Rankings!AM2:AM651))/STDEV(Rankings!AM2:AM651)</f>
        <v>1.5924899304779832</v>
      </c>
      <c r="AG583" s="121">
        <f>(VLOOKUP($A583,Pitchers!$A1:$S251,15,FALSE)-AVERAGE(Rankings!AN2:AN651))/STDEV(Rankings!AN2:AN651)</f>
        <v>-1.2653418049058471</v>
      </c>
      <c r="AH583" s="121">
        <f>(VLOOKUP($A583,Pitchers!$A1:$S251,16,FALSE)-AVERAGE(Rankings!AO2:AO651))/STDEV(Rankings!AO2:AO651)*-1</f>
        <v>0.75936213121999818</v>
      </c>
      <c r="AI583" s="121">
        <f>IFERROR((VLOOKUP($A583,Pitchers!$A1:$S251,17,FALSE)-AVERAGE(Rankings!AP2:AP651))/STDEV(Rankings!AP2:AP651),0)</f>
        <v>-1.126133891603242</v>
      </c>
      <c r="AJ583" s="121">
        <f>(VLOOKUP($A583,Pitchers!$A1:$S251,18,FALSE)-AVERAGE(Rankings!AQ2:AQ651))/STDEV(Rankings!AQ2:AQ651)</f>
        <v>1.965807996187839</v>
      </c>
      <c r="AK583" s="121">
        <f>IFERROR((VLOOKUP($A583,Pitchers!$A1:$S251,19,FALSE)-AVERAGE(Rankings!AR2:AR651))/STDEV(Rankings!AR2:AR651)*-1,0)</f>
        <v>-0.4935502866751813</v>
      </c>
    </row>
    <row r="584" spans="1:37" ht="20.100000000000001" customHeight="1">
      <c r="A584" s="25" t="s">
        <v>414</v>
      </c>
      <c r="B584" s="26" t="s">
        <v>105</v>
      </c>
      <c r="C584" s="131" t="s">
        <v>34</v>
      </c>
      <c r="D584" s="67">
        <f>(V584*Settings!$G$2)+(Y584*Settings!$G$5)+(Z584*Settings!$G$6)+(AA584*Settings!$G$7)+(AB584*Settings!$G$8)+(AC584*Settings!$G$9)+(AD584*Settings!$G$10)+(AE584*Settings!$G$11)+(AF584*Settings!$G$12)+(AG584*Settings!$G$13)+(AH584*Settings!$G$14)+(AI584*Settings!$G$15)+(AJ584*Settings!$G$16)+(AK584*Settings!$G$17)+(W584*Settings!$G$3)+(X584*Settings!$G$4)</f>
        <v>0.28064536758809511</v>
      </c>
      <c r="E584" s="67"/>
      <c r="F584" s="67"/>
      <c r="G584" s="67"/>
      <c r="H584" s="67"/>
      <c r="I584" s="67"/>
      <c r="J584" s="67"/>
      <c r="K584" s="73"/>
      <c r="L584" s="73"/>
      <c r="M584" s="67"/>
      <c r="N584" s="67"/>
      <c r="O584" s="67"/>
      <c r="P584" s="67"/>
      <c r="Q584" s="67"/>
      <c r="R584" s="73"/>
      <c r="S584" s="73"/>
      <c r="T584" s="67"/>
      <c r="U584" s="67"/>
      <c r="V584" s="121">
        <f>(VLOOKUP($A584,Pitchers!$A1:$S251,4,FALSE)-AVERAGE(Rankings!AC2:AC651))/STDEV(Rankings!AC2:AC651)</f>
        <v>-0.11166648479487362</v>
      </c>
      <c r="W584" s="121">
        <f>(VLOOKUP($A584,Pitchers!$A1:$S251,5,FALSE)-AVERAGE(Rankings!AD2:AD651))/STDEV(Rankings!AD2:AD651)*-1</f>
        <v>0.2775709272096456</v>
      </c>
      <c r="X584" s="121">
        <f>(VLOOKUP($A584,Pitchers!$A1:$S251,6,FALSE)-AVERAGE(Rankings!AE2:AE651))/STDEV(Rankings!AE2:AE651)*-1</f>
        <v>0.25108073444074974</v>
      </c>
      <c r="Y584" s="121">
        <f>(VLOOKUP($A584,Pitchers!$A1:$S251,7,FALSE)-AVERAGE(Rankings!AF2:AF651))/STDEV(Rankings!AF2:AF651)</f>
        <v>-0.14451573787536343</v>
      </c>
      <c r="Z584" s="121">
        <f>(VLOOKUP($A584,Pitchers!$A1:$S251,8,FALSE)-AVERAGE(Rankings!AG2:AG651))/STDEV(Rankings!AG2:AG651)</f>
        <v>9.1584652542930356E-2</v>
      </c>
      <c r="AA584" s="121">
        <f>(VLOOKUP($A584,Pitchers!$A1:$S251,9,FALSE)-AVERAGE(Rankings!AH2:AH651))/STDEV(Rankings!AH2:AH651)</f>
        <v>-0.19507520872986717</v>
      </c>
      <c r="AB584" s="121">
        <f>(VLOOKUP($A584,Pitchers!$A1:$S251,10,FALSE)-AVERAGE(Rankings!AI2:AI651))/STDEV(Rankings!AI2:AI651)*-1</f>
        <v>0.21857014557710505</v>
      </c>
      <c r="AC584" s="121">
        <f>(VLOOKUP($A584,Pitchers!$A1:$S251,11,FALSE)-AVERAGE(Rankings!AJ2:AJ651))/STDEV(Rankings!AJ2:AJ651)*-1</f>
        <v>2.562953745454595E-2</v>
      </c>
      <c r="AD584" s="121">
        <f>(VLOOKUP($A584,Pitchers!$A1:$S251,12,FALSE)-AVERAGE(Rankings!AK2:AK651))/STDEV(Rankings!AK2:AK651)*-1</f>
        <v>0.60702136921720151</v>
      </c>
      <c r="AE584" s="121">
        <f>IFERROR((VLOOKUP($A584,Pitchers!$A1:$S251,13,FALSE)-AVERAGE(Rankings!AL2:AL651))/STDEV(Rankings!AL2:AL651)*-1,0)</f>
        <v>-0.23249573319043931</v>
      </c>
      <c r="AF584" s="121">
        <f>(VLOOKUP($A584,Pitchers!$A1:$S251,14,FALSE)-AVERAGE(Rankings!AM2:AM651))/STDEV(Rankings!AM2:AM651)</f>
        <v>-0.25413480743818834</v>
      </c>
      <c r="AG584" s="121">
        <f>(VLOOKUP($A584,Pitchers!$A1:$S251,15,FALSE)-AVERAGE(Rankings!AN2:AN651))/STDEV(Rankings!AN2:AN651)</f>
        <v>-4.2052077770681234E-2</v>
      </c>
      <c r="AH584" s="121">
        <f>(VLOOKUP($A584,Pitchers!$A1:$S251,16,FALSE)-AVERAGE(Rankings!AO2:AO651))/STDEV(Rankings!AO2:AO651)*-1</f>
        <v>0.19570259201275456</v>
      </c>
      <c r="AI584" s="121">
        <f>IFERROR((VLOOKUP($A584,Pitchers!$A1:$S251,17,FALSE)-AVERAGE(Rankings!AP2:AP651))/STDEV(Rankings!AP2:AP651),0)</f>
        <v>0.16333239649207321</v>
      </c>
      <c r="AJ584" s="121">
        <f>(VLOOKUP($A584,Pitchers!$A1:$S251,18,FALSE)-AVERAGE(Rankings!AQ2:AQ651))/STDEV(Rankings!AQ2:AQ651)</f>
        <v>0.3594567442078534</v>
      </c>
      <c r="AK584" s="121">
        <f>IFERROR((VLOOKUP($A584,Pitchers!$A1:$S251,19,FALSE)-AVERAGE(Rankings!AR2:AR651))/STDEV(Rankings!AR2:AR651)*-1,0)</f>
        <v>0.47041511698728217</v>
      </c>
    </row>
    <row r="585" spans="1:37" ht="20.100000000000001" customHeight="1">
      <c r="A585" s="25" t="s">
        <v>355</v>
      </c>
      <c r="B585" s="26" t="s">
        <v>103</v>
      </c>
      <c r="C585" s="131" t="s">
        <v>34</v>
      </c>
      <c r="D585" s="67">
        <f>(V585*Settings!$G$2)+(Y585*Settings!$G$5)+(Z585*Settings!$G$6)+(AA585*Settings!$G$7)+(AB585*Settings!$G$8)+(AC585*Settings!$G$9)+(AD585*Settings!$G$10)+(AE585*Settings!$G$11)+(AF585*Settings!$G$12)+(AG585*Settings!$G$13)+(AH585*Settings!$G$14)+(AI585*Settings!$G$15)+(AJ585*Settings!$G$16)+(AK585*Settings!$G$17)+(W585*Settings!$G$3)+(X585*Settings!$G$4)</f>
        <v>1.3527348521273681</v>
      </c>
      <c r="E585" s="67"/>
      <c r="F585" s="67"/>
      <c r="G585" s="67"/>
      <c r="H585" s="67"/>
      <c r="I585" s="67"/>
      <c r="J585" s="67"/>
      <c r="K585" s="73"/>
      <c r="L585" s="73"/>
      <c r="M585" s="67"/>
      <c r="N585" s="67"/>
      <c r="O585" s="67"/>
      <c r="P585" s="67"/>
      <c r="Q585" s="67"/>
      <c r="R585" s="73"/>
      <c r="S585" s="73"/>
      <c r="T585" s="67"/>
      <c r="U585" s="67"/>
      <c r="V585" s="121">
        <f>(VLOOKUP($A585,Pitchers!$A1:$S251,4,FALSE)-AVERAGE(Rankings!AC2:AC651))/STDEV(Rankings!AC2:AC651)</f>
        <v>-1.2104834957449386</v>
      </c>
      <c r="W585" s="121">
        <f>(VLOOKUP($A585,Pitchers!$A1:$S251,5,FALSE)-AVERAGE(Rankings!AD2:AD651))/STDEV(Rankings!AD2:AD651)*-1</f>
        <v>1.4221468868653884</v>
      </c>
      <c r="X585" s="121">
        <f>(VLOOKUP($A585,Pitchers!$A1:$S251,6,FALSE)-AVERAGE(Rankings!AE2:AE651))/STDEV(Rankings!AE2:AE651)*-1</f>
        <v>1.6672271012568716</v>
      </c>
      <c r="Y585" s="121">
        <f>(VLOOKUP($A585,Pitchers!$A1:$S251,7,FALSE)-AVERAGE(Rankings!AF2:AF651))/STDEV(Rankings!AF2:AF651)</f>
        <v>-1.0172865152349322</v>
      </c>
      <c r="Z585" s="121">
        <f>(VLOOKUP($A585,Pitchers!$A1:$S251,8,FALSE)-AVERAGE(Rankings!AG2:AG651))/STDEV(Rankings!AG2:AG651)</f>
        <v>-1.1969505455813587</v>
      </c>
      <c r="AA585" s="121">
        <f>(VLOOKUP($A585,Pitchers!$A1:$S251,9,FALSE)-AVERAGE(Rankings!AH2:AH651))/STDEV(Rankings!AH2:AH651)</f>
        <v>0.47759792482139907</v>
      </c>
      <c r="AB585" s="121">
        <f>(VLOOKUP($A585,Pitchers!$A1:$S251,10,FALSE)-AVERAGE(Rankings!AI2:AI651))/STDEV(Rankings!AI2:AI651)*-1</f>
        <v>1.3189297964362683</v>
      </c>
      <c r="AC585" s="121">
        <f>(VLOOKUP($A585,Pitchers!$A1:$S251,11,FALSE)-AVERAGE(Rankings!AJ2:AJ651))/STDEV(Rankings!AJ2:AJ651)*-1</f>
        <v>1.3315760226036408</v>
      </c>
      <c r="AD585" s="121">
        <f>(VLOOKUP($A585,Pitchers!$A1:$S251,12,FALSE)-AVERAGE(Rankings!AK2:AK651))/STDEV(Rankings!AK2:AK651)*-1</f>
        <v>1.2171921961748289</v>
      </c>
      <c r="AE585" s="121">
        <f>IFERROR((VLOOKUP($A585,Pitchers!$A1:$S251,13,FALSE)-AVERAGE(Rankings!AL2:AL651))/STDEV(Rankings!AL2:AL651)*-1,0)</f>
        <v>0.96456467797315026</v>
      </c>
      <c r="AF585" s="121">
        <f>(VLOOKUP($A585,Pitchers!$A1:$S251,14,FALSE)-AVERAGE(Rankings!AM2:AM651))/STDEV(Rankings!AM2:AM651)</f>
        <v>1.1782529762819116</v>
      </c>
      <c r="AG585" s="121">
        <f>(VLOOKUP($A585,Pitchers!$A1:$S251,15,FALSE)-AVERAGE(Rankings!AN2:AN651))/STDEV(Rankings!AN2:AN651)</f>
        <v>-1.2653418049058471</v>
      </c>
      <c r="AH585" s="121">
        <f>(VLOOKUP($A585,Pitchers!$A1:$S251,16,FALSE)-AVERAGE(Rankings!AO2:AO651))/STDEV(Rankings!AO2:AO651)*-1</f>
        <v>1.2478670651996095</v>
      </c>
      <c r="AI585" s="121">
        <f>IFERROR((VLOOKUP($A585,Pitchers!$A1:$S251,17,FALSE)-AVERAGE(Rankings!AP2:AP651))/STDEV(Rankings!AP2:AP651),0)</f>
        <v>-1.126133891603242</v>
      </c>
      <c r="AJ585" s="121">
        <f>(VLOOKUP($A585,Pitchers!$A1:$S251,18,FALSE)-AVERAGE(Rankings!AQ2:AQ651))/STDEV(Rankings!AQ2:AQ651)</f>
        <v>1.8051728709898405</v>
      </c>
      <c r="AK585" s="121">
        <f>IFERROR((VLOOKUP($A585,Pitchers!$A1:$S251,19,FALSE)-AVERAGE(Rankings!AR2:AR651))/STDEV(Rankings!AR2:AR651)*-1,0)</f>
        <v>-1.9394983921688764</v>
      </c>
    </row>
    <row r="586" spans="1:37" ht="20.100000000000001" customHeight="1">
      <c r="A586" s="25" t="s">
        <v>361</v>
      </c>
      <c r="B586" s="26" t="s">
        <v>82</v>
      </c>
      <c r="C586" s="131" t="s">
        <v>34</v>
      </c>
      <c r="D586" s="67">
        <f>(V586*Settings!$G$2)+(Y586*Settings!$G$5)+(Z586*Settings!$G$6)+(AA586*Settings!$G$7)+(AB586*Settings!$G$8)+(AC586*Settings!$G$9)+(AD586*Settings!$G$10)+(AE586*Settings!$G$11)+(AF586*Settings!$G$12)+(AG586*Settings!$G$13)+(AH586*Settings!$G$14)+(AI586*Settings!$G$15)+(AJ586*Settings!$G$16)+(AK586*Settings!$G$17)+(W586*Settings!$G$3)+(X586*Settings!$G$4)</f>
        <v>1.2396922439216325</v>
      </c>
      <c r="E586" s="67"/>
      <c r="F586" s="67"/>
      <c r="G586" s="67"/>
      <c r="H586" s="67"/>
      <c r="I586" s="67"/>
      <c r="J586" s="67"/>
      <c r="K586" s="73"/>
      <c r="L586" s="73"/>
      <c r="M586" s="67"/>
      <c r="N586" s="67"/>
      <c r="O586" s="67"/>
      <c r="P586" s="67"/>
      <c r="Q586" s="67"/>
      <c r="R586" s="73"/>
      <c r="S586" s="73"/>
      <c r="T586" s="67"/>
      <c r="U586" s="67"/>
      <c r="V586" s="121">
        <f>(VLOOKUP($A586,Pitchers!$A1:$S251,4,FALSE)-AVERAGE(Rankings!AC2:AC651))/STDEV(Rankings!AC2:AC651)</f>
        <v>-1.1914288654972496</v>
      </c>
      <c r="W586" s="121">
        <f>(VLOOKUP($A586,Pitchers!$A1:$S251,5,FALSE)-AVERAGE(Rankings!AD2:AD651))/STDEV(Rankings!AD2:AD651)*-1</f>
        <v>1.5744522082673595</v>
      </c>
      <c r="X586" s="121">
        <f>(VLOOKUP($A586,Pitchers!$A1:$S251,6,FALSE)-AVERAGE(Rankings!AE2:AE651))/STDEV(Rankings!AE2:AE651)*-1</f>
        <v>1.214907395449986</v>
      </c>
      <c r="Y586" s="121">
        <f>(VLOOKUP($A586,Pitchers!$A1:$S251,7,FALSE)-AVERAGE(Rankings!AF2:AF651))/STDEV(Rankings!AF2:AF651)</f>
        <v>-1.0078472306212263</v>
      </c>
      <c r="Z586" s="121">
        <f>(VLOOKUP($A586,Pitchers!$A1:$S251,8,FALSE)-AVERAGE(Rankings!AG2:AG651))/STDEV(Rankings!AG2:AG651)</f>
        <v>-0.88488342728563252</v>
      </c>
      <c r="AA586" s="121">
        <f>(VLOOKUP($A586,Pitchers!$A1:$S251,9,FALSE)-AVERAGE(Rankings!AH2:AH651))/STDEV(Rankings!AH2:AH651)</f>
        <v>0.34306329811114578</v>
      </c>
      <c r="AB586" s="121">
        <f>(VLOOKUP($A586,Pitchers!$A1:$S251,10,FALSE)-AVERAGE(Rankings!AI2:AI651))/STDEV(Rankings!AI2:AI651)*-1</f>
        <v>1.3279397832056812</v>
      </c>
      <c r="AC586" s="121">
        <f>(VLOOKUP($A586,Pitchers!$A1:$S251,11,FALSE)-AVERAGE(Rankings!AJ2:AJ651))/STDEV(Rankings!AJ2:AJ651)*-1</f>
        <v>1.2668829740742082</v>
      </c>
      <c r="AD586" s="121">
        <f>(VLOOKUP($A586,Pitchers!$A1:$S251,12,FALSE)-AVERAGE(Rankings!AK2:AK651))/STDEV(Rankings!AK2:AK651)*-1</f>
        <v>1.1854633131730326</v>
      </c>
      <c r="AE586" s="121">
        <f>IFERROR((VLOOKUP($A586,Pitchers!$A1:$S251,13,FALSE)-AVERAGE(Rankings!AL2:AL651))/STDEV(Rankings!AL2:AL651)*-1,0)</f>
        <v>0.96456467797315026</v>
      </c>
      <c r="AF586" s="121">
        <f>(VLOOKUP($A586,Pitchers!$A1:$S251,14,FALSE)-AVERAGE(Rankings!AM2:AM651))/STDEV(Rankings!AM2:AM651)</f>
        <v>1.0256393615780961</v>
      </c>
      <c r="AG586" s="121">
        <f>(VLOOKUP($A586,Pitchers!$A1:$S251,15,FALSE)-AVERAGE(Rankings!AN2:AN651))/STDEV(Rankings!AN2:AN651)</f>
        <v>-1.2653418049058471</v>
      </c>
      <c r="AH586" s="121">
        <f>(VLOOKUP($A586,Pitchers!$A1:$S251,16,FALSE)-AVERAGE(Rankings!AO2:AO651))/STDEV(Rankings!AO2:AO651)*-1</f>
        <v>1.3981762756548746</v>
      </c>
      <c r="AI586" s="121">
        <f>IFERROR((VLOOKUP($A586,Pitchers!$A1:$S251,17,FALSE)-AVERAGE(Rankings!AP2:AP651))/STDEV(Rankings!AP2:AP651),0)</f>
        <v>-1.126133891603242</v>
      </c>
      <c r="AJ586" s="121">
        <f>(VLOOKUP($A586,Pitchers!$A1:$S251,18,FALSE)-AVERAGE(Rankings!AQ2:AQ651))/STDEV(Rankings!AQ2:AQ651)</f>
        <v>1.644537745791842</v>
      </c>
      <c r="AK586" s="121">
        <f>IFERROR((VLOOKUP($A586,Pitchers!$A1:$S251,19,FALSE)-AVERAGE(Rankings!AR2:AR651))/STDEV(Rankings!AR2:AR651)*-1,0)</f>
        <v>-2.4214810940001081</v>
      </c>
    </row>
    <row r="587" spans="1:37" ht="20.100000000000001" customHeight="1">
      <c r="A587" s="25" t="s">
        <v>367</v>
      </c>
      <c r="B587" s="26" t="s">
        <v>74</v>
      </c>
      <c r="C587" s="131" t="s">
        <v>34</v>
      </c>
      <c r="D587" s="67">
        <f>(V587*Settings!$G$2)+(Y587*Settings!$G$5)+(Z587*Settings!$G$6)+(AA587*Settings!$G$7)+(AB587*Settings!$G$8)+(AC587*Settings!$G$9)+(AD587*Settings!$G$10)+(AE587*Settings!$G$11)+(AF587*Settings!$G$12)+(AG587*Settings!$G$13)+(AH587*Settings!$G$14)+(AI587*Settings!$G$15)+(AJ587*Settings!$G$16)+(AK587*Settings!$G$17)+(W587*Settings!$G$3)+(X587*Settings!$G$4)</f>
        <v>1.0164721357708271</v>
      </c>
      <c r="E587" s="67"/>
      <c r="F587" s="67"/>
      <c r="G587" s="67"/>
      <c r="H587" s="67"/>
      <c r="I587" s="67"/>
      <c r="J587" s="67"/>
      <c r="K587" s="73"/>
      <c r="L587" s="73"/>
      <c r="M587" s="67"/>
      <c r="N587" s="67"/>
      <c r="O587" s="67"/>
      <c r="P587" s="67"/>
      <c r="Q587" s="67"/>
      <c r="R587" s="73"/>
      <c r="S587" s="73"/>
      <c r="T587" s="67"/>
      <c r="U587" s="67"/>
      <c r="V587" s="121">
        <f>(VLOOKUP($A587,Pitchers!$A1:$S251,4,FALSE)-AVERAGE(Rankings!AC2:AC651))/STDEV(Rankings!AC2:AC651)</f>
        <v>-1.0778068110573262</v>
      </c>
      <c r="W587" s="121">
        <f>(VLOOKUP($A587,Pitchers!$A1:$S251,5,FALSE)-AVERAGE(Rankings!AD2:AD651))/STDEV(Rankings!AD2:AD651)*-1</f>
        <v>1.7616830590727255</v>
      </c>
      <c r="X587" s="121">
        <f>(VLOOKUP($A587,Pitchers!$A1:$S251,6,FALSE)-AVERAGE(Rankings!AE2:AE651))/STDEV(Rankings!AE2:AE651)*-1</f>
        <v>1.2116120799038059</v>
      </c>
      <c r="Y587" s="121">
        <f>(VLOOKUP($A587,Pitchers!$A1:$S251,7,FALSE)-AVERAGE(Rankings!AF2:AF651))/STDEV(Rankings!AF2:AF651)</f>
        <v>-0.80090906793613714</v>
      </c>
      <c r="Z587" s="121">
        <f>(VLOOKUP($A587,Pitchers!$A1:$S251,8,FALSE)-AVERAGE(Rankings!AG2:AG651))/STDEV(Rankings!AG2:AG651)</f>
        <v>-1.0056836021097846</v>
      </c>
      <c r="AA587" s="121">
        <f>(VLOOKUP($A587,Pitchers!$A1:$S251,9,FALSE)-AVERAGE(Rankings!AH2:AH651))/STDEV(Rankings!AH2:AH651)</f>
        <v>-0.15023033315978274</v>
      </c>
      <c r="AB587" s="121">
        <f>(VLOOKUP($A587,Pitchers!$A1:$S251,10,FALSE)-AVERAGE(Rankings!AI2:AI651))/STDEV(Rankings!AI2:AI651)*-1</f>
        <v>1.279886520435479</v>
      </c>
      <c r="AC587" s="121">
        <f>(VLOOKUP($A587,Pitchers!$A1:$S251,11,FALSE)-AVERAGE(Rankings!AJ2:AJ651))/STDEV(Rankings!AJ2:AJ651)*-1</f>
        <v>1.1353641391517353</v>
      </c>
      <c r="AD587" s="121">
        <f>(VLOOKUP($A587,Pitchers!$A1:$S251,12,FALSE)-AVERAGE(Rankings!AK2:AK651))/STDEV(Rankings!AK2:AK651)*-1</f>
        <v>1.2049887796356766</v>
      </c>
      <c r="AE587" s="121">
        <f>IFERROR((VLOOKUP($A587,Pitchers!$A1:$S251,13,FALSE)-AVERAGE(Rankings!AL2:AL651))/STDEV(Rankings!AL2:AL651)*-1,0)</f>
        <v>1.0975713903246602</v>
      </c>
      <c r="AF587" s="121">
        <f>(VLOOKUP($A587,Pitchers!$A1:$S251,14,FALSE)-AVERAGE(Rankings!AM2:AM651))/STDEV(Rankings!AM2:AM651)</f>
        <v>1.8105093800548624</v>
      </c>
      <c r="AG587" s="121">
        <f>(VLOOKUP($A587,Pitchers!$A1:$S251,15,FALSE)-AVERAGE(Rankings!AN2:AN651))/STDEV(Rankings!AN2:AN651)</f>
        <v>-1.2653418049058471</v>
      </c>
      <c r="AH587" s="121">
        <f>(VLOOKUP($A587,Pitchers!$A1:$S251,16,FALSE)-AVERAGE(Rankings!AO2:AO651))/STDEV(Rankings!AO2:AO651)*-1</f>
        <v>1.1977639950478545</v>
      </c>
      <c r="AI587" s="121">
        <f>IFERROR((VLOOKUP($A587,Pitchers!$A1:$S251,17,FALSE)-AVERAGE(Rankings!AP2:AP651))/STDEV(Rankings!AP2:AP651),0)</f>
        <v>-1.126133891603242</v>
      </c>
      <c r="AJ587" s="121">
        <f>(VLOOKUP($A587,Pitchers!$A1:$S251,18,FALSE)-AVERAGE(Rankings!AQ2:AQ651))/STDEV(Rankings!AQ2:AQ651)</f>
        <v>2.9296187473758306</v>
      </c>
      <c r="AK587" s="121">
        <f>IFERROR((VLOOKUP($A587,Pitchers!$A1:$S251,19,FALSE)-AVERAGE(Rankings!AR2:AR651))/STDEV(Rankings!AR2:AR651)*-1,0)</f>
        <v>0.47041511698728217</v>
      </c>
    </row>
    <row r="588" spans="1:37" ht="20.100000000000001" customHeight="1">
      <c r="A588" s="25" t="s">
        <v>447</v>
      </c>
      <c r="B588" s="26" t="s">
        <v>92</v>
      </c>
      <c r="C588" s="131" t="s">
        <v>34</v>
      </c>
      <c r="D588" s="67">
        <f>(V588*Settings!$G$2)+(Y588*Settings!$G$5)+(Z588*Settings!$G$6)+(AA588*Settings!$G$7)+(AB588*Settings!$G$8)+(AC588*Settings!$G$9)+(AD588*Settings!$G$10)+(AE588*Settings!$G$11)+(AF588*Settings!$G$12)+(AG588*Settings!$G$13)+(AH588*Settings!$G$14)+(AI588*Settings!$G$15)+(AJ588*Settings!$G$16)+(AK588*Settings!$G$17)+(W588*Settings!$G$3)+(X588*Settings!$G$4)</f>
        <v>-0.29355709420600362</v>
      </c>
      <c r="E588" s="67"/>
      <c r="F588" s="67"/>
      <c r="G588" s="67"/>
      <c r="H588" s="67"/>
      <c r="I588" s="67"/>
      <c r="J588" s="67"/>
      <c r="K588" s="73"/>
      <c r="L588" s="73"/>
      <c r="M588" s="67"/>
      <c r="N588" s="67"/>
      <c r="O588" s="67"/>
      <c r="P588" s="67"/>
      <c r="Q588" s="67"/>
      <c r="R588" s="73"/>
      <c r="S588" s="73"/>
      <c r="T588" s="67"/>
      <c r="U588" s="67"/>
      <c r="V588" s="121">
        <f>(VLOOKUP($A588,Pitchers!$A1:$S251,4,FALSE)-AVERAGE(Rankings!AC2:AC651))/STDEV(Rankings!AC2:AC651)</f>
        <v>-1.1716685082033498</v>
      </c>
      <c r="W588" s="121">
        <f>(VLOOKUP($A588,Pitchers!$A1:$S251,5,FALSE)-AVERAGE(Rankings!AD2:AD651))/STDEV(Rankings!AD2:AD651)*-1</f>
        <v>4.5840897455909975E-2</v>
      </c>
      <c r="X588" s="121">
        <f>(VLOOKUP($A588,Pitchers!$A1:$S251,6,FALSE)-AVERAGE(Rankings!AE2:AE651))/STDEV(Rankings!AE2:AE651)*-1</f>
        <v>-0.27563293266110617</v>
      </c>
      <c r="Y588" s="121">
        <f>(VLOOKUP($A588,Pitchers!$A1:$S251,7,FALSE)-AVERAGE(Rankings!AF2:AF651))/STDEV(Rankings!AF2:AF651)</f>
        <v>-0.8517359850868611</v>
      </c>
      <c r="Z588" s="121">
        <f>(VLOOKUP($A588,Pitchers!$A1:$S251,8,FALSE)-AVERAGE(Rankings!AG2:AG651))/STDEV(Rankings!AG2:AG651)</f>
        <v>-0.94528351469770866</v>
      </c>
      <c r="AA588" s="121">
        <f>(VLOOKUP($A588,Pitchers!$A1:$S251,9,FALSE)-AVERAGE(Rankings!AH2:AH651))/STDEV(Rankings!AH2:AH651)</f>
        <v>1.7332544407837625</v>
      </c>
      <c r="AB588" s="121">
        <f>(VLOOKUP($A588,Pitchers!$A1:$S251,10,FALSE)-AVERAGE(Rankings!AI2:AI651))/STDEV(Rankings!AI2:AI651)*-1</f>
        <v>1.0846701404315335</v>
      </c>
      <c r="AC588" s="121">
        <f>(VLOOKUP($A588,Pitchers!$A1:$S251,11,FALSE)-AVERAGE(Rankings!AJ2:AJ651))/STDEV(Rankings!AJ2:AJ651)*-1</f>
        <v>1.1979244498175603</v>
      </c>
      <c r="AD588" s="121">
        <f>(VLOOKUP($A588,Pitchers!$A1:$S251,12,FALSE)-AVERAGE(Rankings!AK2:AK651))/STDEV(Rankings!AK2:AK651)*-1</f>
        <v>0.72905553460872707</v>
      </c>
      <c r="AE588" s="121">
        <f>IFERROR((VLOOKUP($A588,Pitchers!$A1:$S251,13,FALSE)-AVERAGE(Rankings!AL2:AL651))/STDEV(Rankings!AL2:AL651)*-1,0)</f>
        <v>0.96456467797315026</v>
      </c>
      <c r="AF588" s="121">
        <f>(VLOOKUP($A588,Pitchers!$A1:$S251,14,FALSE)-AVERAGE(Rankings!AM2:AM651))/STDEV(Rankings!AM2:AM651)</f>
        <v>1.3286863964899582</v>
      </c>
      <c r="AG588" s="121">
        <f>(VLOOKUP($A588,Pitchers!$A1:$S251,15,FALSE)-AVERAGE(Rankings!AN2:AN651))/STDEV(Rankings!AN2:AN651)</f>
        <v>-1.2653418049058471</v>
      </c>
      <c r="AH588" s="121">
        <f>(VLOOKUP($A588,Pitchers!$A1:$S251,16,FALSE)-AVERAGE(Rankings!AO2:AO651))/STDEV(Rankings!AO2:AO651)*-1</f>
        <v>0.65915599091648813</v>
      </c>
      <c r="AI588" s="121">
        <f>IFERROR((VLOOKUP($A588,Pitchers!$A1:$S251,17,FALSE)-AVERAGE(Rankings!AP2:AP651))/STDEV(Rankings!AP2:AP651),0)</f>
        <v>-1.126133891603242</v>
      </c>
      <c r="AJ588" s="121">
        <f>(VLOOKUP($A588,Pitchers!$A1:$S251,18,FALSE)-AVERAGE(Rankings!AQ2:AQ651))/STDEV(Rankings!AQ2:AQ651)</f>
        <v>0.52009186940585195</v>
      </c>
      <c r="AK588" s="121">
        <f>IFERROR((VLOOKUP($A588,Pitchers!$A1:$S251,19,FALSE)-AVERAGE(Rankings!AR2:AR651))/STDEV(Rankings!AR2:AR651)*-1,0)</f>
        <v>-2.9034637958313398</v>
      </c>
    </row>
    <row r="589" spans="1:37" ht="20.100000000000001" customHeight="1">
      <c r="A589" s="25" t="s">
        <v>466</v>
      </c>
      <c r="B589" s="26" t="s">
        <v>158</v>
      </c>
      <c r="C589" s="131" t="s">
        <v>34</v>
      </c>
      <c r="D589" s="67">
        <f>(V589*Settings!$G$2)+(Y589*Settings!$G$5)+(Z589*Settings!$G$6)+(AA589*Settings!$G$7)+(AB589*Settings!$G$8)+(AC589*Settings!$G$9)+(AD589*Settings!$G$10)+(AE589*Settings!$G$11)+(AF589*Settings!$G$12)+(AG589*Settings!$G$13)+(AH589*Settings!$G$14)+(AI589*Settings!$G$15)+(AJ589*Settings!$G$16)+(AK589*Settings!$G$17)+(W589*Settings!$G$3)+(X589*Settings!$G$4)</f>
        <v>-0.47764108103079522</v>
      </c>
      <c r="E589" s="67"/>
      <c r="F589" s="67"/>
      <c r="G589" s="67"/>
      <c r="H589" s="67"/>
      <c r="I589" s="67"/>
      <c r="J589" s="67"/>
      <c r="K589" s="73"/>
      <c r="L589" s="73"/>
      <c r="M589" s="67"/>
      <c r="N589" s="67"/>
      <c r="O589" s="67"/>
      <c r="P589" s="67"/>
      <c r="Q589" s="67"/>
      <c r="R589" s="73"/>
      <c r="S589" s="73"/>
      <c r="T589" s="67"/>
      <c r="U589" s="67"/>
      <c r="V589" s="121">
        <f>(VLOOKUP($A589,Pitchers!$A1:$S251,4,FALSE)-AVERAGE(Rankings!AC2:AC651))/STDEV(Rankings!AC2:AC651)</f>
        <v>-0.96700766480224598</v>
      </c>
      <c r="W589" s="121">
        <f>(VLOOKUP($A589,Pitchers!$A1:$S251,5,FALSE)-AVERAGE(Rankings!AD2:AD651))/STDEV(Rankings!AD2:AD651)*-1</f>
        <v>2.6495182248659838E-2</v>
      </c>
      <c r="X589" s="121">
        <f>(VLOOKUP($A589,Pitchers!$A1:$S251,6,FALSE)-AVERAGE(Rankings!AE2:AE651))/STDEV(Rankings!AE2:AE651)*-1</f>
        <v>-0.5355101249067733</v>
      </c>
      <c r="Y589" s="121">
        <f>(VLOOKUP($A589,Pitchers!$A1:$S251,7,FALSE)-AVERAGE(Rankings!AF2:AF651))/STDEV(Rankings!AF2:AF651)</f>
        <v>-0.99913404482395929</v>
      </c>
      <c r="Z589" s="121">
        <f>(VLOOKUP($A589,Pitchers!$A1:$S251,8,FALSE)-AVERAGE(Rankings!AG2:AG651))/STDEV(Rankings!AG2:AG651)</f>
        <v>-1.1063504144632448</v>
      </c>
      <c r="AA589" s="121">
        <f>(VLOOKUP($A589,Pitchers!$A1:$S251,9,FALSE)-AVERAGE(Rankings!AH2:AH651))/STDEV(Rankings!AH2:AH651)</f>
        <v>2.1368583209145222</v>
      </c>
      <c r="AB589" s="121">
        <f>(VLOOKUP($A589,Pitchers!$A1:$S251,10,FALSE)-AVERAGE(Rankings!AI2:AI651))/STDEV(Rankings!AI2:AI651)*-1</f>
        <v>0.90146707612013843</v>
      </c>
      <c r="AC589" s="121">
        <f>(VLOOKUP($A589,Pitchers!$A1:$S251,11,FALSE)-AVERAGE(Rankings!AJ2:AJ651))/STDEV(Rankings!AJ2:AJ651)*-1</f>
        <v>0.86735008095837185</v>
      </c>
      <c r="AD589" s="121">
        <f>(VLOOKUP($A589,Pitchers!$A1:$S251,12,FALSE)-AVERAGE(Rankings!AK2:AK651))/STDEV(Rankings!AK2:AK651)*-1</f>
        <v>0.85841174992374403</v>
      </c>
      <c r="AE589" s="121">
        <f>IFERROR((VLOOKUP($A589,Pitchers!$A1:$S251,13,FALSE)-AVERAGE(Rankings!AL2:AL651))/STDEV(Rankings!AL2:AL651)*-1,0)</f>
        <v>1.0975713903246602</v>
      </c>
      <c r="AF589" s="121">
        <f>(VLOOKUP($A589,Pitchers!$A1:$S251,14,FALSE)-AVERAGE(Rankings!AM2:AM651))/STDEV(Rankings!AM2:AM651)</f>
        <v>1.5270840956049192</v>
      </c>
      <c r="AG589" s="121">
        <f>(VLOOKUP($A589,Pitchers!$A1:$S251,15,FALSE)-AVERAGE(Rankings!AN2:AN651))/STDEV(Rankings!AN2:AN651)</f>
        <v>-1.2653418049058471</v>
      </c>
      <c r="AH589" s="121">
        <f>(VLOOKUP($A589,Pitchers!$A1:$S251,16,FALSE)-AVERAGE(Rankings!AO2:AO651))/STDEV(Rankings!AO2:AO651)*-1</f>
        <v>0.99735171444083448</v>
      </c>
      <c r="AI589" s="121">
        <f>IFERROR((VLOOKUP($A589,Pitchers!$A1:$S251,17,FALSE)-AVERAGE(Rankings!AP2:AP651))/STDEV(Rankings!AP2:AP651),0)</f>
        <v>-1.126133891603242</v>
      </c>
      <c r="AJ589" s="121">
        <f>(VLOOKUP($A589,Pitchers!$A1:$S251,18,FALSE)-AVERAGE(Rankings!AQ2:AQ651))/STDEV(Rankings!AQ2:AQ651)</f>
        <v>-0.1224486313861423</v>
      </c>
      <c r="AK589" s="121">
        <f>IFERROR((VLOOKUP($A589,Pitchers!$A1:$S251,19,FALSE)-AVERAGE(Rankings!AR2:AR651))/STDEV(Rankings!AR2:AR651)*-1,0)</f>
        <v>-1.1567584843949572E-2</v>
      </c>
    </row>
    <row r="590" spans="1:37" ht="20.100000000000001" customHeight="1">
      <c r="A590" s="25" t="s">
        <v>449</v>
      </c>
      <c r="B590" s="26" t="s">
        <v>219</v>
      </c>
      <c r="C590" s="131" t="s">
        <v>34</v>
      </c>
      <c r="D590" s="67">
        <f>(V590*Settings!$G$2)+(Y590*Settings!$G$5)+(Z590*Settings!$G$6)+(AA590*Settings!$G$7)+(AB590*Settings!$G$8)+(AC590*Settings!$G$9)+(AD590*Settings!$G$10)+(AE590*Settings!$G$11)+(AF590*Settings!$G$12)+(AG590*Settings!$G$13)+(AH590*Settings!$G$14)+(AI590*Settings!$G$15)+(AJ590*Settings!$G$16)+(AK590*Settings!$G$17)+(W590*Settings!$G$3)+(X590*Settings!$G$4)</f>
        <v>-0.32546517045831935</v>
      </c>
      <c r="E590" s="67"/>
      <c r="F590" s="67"/>
      <c r="G590" s="67"/>
      <c r="H590" s="67"/>
      <c r="I590" s="67"/>
      <c r="J590" s="67"/>
      <c r="K590" s="73"/>
      <c r="L590" s="73"/>
      <c r="M590" s="67"/>
      <c r="N590" s="67"/>
      <c r="O590" s="67"/>
      <c r="P590" s="67"/>
      <c r="Q590" s="67"/>
      <c r="R590" s="73"/>
      <c r="S590" s="73"/>
      <c r="T590" s="67"/>
      <c r="U590" s="67"/>
      <c r="V590" s="121">
        <f>(VLOOKUP($A590,Pitchers!$A1:$S251,4,FALSE)-AVERAGE(Rankings!AC2:AC651))/STDEV(Rankings!AC2:AC651)</f>
        <v>-1.1039187117671223</v>
      </c>
      <c r="W590" s="121">
        <f>(VLOOKUP($A590,Pitchers!$A1:$S251,5,FALSE)-AVERAGE(Rankings!AD2:AD651))/STDEV(Rankings!AD2:AD651)*-1</f>
        <v>4.538190147696932E-3</v>
      </c>
      <c r="X590" s="121">
        <f>(VLOOKUP($A590,Pitchers!$A1:$S251,6,FALSE)-AVERAGE(Rankings!AE2:AE651))/STDEV(Rankings!AE2:AE651)*-1</f>
        <v>0.15519778901165754</v>
      </c>
      <c r="Y590" s="121">
        <f>(VLOOKUP($A590,Pitchers!$A1:$S251,7,FALSE)-AVERAGE(Rankings!AF2:AF651))/STDEV(Rankings!AF2:AF651)</f>
        <v>-0.86407966496632238</v>
      </c>
      <c r="Z590" s="121">
        <f>(VLOOKUP($A590,Pitchers!$A1:$S251,8,FALSE)-AVERAGE(Rankings!AG2:AG651))/STDEV(Rankings!AG2:AG651)</f>
        <v>-0.99561692087443865</v>
      </c>
      <c r="AA590" s="121">
        <f>(VLOOKUP($A590,Pitchers!$A1:$S251,9,FALSE)-AVERAGE(Rankings!AH2:AH651))/STDEV(Rankings!AH2:AH651)</f>
        <v>1.3744954362230872</v>
      </c>
      <c r="AB590" s="121">
        <f>(VLOOKUP($A590,Pitchers!$A1:$S251,10,FALSE)-AVERAGE(Rankings!AI2:AI651))/STDEV(Rankings!AI2:AI651)*-1</f>
        <v>1.0185969041225056</v>
      </c>
      <c r="AC590" s="121">
        <f>(VLOOKUP($A590,Pitchers!$A1:$S251,11,FALSE)-AVERAGE(Rankings!AJ2:AJ651))/STDEV(Rankings!AJ2:AJ651)*-1</f>
        <v>0.97825244986597049</v>
      </c>
      <c r="AD590" s="121">
        <f>(VLOOKUP($A590,Pitchers!$A1:$S251,12,FALSE)-AVERAGE(Rankings!AK2:AK651))/STDEV(Rankings!AK2:AK651)*-1</f>
        <v>1.3807179777994731</v>
      </c>
      <c r="AE590" s="121">
        <f>IFERROR((VLOOKUP($A590,Pitchers!$A1:$S251,13,FALSE)-AVERAGE(Rankings!AL2:AL651))/STDEV(Rankings!AL2:AL651)*-1,0)</f>
        <v>1.2305781026761702</v>
      </c>
      <c r="AF590" s="121">
        <f>(VLOOKUP($A590,Pitchers!$A1:$S251,14,FALSE)-AVERAGE(Rankings!AM2:AM651))/STDEV(Rankings!AM2:AM651)</f>
        <v>1.3962724258587913</v>
      </c>
      <c r="AG590" s="121">
        <f>(VLOOKUP($A590,Pitchers!$A1:$S251,15,FALSE)-AVERAGE(Rankings!AN2:AN651))/STDEV(Rankings!AN2:AN651)</f>
        <v>-1.2653418049058471</v>
      </c>
      <c r="AH590" s="121">
        <f>(VLOOKUP($A590,Pitchers!$A1:$S251,16,FALSE)-AVERAGE(Rankings!AO2:AO651))/STDEV(Rankings!AO2:AO651)*-1</f>
        <v>0.508846780461223</v>
      </c>
      <c r="AI590" s="121">
        <f>IFERROR((VLOOKUP($A590,Pitchers!$A1:$S251,17,FALSE)-AVERAGE(Rankings!AP2:AP651))/STDEV(Rankings!AP2:AP651),0)</f>
        <v>-1.126133891603242</v>
      </c>
      <c r="AJ590" s="121">
        <f>(VLOOKUP($A590,Pitchers!$A1:$S251,18,FALSE)-AVERAGE(Rankings!AQ2:AQ651))/STDEV(Rankings!AQ2:AQ651)</f>
        <v>1.0823148075988469</v>
      </c>
      <c r="AK590" s="121">
        <f>IFERROR((VLOOKUP($A590,Pitchers!$A1:$S251,19,FALSE)-AVERAGE(Rankings!AR2:AR651))/STDEV(Rankings!AR2:AR651)*-1,0)</f>
        <v>-0.4935502866751813</v>
      </c>
    </row>
    <row r="591" spans="1:37" ht="20.100000000000001" customHeight="1">
      <c r="A591" s="25" t="s">
        <v>410</v>
      </c>
      <c r="B591" s="26" t="s">
        <v>64</v>
      </c>
      <c r="C591" s="131" t="s">
        <v>34</v>
      </c>
      <c r="D591" s="67">
        <f>(V591*Settings!$G$2)+(Y591*Settings!$G$5)+(Z591*Settings!$G$6)+(AA591*Settings!$G$7)+(AB591*Settings!$G$8)+(AC591*Settings!$G$9)+(AD591*Settings!$G$10)+(AE591*Settings!$G$11)+(AF591*Settings!$G$12)+(AG591*Settings!$G$13)+(AH591*Settings!$G$14)+(AI591*Settings!$G$15)+(AJ591*Settings!$G$16)+(AK591*Settings!$G$17)+(W591*Settings!$G$3)+(X591*Settings!$G$4)</f>
        <v>0.49529147668197748</v>
      </c>
      <c r="E591" s="67"/>
      <c r="F591" s="67"/>
      <c r="G591" s="67"/>
      <c r="H591" s="67"/>
      <c r="I591" s="67"/>
      <c r="J591" s="67"/>
      <c r="K591" s="73"/>
      <c r="L591" s="73"/>
      <c r="M591" s="67"/>
      <c r="N591" s="67"/>
      <c r="O591" s="67"/>
      <c r="P591" s="67"/>
      <c r="Q591" s="67"/>
      <c r="R591" s="73"/>
      <c r="S591" s="73"/>
      <c r="T591" s="67"/>
      <c r="U591" s="67"/>
      <c r="V591" s="121">
        <f>(VLOOKUP($A591,Pitchers!$A1:$S251,4,FALSE)-AVERAGE(Rankings!AC2:AC651))/STDEV(Rankings!AC2:AC651)</f>
        <v>-1.0185257391756273</v>
      </c>
      <c r="W591" s="121">
        <f>(VLOOKUP($A591,Pitchers!$A1:$S251,5,FALSE)-AVERAGE(Rankings!AD2:AD651))/STDEV(Rankings!AD2:AD651)*-1</f>
        <v>1.4537306941879953</v>
      </c>
      <c r="X591" s="121">
        <f>(VLOOKUP($A591,Pitchers!$A1:$S251,6,FALSE)-AVERAGE(Rankings!AE2:AE651))/STDEV(Rankings!AE2:AE651)*-1</f>
        <v>0.7155076289372545</v>
      </c>
      <c r="Y591" s="121">
        <f>(VLOOKUP($A591,Pitchers!$A1:$S251,7,FALSE)-AVERAGE(Rankings!AF2:AF651))/STDEV(Rankings!AF2:AF651)</f>
        <v>-0.79074368450599242</v>
      </c>
      <c r="Z591" s="121">
        <f>(VLOOKUP($A591,Pitchers!$A1:$S251,8,FALSE)-AVERAGE(Rankings!AG2:AG651))/STDEV(Rankings!AG2:AG651)</f>
        <v>-0.64328307763732817</v>
      </c>
      <c r="AA591" s="121">
        <f>(VLOOKUP($A591,Pitchers!$A1:$S251,9,FALSE)-AVERAGE(Rankings!AH2:AH651))/STDEV(Rankings!AH2:AH651)</f>
        <v>-0.23992008429995157</v>
      </c>
      <c r="AB591" s="121">
        <f>(VLOOKUP($A591,Pitchers!$A1:$S251,10,FALSE)-AVERAGE(Rankings!AI2:AI651))/STDEV(Rankings!AI2:AI651)*-1</f>
        <v>1.1882849882797815</v>
      </c>
      <c r="AC591" s="121">
        <f>(VLOOKUP($A591,Pitchers!$A1:$S251,11,FALSE)-AVERAGE(Rankings!AJ2:AJ651))/STDEV(Rankings!AJ2:AJ651)*-1</f>
        <v>1.1467387410909764</v>
      </c>
      <c r="AD591" s="121">
        <f>(VLOOKUP($A591,Pitchers!$A1:$S251,12,FALSE)-AVERAGE(Rankings!AK2:AK651))/STDEV(Rankings!AK2:AK651)*-1</f>
        <v>0.7095300681460831</v>
      </c>
      <c r="AE591" s="121">
        <f>IFERROR((VLOOKUP($A591,Pitchers!$A1:$S251,13,FALSE)-AVERAGE(Rankings!AL2:AL651))/STDEV(Rankings!AL2:AL651)*-1,0)</f>
        <v>1.0975713903246602</v>
      </c>
      <c r="AF591" s="121">
        <f>(VLOOKUP($A591,Pitchers!$A1:$S251,14,FALSE)-AVERAGE(Rankings!AM2:AM651))/STDEV(Rankings!AM2:AM651)</f>
        <v>1.4834802056895433</v>
      </c>
      <c r="AG591" s="121">
        <f>(VLOOKUP($A591,Pitchers!$A1:$S251,15,FALSE)-AVERAGE(Rankings!AN2:AN651))/STDEV(Rankings!AN2:AN651)</f>
        <v>-1.2653418049058471</v>
      </c>
      <c r="AH591" s="121">
        <f>(VLOOKUP($A591,Pitchers!$A1:$S251,16,FALSE)-AVERAGE(Rankings!AO2:AO651))/STDEV(Rankings!AO2:AO651)*-1</f>
        <v>1.3605989730410584</v>
      </c>
      <c r="AI591" s="121">
        <f>IFERROR((VLOOKUP($A591,Pitchers!$A1:$S251,17,FALSE)-AVERAGE(Rankings!AP2:AP651))/STDEV(Rankings!AP2:AP651),0)</f>
        <v>-1.126133891603242</v>
      </c>
      <c r="AJ591" s="121">
        <f>(VLOOKUP($A591,Pitchers!$A1:$S251,18,FALSE)-AVERAGE(Rankings!AQ2:AQ651))/STDEV(Rankings!AQ2:AQ651)</f>
        <v>1.965807996187839</v>
      </c>
      <c r="AK591" s="121">
        <f>IFERROR((VLOOKUP($A591,Pitchers!$A1:$S251,19,FALSE)-AVERAGE(Rankings!AR2:AR651))/STDEV(Rankings!AR2:AR651)*-1,0)</f>
        <v>0.47041511698728217</v>
      </c>
    </row>
    <row r="592" spans="1:37" ht="20.100000000000001" customHeight="1">
      <c r="A592" s="25" t="s">
        <v>454</v>
      </c>
      <c r="B592" s="26" t="s">
        <v>160</v>
      </c>
      <c r="C592" s="131" t="s">
        <v>34</v>
      </c>
      <c r="D592" s="67">
        <f>(V592*Settings!$G$2)+(Y592*Settings!$G$5)+(Z592*Settings!$G$6)+(AA592*Settings!$G$7)+(AB592*Settings!$G$8)+(AC592*Settings!$G$9)+(AD592*Settings!$G$10)+(AE592*Settings!$G$11)+(AF592*Settings!$G$12)+(AG592*Settings!$G$13)+(AH592*Settings!$G$14)+(AI592*Settings!$G$15)+(AJ592*Settings!$G$16)+(AK592*Settings!$G$17)+(W592*Settings!$G$3)+(X592*Settings!$G$4)</f>
        <v>-0.38316914083347053</v>
      </c>
      <c r="E592" s="67"/>
      <c r="F592" s="67"/>
      <c r="G592" s="67"/>
      <c r="H592" s="67"/>
      <c r="I592" s="67"/>
      <c r="J592" s="67"/>
      <c r="K592" s="73"/>
      <c r="L592" s="73"/>
      <c r="M592" s="67"/>
      <c r="N592" s="67"/>
      <c r="O592" s="67"/>
      <c r="P592" s="67"/>
      <c r="Q592" s="67"/>
      <c r="R592" s="73"/>
      <c r="S592" s="73"/>
      <c r="T592" s="67"/>
      <c r="U592" s="67"/>
      <c r="V592" s="121">
        <f>(VLOOKUP($A592,Pitchers!$A1:$S251,4,FALSE)-AVERAGE(Rankings!AC2:AC651))/STDEV(Rankings!AC2:AC651)</f>
        <v>-0.98394511391130279</v>
      </c>
      <c r="W592" s="121">
        <f>(VLOOKUP($A592,Pitchers!$A1:$S251,5,FALSE)-AVERAGE(Rankings!AD2:AD651))/STDEV(Rankings!AD2:AD651)*-1</f>
        <v>0.33874549645340801</v>
      </c>
      <c r="X592" s="121">
        <f>(VLOOKUP($A592,Pitchers!$A1:$S251,6,FALSE)-AVERAGE(Rankings!AE2:AE651))/STDEV(Rankings!AE2:AE651)*-1</f>
        <v>0.24203192081676358</v>
      </c>
      <c r="Y592" s="121">
        <f>(VLOOKUP($A592,Pitchers!$A1:$S251,7,FALSE)-AVERAGE(Rankings!AF2:AF651))/STDEV(Rankings!AF2:AF651)</f>
        <v>-0.80744395728408758</v>
      </c>
      <c r="Z592" s="121">
        <f>(VLOOKUP($A592,Pitchers!$A1:$S251,8,FALSE)-AVERAGE(Rankings!AG2:AG651))/STDEV(Rankings!AG2:AG651)</f>
        <v>-1.217083908052051</v>
      </c>
      <c r="AA592" s="121">
        <f>(VLOOKUP($A592,Pitchers!$A1:$S251,9,FALSE)-AVERAGE(Rankings!AH2:AH651))/STDEV(Rankings!AH2:AH651)</f>
        <v>1.0605813072324966</v>
      </c>
      <c r="AB592" s="121">
        <f>(VLOOKUP($A592,Pitchers!$A1:$S251,10,FALSE)-AVERAGE(Rankings!AI2:AI651))/STDEV(Rankings!AI2:AI651)*-1</f>
        <v>0.97054364135230364</v>
      </c>
      <c r="AC592" s="121">
        <f>(VLOOKUP($A592,Pitchers!$A1:$S251,11,FALSE)-AVERAGE(Rankings!AJ2:AJ651))/STDEV(Rankings!AJ2:AJ651)*-1</f>
        <v>1.025883595486542</v>
      </c>
      <c r="AD592" s="121">
        <f>(VLOOKUP($A592,Pitchers!$A1:$S251,12,FALSE)-AVERAGE(Rankings!AK2:AK651))/STDEV(Rankings!AK2:AK651)*-1</f>
        <v>0.76078441761052351</v>
      </c>
      <c r="AE592" s="121">
        <f>IFERROR((VLOOKUP($A592,Pitchers!$A1:$S251,13,FALSE)-AVERAGE(Rankings!AL2:AL651))/STDEV(Rankings!AL2:AL651)*-1,0)</f>
        <v>0.96456467797315026</v>
      </c>
      <c r="AF592" s="121">
        <f>(VLOOKUP($A592,Pitchers!$A1:$S251,14,FALSE)-AVERAGE(Rankings!AM2:AM651))/STDEV(Rankings!AM2:AM651)</f>
        <v>1.8105093800548624</v>
      </c>
      <c r="AG592" s="121">
        <f>(VLOOKUP($A592,Pitchers!$A1:$S251,15,FALSE)-AVERAGE(Rankings!AN2:AN651))/STDEV(Rankings!AN2:AN651)</f>
        <v>-1.2653418049058471</v>
      </c>
      <c r="AH592" s="121">
        <f>(VLOOKUP($A592,Pitchers!$A1:$S251,16,FALSE)-AVERAGE(Rankings!AO2:AO651))/STDEV(Rankings!AO2:AO651)*-1</f>
        <v>0.98482594690289571</v>
      </c>
      <c r="AI592" s="121">
        <f>IFERROR((VLOOKUP($A592,Pitchers!$A1:$S251,17,FALSE)-AVERAGE(Rankings!AP2:AP651))/STDEV(Rankings!AP2:AP651),0)</f>
        <v>-1.126133891603242</v>
      </c>
      <c r="AJ592" s="121">
        <f>(VLOOKUP($A592,Pitchers!$A1:$S251,18,FALSE)-AVERAGE(Rankings!AQ2:AQ651))/STDEV(Rankings!AQ2:AQ651)</f>
        <v>1.4035850579948441</v>
      </c>
      <c r="AK592" s="121">
        <f>IFERROR((VLOOKUP($A592,Pitchers!$A1:$S251,19,FALSE)-AVERAGE(Rankings!AR2:AR651))/STDEV(Rankings!AR2:AR651)*-1,0)</f>
        <v>-3.8674291994938037</v>
      </c>
    </row>
    <row r="593" spans="1:37" ht="20.100000000000001" customHeight="1">
      <c r="A593" s="25" t="s">
        <v>420</v>
      </c>
      <c r="B593" s="26" t="s">
        <v>82</v>
      </c>
      <c r="C593" s="131" t="s">
        <v>34</v>
      </c>
      <c r="D593" s="67">
        <f>(V593*Settings!$G$2)+(Y593*Settings!$G$5)+(Z593*Settings!$G$6)+(AA593*Settings!$G$7)+(AB593*Settings!$G$8)+(AC593*Settings!$G$9)+(AD593*Settings!$G$10)+(AE593*Settings!$G$11)+(AF593*Settings!$G$12)+(AG593*Settings!$G$13)+(AH593*Settings!$G$14)+(AI593*Settings!$G$15)+(AJ593*Settings!$G$16)+(AK593*Settings!$G$17)+(W593*Settings!$G$3)+(X593*Settings!$G$4)</f>
        <v>7.9594356920478559E-2</v>
      </c>
      <c r="E593" s="67"/>
      <c r="F593" s="67"/>
      <c r="G593" s="67"/>
      <c r="H593" s="67"/>
      <c r="I593" s="67"/>
      <c r="J593" s="67"/>
      <c r="K593" s="73"/>
      <c r="L593" s="73"/>
      <c r="M593" s="67"/>
      <c r="N593" s="67"/>
      <c r="O593" s="67"/>
      <c r="P593" s="67"/>
      <c r="Q593" s="67"/>
      <c r="R593" s="73"/>
      <c r="S593" s="73"/>
      <c r="T593" s="67"/>
      <c r="U593" s="67"/>
      <c r="V593" s="121">
        <f>(VLOOKUP($A593,Pitchers!$A1:$S251,4,FALSE)-AVERAGE(Rankings!AC2:AC651))/STDEV(Rankings!AC2:AC651)</f>
        <v>-1.3304570936007583</v>
      </c>
      <c r="W593" s="121">
        <f>(VLOOKUP($A593,Pitchers!$A1:$S251,5,FALSE)-AVERAGE(Rankings!AD2:AD651))/STDEV(Rankings!AD2:AD651)*-1</f>
        <v>0.40342551130365722</v>
      </c>
      <c r="X593" s="121">
        <f>(VLOOKUP($A593,Pitchers!$A1:$S251,6,FALSE)-AVERAGE(Rankings!AE2:AE651))/STDEV(Rankings!AE2:AE651)*-1</f>
        <v>0.89788257667198823</v>
      </c>
      <c r="Y593" s="121">
        <f>(VLOOKUP($A593,Pitchers!$A1:$S251,7,FALSE)-AVERAGE(Rankings!AF2:AF651))/STDEV(Rankings!AF2:AF651)</f>
        <v>-1.1320101282322799</v>
      </c>
      <c r="Z593" s="121">
        <f>(VLOOKUP($A593,Pitchers!$A1:$S251,8,FALSE)-AVERAGE(Rankings!AG2:AG651))/STDEV(Rankings!AG2:AG651)</f>
        <v>-1.0157502833451306</v>
      </c>
      <c r="AA593" s="121">
        <f>(VLOOKUP($A593,Pitchers!$A1:$S251,9,FALSE)-AVERAGE(Rankings!AH2:AH651))/STDEV(Rankings!AH2:AH651)</f>
        <v>0.92604668052224337</v>
      </c>
      <c r="AB593" s="121">
        <f>(VLOOKUP($A593,Pitchers!$A1:$S251,10,FALSE)-AVERAGE(Rankings!AI2:AI651))/STDEV(Rankings!AI2:AI651)*-1</f>
        <v>1.2708765336660663</v>
      </c>
      <c r="AC593" s="121">
        <f>(VLOOKUP($A593,Pitchers!$A1:$S251,11,FALSE)-AVERAGE(Rankings!AJ2:AJ651))/STDEV(Rankings!AJ2:AJ651)*-1</f>
        <v>1.3152250323159822</v>
      </c>
      <c r="AD593" s="121">
        <f>(VLOOKUP($A593,Pitchers!$A1:$S251,12,FALSE)-AVERAGE(Rankings!AK2:AK651))/STDEV(Rankings!AK2:AK651)*-1</f>
        <v>1.4319723272639138</v>
      </c>
      <c r="AE593" s="121">
        <f>IFERROR((VLOOKUP($A593,Pitchers!$A1:$S251,13,FALSE)-AVERAGE(Rankings!AL2:AL651))/STDEV(Rankings!AL2:AL651)*-1,0)</f>
        <v>0.96456467797315026</v>
      </c>
      <c r="AF593" s="121">
        <f>(VLOOKUP($A593,Pitchers!$A1:$S251,14,FALSE)-AVERAGE(Rankings!AM2:AM651))/STDEV(Rankings!AM2:AM651)</f>
        <v>0.87302574687428014</v>
      </c>
      <c r="AG593" s="121">
        <f>(VLOOKUP($A593,Pitchers!$A1:$S251,15,FALSE)-AVERAGE(Rankings!AN2:AN651))/STDEV(Rankings!AN2:AN651)</f>
        <v>-1.2653418049058471</v>
      </c>
      <c r="AH593" s="121">
        <f>(VLOOKUP($A593,Pitchers!$A1:$S251,16,FALSE)-AVERAGE(Rankings!AO2:AO651))/STDEV(Rankings!AO2:AO651)*-1</f>
        <v>1.1727124599719769</v>
      </c>
      <c r="AI593" s="121">
        <f>IFERROR((VLOOKUP($A593,Pitchers!$A1:$S251,17,FALSE)-AVERAGE(Rankings!AP2:AP651))/STDEV(Rankings!AP2:AP651),0)</f>
        <v>-1.126133891603242</v>
      </c>
      <c r="AJ593" s="121">
        <f>(VLOOKUP($A593,Pitchers!$A1:$S251,18,FALSE)-AVERAGE(Rankings!AQ2:AQ651))/STDEV(Rankings!AQ2:AQ651)</f>
        <v>1.3232674953958448</v>
      </c>
      <c r="AK593" s="121">
        <f>IFERROR((VLOOKUP($A593,Pitchers!$A1:$S251,19,FALSE)-AVERAGE(Rankings!AR2:AR651))/STDEV(Rankings!AR2:AR651)*-1,0)</f>
        <v>-0.4935502866751813</v>
      </c>
    </row>
    <row r="594" spans="1:37" ht="20.100000000000001" customHeight="1">
      <c r="A594" s="25" t="s">
        <v>504</v>
      </c>
      <c r="B594" s="26" t="s">
        <v>87</v>
      </c>
      <c r="C594" s="131" t="s">
        <v>34</v>
      </c>
      <c r="D594" s="67">
        <f>(V594*Settings!$G$2)+(Y594*Settings!$G$5)+(Z594*Settings!$G$6)+(AA594*Settings!$G$7)+(AB594*Settings!$G$8)+(AC594*Settings!$G$9)+(AD594*Settings!$G$10)+(AE594*Settings!$G$11)+(AF594*Settings!$G$12)+(AG594*Settings!$G$13)+(AH594*Settings!$G$14)+(AI594*Settings!$G$15)+(AJ594*Settings!$G$16)+(AK594*Settings!$G$17)+(W594*Settings!$G$3)+(X594*Settings!$G$4)</f>
        <v>-0.95375461123125627</v>
      </c>
      <c r="E594" s="67"/>
      <c r="F594" s="67"/>
      <c r="G594" s="67"/>
      <c r="H594" s="67"/>
      <c r="I594" s="67"/>
      <c r="J594" s="67"/>
      <c r="K594" s="73"/>
      <c r="L594" s="73"/>
      <c r="M594" s="67"/>
      <c r="N594" s="67"/>
      <c r="O594" s="67"/>
      <c r="P594" s="67"/>
      <c r="Q594" s="67"/>
      <c r="R594" s="73"/>
      <c r="S594" s="73"/>
      <c r="T594" s="67"/>
      <c r="U594" s="67"/>
      <c r="V594" s="121">
        <f>(VLOOKUP($A594,Pitchers!$A1:$S251,4,FALSE)-AVERAGE(Rankings!AC2:AC651))/STDEV(Rankings!AC2:AC651)</f>
        <v>-1.1829601409427208</v>
      </c>
      <c r="W594" s="121">
        <f>(VLOOKUP($A594,Pitchers!$A1:$S251,5,FALSE)-AVERAGE(Rankings!AD2:AD651))/STDEV(Rankings!AD2:AD651)*-1</f>
        <v>2.9634370038302799E-2</v>
      </c>
      <c r="X594" s="121">
        <f>(VLOOKUP($A594,Pitchers!$A1:$S251,6,FALSE)-AVERAGE(Rankings!AE2:AE651))/STDEV(Rankings!AE2:AE651)*-1</f>
        <v>-0.43530022654358919</v>
      </c>
      <c r="Y594" s="121">
        <f>(VLOOKUP($A594,Pitchers!$A1:$S251,7,FALSE)-AVERAGE(Rankings!AF2:AF651))/STDEV(Rankings!AF2:AF651)</f>
        <v>-1.0020384400897151</v>
      </c>
      <c r="Z594" s="121">
        <f>(VLOOKUP($A594,Pitchers!$A1:$S251,8,FALSE)-AVERAGE(Rankings!AG2:AG651))/STDEV(Rankings!AG2:AG651)</f>
        <v>-1.4586842577003551</v>
      </c>
      <c r="AA594" s="121">
        <f>(VLOOKUP($A594,Pitchers!$A1:$S251,9,FALSE)-AVERAGE(Rankings!AH2:AH651))/STDEV(Rankings!AH2:AH651)</f>
        <v>1.9126339430641004</v>
      </c>
      <c r="AB594" s="121">
        <f>(VLOOKUP($A594,Pitchers!$A1:$S251,10,FALSE)-AVERAGE(Rankings!AI2:AI651))/STDEV(Rankings!AI2:AI651)*-1</f>
        <v>1.0921784627393776</v>
      </c>
      <c r="AC594" s="121">
        <f>(VLOOKUP($A594,Pitchers!$A1:$S251,11,FALSE)-AVERAGE(Rankings!AJ2:AJ651))/STDEV(Rankings!AJ2:AJ651)*-1</f>
        <v>1.2071663138931936</v>
      </c>
      <c r="AD594" s="121">
        <f>(VLOOKUP($A594,Pitchers!$A1:$S251,12,FALSE)-AVERAGE(Rankings!AK2:AK651))/STDEV(Rankings!AK2:AK651)*-1</f>
        <v>0.68024186845211676</v>
      </c>
      <c r="AE594" s="121">
        <f>IFERROR((VLOOKUP($A594,Pitchers!$A1:$S251,13,FALSE)-AVERAGE(Rankings!AL2:AL651))/STDEV(Rankings!AL2:AL651)*-1,0)</f>
        <v>0.96456467797315026</v>
      </c>
      <c r="AF594" s="121">
        <f>(VLOOKUP($A594,Pitchers!$A1:$S251,14,FALSE)-AVERAGE(Rankings!AM2:AM651))/STDEV(Rankings!AM2:AM651)</f>
        <v>1.1106669469130785</v>
      </c>
      <c r="AG594" s="121">
        <f>(VLOOKUP($A594,Pitchers!$A1:$S251,15,FALSE)-AVERAGE(Rankings!AN2:AN651))/STDEV(Rankings!AN2:AN651)</f>
        <v>-1.2653418049058471</v>
      </c>
      <c r="AH594" s="121">
        <f>(VLOOKUP($A594,Pitchers!$A1:$S251,16,FALSE)-AVERAGE(Rankings!AO2:AO651))/STDEV(Rankings!AO2:AO651)*-1</f>
        <v>1.1476609248960994</v>
      </c>
      <c r="AI594" s="121">
        <f>IFERROR((VLOOKUP($A594,Pitchers!$A1:$S251,17,FALSE)-AVERAGE(Rankings!AP2:AP651))/STDEV(Rankings!AP2:AP651),0)</f>
        <v>-1.126133891603242</v>
      </c>
      <c r="AJ594" s="121">
        <f>(VLOOKUP($A594,Pitchers!$A1:$S251,18,FALSE)-AVERAGE(Rankings!AQ2:AQ651))/STDEV(Rankings!AQ2:AQ651)</f>
        <v>0.3594567442078534</v>
      </c>
      <c r="AK594" s="121">
        <f>IFERROR((VLOOKUP($A594,Pitchers!$A1:$S251,19,FALSE)-AVERAGE(Rankings!AR2:AR651))/STDEV(Rankings!AR2:AR651)*-1,0)</f>
        <v>-2.9034637958313398</v>
      </c>
    </row>
    <row r="595" spans="1:37" ht="20.100000000000001" customHeight="1">
      <c r="A595" s="25" t="s">
        <v>436</v>
      </c>
      <c r="B595" s="26" t="s">
        <v>74</v>
      </c>
      <c r="C595" s="131" t="s">
        <v>34</v>
      </c>
      <c r="D595" s="67">
        <f>(V595*Settings!$G$2)+(Y595*Settings!$G$5)+(Z595*Settings!$G$6)+(AA595*Settings!$G$7)+(AB595*Settings!$G$8)+(AC595*Settings!$G$9)+(AD595*Settings!$G$10)+(AE595*Settings!$G$11)+(AF595*Settings!$G$12)+(AG595*Settings!$G$13)+(AH595*Settings!$G$14)+(AI595*Settings!$G$15)+(AJ595*Settings!$G$16)+(AK595*Settings!$G$17)+(W595*Settings!$G$3)+(X595*Settings!$G$4)</f>
        <v>-0.16235855851539804</v>
      </c>
      <c r="E595" s="67"/>
      <c r="F595" s="67"/>
      <c r="G595" s="67"/>
      <c r="H595" s="67"/>
      <c r="I595" s="67"/>
      <c r="J595" s="67"/>
      <c r="K595" s="73"/>
      <c r="L595" s="73"/>
      <c r="M595" s="67"/>
      <c r="N595" s="67"/>
      <c r="O595" s="67"/>
      <c r="P595" s="67"/>
      <c r="Q595" s="67"/>
      <c r="R595" s="73"/>
      <c r="S595" s="73"/>
      <c r="T595" s="67"/>
      <c r="U595" s="67"/>
      <c r="V595" s="121">
        <f>(VLOOKUP($A595,Pitchers!$A1:$S251,4,FALSE)-AVERAGE(Rankings!AC2:AC651))/STDEV(Rankings!AC2:AC651)</f>
        <v>-0.80186753598894112</v>
      </c>
      <c r="W595" s="121">
        <f>(VLOOKUP($A595,Pitchers!$A1:$S251,5,FALSE)-AVERAGE(Rankings!AD2:AD651))/STDEV(Rankings!AD2:AD651)*-1</f>
        <v>0.73063659202936193</v>
      </c>
      <c r="X595" s="121">
        <f>(VLOOKUP($A595,Pitchers!$A1:$S251,6,FALSE)-AVERAGE(Rankings!AE2:AE651))/STDEV(Rankings!AE2:AE651)*-1</f>
        <v>0.92974737580599565</v>
      </c>
      <c r="Y595" s="121">
        <f>(VLOOKUP($A595,Pitchers!$A1:$S251,7,FALSE)-AVERAGE(Rankings!AF2:AF651))/STDEV(Rankings!AF2:AF651)</f>
        <v>-0.70433792534976214</v>
      </c>
      <c r="Z595" s="121">
        <f>(VLOOKUP($A595,Pitchers!$A1:$S251,8,FALSE)-AVERAGE(Rankings!AG2:AG651))/STDEV(Rankings!AG2:AG651)</f>
        <v>-0.74394988999078848</v>
      </c>
      <c r="AA595" s="121">
        <f>(VLOOKUP($A595,Pitchers!$A1:$S251,9,FALSE)-AVERAGE(Rankings!AH2:AH651))/STDEV(Rankings!AH2:AH651)</f>
        <v>-0.37445471101020483</v>
      </c>
      <c r="AB595" s="121">
        <f>(VLOOKUP($A595,Pitchers!$A1:$S251,10,FALSE)-AVERAGE(Rankings!AI2:AI651))/STDEV(Rankings!AI2:AI651)*-1</f>
        <v>0.89395875381229428</v>
      </c>
      <c r="AC595" s="121">
        <f>(VLOOKUP($A595,Pitchers!$A1:$S251,11,FALSE)-AVERAGE(Rankings!AJ2:AJ651))/STDEV(Rankings!AJ2:AJ651)*-1</f>
        <v>0.81189889650457248</v>
      </c>
      <c r="AD595" s="121">
        <f>(VLOOKUP($A595,Pitchers!$A1:$S251,12,FALSE)-AVERAGE(Rankings!AK2:AK651))/STDEV(Rankings!AK2:AK651)*-1</f>
        <v>1.1171241805537779</v>
      </c>
      <c r="AE595" s="121">
        <f>IFERROR((VLOOKUP($A595,Pitchers!$A1:$S251,13,FALSE)-AVERAGE(Rankings!AL2:AL651))/STDEV(Rankings!AL2:AL651)*-1,0)</f>
        <v>0.96456467797315026</v>
      </c>
      <c r="AF595" s="121">
        <f>(VLOOKUP($A595,Pitchers!$A1:$S251,14,FALSE)-AVERAGE(Rankings!AM2:AM651))/STDEV(Rankings!AM2:AM651)</f>
        <v>1.3090646460280393</v>
      </c>
      <c r="AG595" s="121">
        <f>(VLOOKUP($A595,Pitchers!$A1:$S251,15,FALSE)-AVERAGE(Rankings!AN2:AN651))/STDEV(Rankings!AN2:AN651)</f>
        <v>-1.1095087186465904</v>
      </c>
      <c r="AH595" s="121">
        <f>(VLOOKUP($A595,Pitchers!$A1:$S251,16,FALSE)-AVERAGE(Rankings!AO2:AO651))/STDEV(Rankings!AO2:AO651)*-1</f>
        <v>1.1100836222822834</v>
      </c>
      <c r="AI595" s="121">
        <f>IFERROR((VLOOKUP($A595,Pitchers!$A1:$S251,17,FALSE)-AVERAGE(Rankings!AP2:AP651))/STDEV(Rankings!AP2:AP651),0)</f>
        <v>-1.126133891603242</v>
      </c>
      <c r="AJ595" s="121">
        <f>(VLOOKUP($A595,Pitchers!$A1:$S251,18,FALSE)-AVERAGE(Rankings!AQ2:AQ651))/STDEV(Rankings!AQ2:AQ651)</f>
        <v>1.8854904335888398</v>
      </c>
      <c r="AK595" s="121">
        <f>IFERROR((VLOOKUP($A595,Pitchers!$A1:$S251,19,FALSE)-AVERAGE(Rankings!AR2:AR651))/STDEV(Rankings!AR2:AR651)*-1,0)</f>
        <v>-0.97553298850641301</v>
      </c>
    </row>
    <row r="596" spans="1:37" ht="20.100000000000001" customHeight="1">
      <c r="A596" s="25" t="s">
        <v>492</v>
      </c>
      <c r="B596" s="26" t="s">
        <v>77</v>
      </c>
      <c r="C596" s="131" t="s">
        <v>34</v>
      </c>
      <c r="D596" s="67">
        <f>(V596*Settings!$G$2)+(Y596*Settings!$G$5)+(Z596*Settings!$G$6)+(AA596*Settings!$G$7)+(AB596*Settings!$G$8)+(AC596*Settings!$G$9)+(AD596*Settings!$G$10)+(AE596*Settings!$G$11)+(AF596*Settings!$G$12)+(AG596*Settings!$G$13)+(AH596*Settings!$G$14)+(AI596*Settings!$G$15)+(AJ596*Settings!$G$16)+(AK596*Settings!$G$17)+(W596*Settings!$G$3)+(X596*Settings!$G$4)</f>
        <v>-0.79855923109795612</v>
      </c>
      <c r="E596" s="67"/>
      <c r="F596" s="67"/>
      <c r="G596" s="67"/>
      <c r="H596" s="67"/>
      <c r="I596" s="67"/>
      <c r="J596" s="67"/>
      <c r="K596" s="73"/>
      <c r="L596" s="73"/>
      <c r="M596" s="67"/>
      <c r="N596" s="67"/>
      <c r="O596" s="67"/>
      <c r="P596" s="67"/>
      <c r="Q596" s="67"/>
      <c r="R596" s="73"/>
      <c r="S596" s="73"/>
      <c r="T596" s="67"/>
      <c r="U596" s="67"/>
      <c r="V596" s="121">
        <f>(VLOOKUP($A596,Pitchers!$A1:$S251,4,FALSE)-AVERAGE(Rankings!AC2:AC651))/STDEV(Rankings!AC2:AC651)</f>
        <v>-1.1293248854307076</v>
      </c>
      <c r="W596" s="121">
        <f>(VLOOKUP($A596,Pitchers!$A1:$S251,5,FALSE)-AVERAGE(Rankings!AD2:AD651))/STDEV(Rankings!AD2:AD651)*-1</f>
        <v>0.7391174428784324</v>
      </c>
      <c r="X596" s="121">
        <f>(VLOOKUP($A596,Pitchers!$A1:$S251,6,FALSE)-AVERAGE(Rankings!AE2:AE651))/STDEV(Rankings!AE2:AE651)*-1</f>
        <v>6.8727766194261547E-2</v>
      </c>
      <c r="Y596" s="121">
        <f>(VLOOKUP($A596,Pitchers!$A1:$S251,7,FALSE)-AVERAGE(Rankings!AF2:AF651))/STDEV(Rankings!AF2:AF651)</f>
        <v>-0.63535853778806606</v>
      </c>
      <c r="Z596" s="121">
        <f>(VLOOKUP($A596,Pitchers!$A1:$S251,8,FALSE)-AVERAGE(Rankings!AG2:AG651))/STDEV(Rankings!AG2:AG651)</f>
        <v>-0.95535019593305459</v>
      </c>
      <c r="AA596" s="121">
        <f>(VLOOKUP($A596,Pitchers!$A1:$S251,9,FALSE)-AVERAGE(Rankings!AH2:AH651))/STDEV(Rankings!AH2:AH651)</f>
        <v>-1.569570644952949E-2</v>
      </c>
      <c r="AB596" s="121">
        <f>(VLOOKUP($A596,Pitchers!$A1:$S251,10,FALSE)-AVERAGE(Rankings!AI2:AI651))/STDEV(Rankings!AI2:AI651)*-1</f>
        <v>1.1552483701252676</v>
      </c>
      <c r="AC596" s="121">
        <f>(VLOOKUP($A596,Pitchers!$A1:$S251,11,FALSE)-AVERAGE(Rankings!AJ2:AJ651))/STDEV(Rankings!AJ2:AJ651)*-1</f>
        <v>1.2882103527102851</v>
      </c>
      <c r="AD596" s="121">
        <f>(VLOOKUP($A596,Pitchers!$A1:$S251,12,FALSE)-AVERAGE(Rankings!AK2:AK651))/STDEV(Rankings!AK2:AK651)*-1</f>
        <v>0.38491918820462523</v>
      </c>
      <c r="AE596" s="121">
        <f>IFERROR((VLOOKUP($A596,Pitchers!$A1:$S251,13,FALSE)-AVERAGE(Rankings!AL2:AL651))/STDEV(Rankings!AL2:AL651)*-1,0)</f>
        <v>0.96456467797315026</v>
      </c>
      <c r="AF596" s="121">
        <f>(VLOOKUP($A596,Pitchers!$A1:$S251,14,FALSE)-AVERAGE(Rankings!AM2:AM651))/STDEV(Rankings!AM2:AM651)</f>
        <v>1.2872627010703517</v>
      </c>
      <c r="AG596" s="121">
        <f>(VLOOKUP($A596,Pitchers!$A1:$S251,15,FALSE)-AVERAGE(Rankings!AN2:AN651))/STDEV(Rankings!AN2:AN651)</f>
        <v>-1.2653418049058471</v>
      </c>
      <c r="AH596" s="121">
        <f>(VLOOKUP($A596,Pitchers!$A1:$S251,16,FALSE)-AVERAGE(Rankings!AO2:AO651))/STDEV(Rankings!AO2:AO651)*-1</f>
        <v>1.2228155301237322</v>
      </c>
      <c r="AI596" s="121">
        <f>IFERROR((VLOOKUP($A596,Pitchers!$A1:$S251,17,FALSE)-AVERAGE(Rankings!AP2:AP651))/STDEV(Rankings!AP2:AP651),0)</f>
        <v>-1.126133891603242</v>
      </c>
      <c r="AJ596" s="121">
        <f>(VLOOKUP($A596,Pitchers!$A1:$S251,18,FALSE)-AVERAGE(Rankings!AQ2:AQ651))/STDEV(Rankings!AQ2:AQ651)</f>
        <v>1.5642201831928426</v>
      </c>
      <c r="AK596" s="121">
        <f>IFERROR((VLOOKUP($A596,Pitchers!$A1:$S251,19,FALSE)-AVERAGE(Rankings!AR2:AR651))/STDEV(Rankings!AR2:AR651)*-1,0)</f>
        <v>-0.4935502866751813</v>
      </c>
    </row>
    <row r="597" spans="1:37" ht="20.100000000000001" customHeight="1">
      <c r="A597" s="25" t="s">
        <v>469</v>
      </c>
      <c r="B597" s="26" t="s">
        <v>72</v>
      </c>
      <c r="C597" s="131" t="s">
        <v>34</v>
      </c>
      <c r="D597" s="67">
        <f>(V597*Settings!$G$2)+(Y597*Settings!$G$5)+(Z597*Settings!$G$6)+(AA597*Settings!$G$7)+(AB597*Settings!$G$8)+(AC597*Settings!$G$9)+(AD597*Settings!$G$10)+(AE597*Settings!$G$11)+(AF597*Settings!$G$12)+(AG597*Settings!$G$13)+(AH597*Settings!$G$14)+(AI597*Settings!$G$15)+(AJ597*Settings!$G$16)+(AK597*Settings!$G$17)+(W597*Settings!$G$3)+(X597*Settings!$G$4)</f>
        <v>-0.51219102099321345</v>
      </c>
      <c r="E597" s="67"/>
      <c r="F597" s="67"/>
      <c r="G597" s="67"/>
      <c r="H597" s="67"/>
      <c r="I597" s="67"/>
      <c r="J597" s="67"/>
      <c r="K597" s="73"/>
      <c r="L597" s="73"/>
      <c r="M597" s="67"/>
      <c r="N597" s="67"/>
      <c r="O597" s="67"/>
      <c r="P597" s="67"/>
      <c r="Q597" s="67"/>
      <c r="R597" s="73"/>
      <c r="S597" s="73"/>
      <c r="T597" s="67"/>
      <c r="U597" s="67"/>
      <c r="V597" s="121">
        <f>(VLOOKUP($A597,Pitchers!$A1:$S251,4,FALSE)-AVERAGE(Rankings!AC2:AC651))/STDEV(Rankings!AC2:AC651)</f>
        <v>-0.82797943669873741</v>
      </c>
      <c r="W597" s="121">
        <f>(VLOOKUP($A597,Pitchers!$A1:$S251,5,FALSE)-AVERAGE(Rankings!AD2:AD651))/STDEV(Rankings!AD2:AD651)*-1</f>
        <v>0.46722491746005312</v>
      </c>
      <c r="X597" s="121">
        <f>(VLOOKUP($A597,Pitchers!$A1:$S251,6,FALSE)-AVERAGE(Rankings!AE2:AE651))/STDEV(Rankings!AE2:AE651)*-1</f>
        <v>1.1059727731101434</v>
      </c>
      <c r="Y597" s="121">
        <f>(VLOOKUP($A597,Pitchers!$A1:$S251,7,FALSE)-AVERAGE(Rankings!AF2:AF651))/STDEV(Rankings!AF2:AF651)</f>
        <v>-0.77113901646214211</v>
      </c>
      <c r="Z597" s="121">
        <f>(VLOOKUP($A597,Pitchers!$A1:$S251,8,FALSE)-AVERAGE(Rankings!AG2:AG651))/STDEV(Rankings!AG2:AG651)</f>
        <v>-0.89495010852097845</v>
      </c>
      <c r="AA597" s="121">
        <f>(VLOOKUP($A597,Pitchers!$A1:$S251,9,FALSE)-AVERAGE(Rankings!AH2:AH651))/STDEV(Rankings!AH2:AH651)</f>
        <v>-0.41929958658028921</v>
      </c>
      <c r="AB597" s="121">
        <f>(VLOOKUP($A597,Pitchers!$A1:$S251,10,FALSE)-AVERAGE(Rankings!AI2:AI651))/STDEV(Rankings!AI2:AI651)*-1</f>
        <v>0.86392546458091812</v>
      </c>
      <c r="AC597" s="121">
        <f>(VLOOKUP($A597,Pitchers!$A1:$S251,11,FALSE)-AVERAGE(Rankings!AJ2:AJ651))/STDEV(Rankings!AJ2:AJ651)*-1</f>
        <v>0.90076297415489193</v>
      </c>
      <c r="AD597" s="121">
        <f>(VLOOKUP($A597,Pitchers!$A1:$S251,12,FALSE)-AVERAGE(Rankings!AK2:AK651))/STDEV(Rankings!AK2:AK651)*-1</f>
        <v>1.0072934317014053</v>
      </c>
      <c r="AE597" s="121">
        <f>IFERROR((VLOOKUP($A597,Pitchers!$A1:$S251,13,FALSE)-AVERAGE(Rankings!AL2:AL651))/STDEV(Rankings!AL2:AL651)*-1,0)</f>
        <v>0.96456467797315026</v>
      </c>
      <c r="AF597" s="121">
        <f>(VLOOKUP($A597,Pitchers!$A1:$S251,14,FALSE)-AVERAGE(Rankings!AM2:AM651))/STDEV(Rankings!AM2:AM651)</f>
        <v>1.8541132699702387</v>
      </c>
      <c r="AG597" s="121">
        <f>(VLOOKUP($A597,Pitchers!$A1:$S251,15,FALSE)-AVERAGE(Rankings!AN2:AN651))/STDEV(Rankings!AN2:AN651)</f>
        <v>-1.2393696238626377</v>
      </c>
      <c r="AH597" s="121">
        <f>(VLOOKUP($A597,Pitchers!$A1:$S251,16,FALSE)-AVERAGE(Rankings!AO2:AO651))/STDEV(Rankings!AO2:AO651)*-1</f>
        <v>1.5484854861101398</v>
      </c>
      <c r="AI597" s="121">
        <f>IFERROR((VLOOKUP($A597,Pitchers!$A1:$S251,17,FALSE)-AVERAGE(Rankings!AP2:AP651))/STDEV(Rankings!AP2:AP651),0)</f>
        <v>-1.126133891603242</v>
      </c>
      <c r="AJ597" s="121">
        <f>(VLOOKUP($A597,Pitchers!$A1:$S251,18,FALSE)-AVERAGE(Rankings!AQ2:AQ651))/STDEV(Rankings!AQ2:AQ651)</f>
        <v>0.6004094320048512</v>
      </c>
      <c r="AK597" s="121">
        <f>IFERROR((VLOOKUP($A597,Pitchers!$A1:$S251,19,FALSE)-AVERAGE(Rankings!AR2:AR651))/STDEV(Rankings!AR2:AR651)*-1,0)</f>
        <v>0.47041511698728217</v>
      </c>
    </row>
    <row r="598" spans="1:37" ht="20.100000000000001" customHeight="1">
      <c r="A598" s="25" t="s">
        <v>562</v>
      </c>
      <c r="B598" s="26" t="s">
        <v>260</v>
      </c>
      <c r="C598" s="131" t="s">
        <v>34</v>
      </c>
      <c r="D598" s="67">
        <f>(V598*Settings!$G$2)+(Y598*Settings!$G$5)+(Z598*Settings!$G$6)+(AA598*Settings!$G$7)+(AB598*Settings!$G$8)+(AC598*Settings!$G$9)+(AD598*Settings!$G$10)+(AE598*Settings!$G$11)+(AF598*Settings!$G$12)+(AG598*Settings!$G$13)+(AH598*Settings!$G$14)+(AI598*Settings!$G$15)+(AJ598*Settings!$G$16)+(AK598*Settings!$G$17)+(W598*Settings!$G$3)+(X598*Settings!$G$4)</f>
        <v>-1.5575816505401625</v>
      </c>
      <c r="E598" s="67"/>
      <c r="F598" s="67"/>
      <c r="G598" s="67"/>
      <c r="H598" s="67"/>
      <c r="I598" s="67"/>
      <c r="J598" s="67"/>
      <c r="K598" s="73"/>
      <c r="L598" s="73"/>
      <c r="M598" s="67"/>
      <c r="N598" s="67"/>
      <c r="O598" s="67"/>
      <c r="P598" s="67"/>
      <c r="Q598" s="67"/>
      <c r="R598" s="73"/>
      <c r="S598" s="73"/>
      <c r="T598" s="67"/>
      <c r="U598" s="67"/>
      <c r="V598" s="121">
        <f>(VLOOKUP($A598,Pitchers!$A1:$S251,4,FALSE)-AVERAGE(Rankings!AC2:AC651))/STDEV(Rankings!AC2:AC651)</f>
        <v>-1.0996843494898583</v>
      </c>
      <c r="W598" s="121">
        <f>(VLOOKUP($A598,Pitchers!$A1:$S251,5,FALSE)-AVERAGE(Rankings!AD2:AD651))/STDEV(Rankings!AD2:AD651)*-1</f>
        <v>-0.12293658324275451</v>
      </c>
      <c r="X598" s="121">
        <f>(VLOOKUP($A598,Pitchers!$A1:$S251,6,FALSE)-AVERAGE(Rankings!AE2:AE651))/STDEV(Rankings!AE2:AE651)*-1</f>
        <v>-1.1324276718688768</v>
      </c>
      <c r="Y598" s="121">
        <f>(VLOOKUP($A598,Pitchers!$A1:$S251,7,FALSE)-AVERAGE(Rankings!AF2:AF651))/STDEV(Rankings!AF2:AF651)</f>
        <v>-0.94467663359104115</v>
      </c>
      <c r="Z598" s="121">
        <f>(VLOOKUP($A598,Pitchers!$A1:$S251,8,FALSE)-AVERAGE(Rankings!AG2:AG651))/STDEV(Rankings!AG2:AG651)</f>
        <v>-1.0459503270511685</v>
      </c>
      <c r="AA598" s="121">
        <f>(VLOOKUP($A598,Pitchers!$A1:$S251,9,FALSE)-AVERAGE(Rankings!AH2:AH651))/STDEV(Rankings!AH2:AH651)</f>
        <v>1.6884095652136784</v>
      </c>
      <c r="AB598" s="121">
        <f>(VLOOKUP($A598,Pitchers!$A1:$S251,10,FALSE)-AVERAGE(Rankings!AI2:AI651))/STDEV(Rankings!AI2:AI651)*-1</f>
        <v>0.99457027273740473</v>
      </c>
      <c r="AC598" s="121">
        <f>(VLOOKUP($A598,Pitchers!$A1:$S251,11,FALSE)-AVERAGE(Rankings!AJ2:AJ651))/STDEV(Rankings!AJ2:AJ651)*-1</f>
        <v>1.0351254595621751</v>
      </c>
      <c r="AD598" s="121">
        <f>(VLOOKUP($A598,Pitchers!$A1:$S251,12,FALSE)-AVERAGE(Rankings!AK2:AK651))/STDEV(Rankings!AK2:AK651)*-1</f>
        <v>0.60214000260154055</v>
      </c>
      <c r="AE598" s="121">
        <f>IFERROR((VLOOKUP($A598,Pitchers!$A1:$S251,13,FALSE)-AVERAGE(Rankings!AL2:AL651))/STDEV(Rankings!AL2:AL651)*-1,0)</f>
        <v>1.2305781026761702</v>
      </c>
      <c r="AF598" s="121">
        <f>(VLOOKUP($A598,Pitchers!$A1:$S251,14,FALSE)-AVERAGE(Rankings!AM2:AM651))/STDEV(Rankings!AM2:AM651)</f>
        <v>1.5924899304779832</v>
      </c>
      <c r="AG598" s="121">
        <f>(VLOOKUP($A598,Pitchers!$A1:$S251,15,FALSE)-AVERAGE(Rankings!AN2:AN651))/STDEV(Rankings!AN2:AN651)</f>
        <v>-1.2653418049058471</v>
      </c>
      <c r="AH598" s="121">
        <f>(VLOOKUP($A598,Pitchers!$A1:$S251,16,FALSE)-AVERAGE(Rankings!AO2:AO651))/STDEV(Rankings!AO2:AO651)*-1</f>
        <v>1.0098774819787733</v>
      </c>
      <c r="AI598" s="121">
        <f>IFERROR((VLOOKUP($A598,Pitchers!$A1:$S251,17,FALSE)-AVERAGE(Rankings!AP2:AP651))/STDEV(Rankings!AP2:AP651),0)</f>
        <v>-1.126133891603242</v>
      </c>
      <c r="AJ598" s="121">
        <f>(VLOOKUP($A598,Pitchers!$A1:$S251,18,FALSE)-AVERAGE(Rankings!AQ2:AQ651))/STDEV(Rankings!AQ2:AQ651)</f>
        <v>0.19882161900985482</v>
      </c>
      <c r="AK598" s="121">
        <f>IFERROR((VLOOKUP($A598,Pitchers!$A1:$S251,19,FALSE)-AVERAGE(Rankings!AR2:AR651))/STDEV(Rankings!AR2:AR651)*-1,0)</f>
        <v>-2.9034637958313398</v>
      </c>
    </row>
    <row r="599" spans="1:37" ht="20.100000000000001" customHeight="1">
      <c r="A599" s="25" t="s">
        <v>516</v>
      </c>
      <c r="B599" s="26" t="s">
        <v>116</v>
      </c>
      <c r="C599" s="131" t="s">
        <v>34</v>
      </c>
      <c r="D599" s="67">
        <f>(V599*Settings!$G$2)+(Y599*Settings!$G$5)+(Z599*Settings!$G$6)+(AA599*Settings!$G$7)+(AB599*Settings!$G$8)+(AC599*Settings!$G$9)+(AD599*Settings!$G$10)+(AE599*Settings!$G$11)+(AF599*Settings!$G$12)+(AG599*Settings!$G$13)+(AH599*Settings!$G$14)+(AI599*Settings!$G$15)+(AJ599*Settings!$G$16)+(AK599*Settings!$G$17)+(W599*Settings!$G$3)+(X599*Settings!$G$4)</f>
        <v>-1.1350080231104416</v>
      </c>
      <c r="E599" s="67"/>
      <c r="F599" s="67"/>
      <c r="G599" s="67"/>
      <c r="H599" s="67"/>
      <c r="I599" s="67"/>
      <c r="J599" s="67"/>
      <c r="K599" s="73"/>
      <c r="L599" s="73"/>
      <c r="M599" s="67"/>
      <c r="N599" s="67"/>
      <c r="O599" s="67"/>
      <c r="P599" s="67"/>
      <c r="Q599" s="67"/>
      <c r="R599" s="73"/>
      <c r="S599" s="73"/>
      <c r="T599" s="67"/>
      <c r="U599" s="67"/>
      <c r="V599" s="121">
        <f>(VLOOKUP($A599,Pitchers!$A1:$S251,4,FALSE)-AVERAGE(Rankings!AC2:AC651))/STDEV(Rankings!AC2:AC651)</f>
        <v>-1.0425204587467911</v>
      </c>
      <c r="W599" s="121">
        <f>(VLOOKUP($A599,Pitchers!$A1:$S251,5,FALSE)-AVERAGE(Rankings!AD2:AD651))/STDEV(Rankings!AD2:AD651)*-1</f>
        <v>0.39424509448034289</v>
      </c>
      <c r="X599" s="121">
        <f>(VLOOKUP($A599,Pitchers!$A1:$S251,6,FALSE)-AVERAGE(Rankings!AE2:AE651))/STDEV(Rankings!AE2:AE651)*-1</f>
        <v>-0.80526415955950836</v>
      </c>
      <c r="Y599" s="121">
        <f>(VLOOKUP($A599,Pitchers!$A1:$S251,7,FALSE)-AVERAGE(Rankings!AF2:AF651))/STDEV(Rankings!AF2:AF651)</f>
        <v>-1.0928007921445786</v>
      </c>
      <c r="Z599" s="121">
        <f>(VLOOKUP($A599,Pitchers!$A1:$S251,8,FALSE)-AVERAGE(Rankings!AG2:AG651))/STDEV(Rankings!AG2:AG651)</f>
        <v>-1.0056836021097846</v>
      </c>
      <c r="AA599" s="121">
        <f>(VLOOKUP($A599,Pitchers!$A1:$S251,9,FALSE)-AVERAGE(Rankings!AH2:AH651))/STDEV(Rankings!AH2:AH651)</f>
        <v>1.3744954362230872</v>
      </c>
      <c r="AB599" s="121">
        <f>(VLOOKUP($A599,Pitchers!$A1:$S251,10,FALSE)-AVERAGE(Rankings!AI2:AI651))/STDEV(Rankings!AI2:AI651)*-1</f>
        <v>1.0291085553534873</v>
      </c>
      <c r="AC599" s="121">
        <f>(VLOOKUP($A599,Pitchers!$A1:$S251,11,FALSE)-AVERAGE(Rankings!AJ2:AJ651))/STDEV(Rankings!AJ2:AJ651)*-1</f>
        <v>0.91995761492736106</v>
      </c>
      <c r="AD599" s="121">
        <f>(VLOOKUP($A599,Pitchers!$A1:$S251,12,FALSE)-AVERAGE(Rankings!AK2:AK651))/STDEV(Rankings!AK2:AK651)*-1</f>
        <v>0.88525926630987972</v>
      </c>
      <c r="AE599" s="121">
        <f>IFERROR((VLOOKUP($A599,Pitchers!$A1:$S251,13,FALSE)-AVERAGE(Rankings!AL2:AL651))/STDEV(Rankings!AL2:AL651)*-1,0)</f>
        <v>1.0975713903246602</v>
      </c>
      <c r="AF599" s="121">
        <f>(VLOOKUP($A599,Pitchers!$A1:$S251,14,FALSE)-AVERAGE(Rankings!AM2:AM651))/STDEV(Rankings!AM2:AM651)</f>
        <v>1.3962724258587913</v>
      </c>
      <c r="AG599" s="121">
        <f>(VLOOKUP($A599,Pitchers!$A1:$S251,15,FALSE)-AVERAGE(Rankings!AN2:AN651))/STDEV(Rankings!AN2:AN651)</f>
        <v>-1.2393696238626377</v>
      </c>
      <c r="AH599" s="121">
        <f>(VLOOKUP($A599,Pitchers!$A1:$S251,16,FALSE)-AVERAGE(Rankings!AO2:AO651))/STDEV(Rankings!AO2:AO651)*-1</f>
        <v>0.99735171444083448</v>
      </c>
      <c r="AI599" s="121">
        <f>IFERROR((VLOOKUP($A599,Pitchers!$A1:$S251,17,FALSE)-AVERAGE(Rankings!AP2:AP651))/STDEV(Rankings!AP2:AP651),0)</f>
        <v>-1.126133891603242</v>
      </c>
      <c r="AJ599" s="121">
        <f>(VLOOKUP($A599,Pitchers!$A1:$S251,18,FALSE)-AVERAGE(Rankings!AQ2:AQ651))/STDEV(Rankings!AQ2:AQ651)</f>
        <v>1.3232674953958448</v>
      </c>
      <c r="AK599" s="121">
        <f>IFERROR((VLOOKUP($A599,Pitchers!$A1:$S251,19,FALSE)-AVERAGE(Rankings!AR2:AR651))/STDEV(Rankings!AR2:AR651)*-1,0)</f>
        <v>-0.97553298850641301</v>
      </c>
    </row>
    <row r="600" spans="1:37" ht="20.100000000000001" customHeight="1">
      <c r="A600" s="25" t="s">
        <v>517</v>
      </c>
      <c r="B600" s="26" t="s">
        <v>79</v>
      </c>
      <c r="C600" s="131" t="s">
        <v>34</v>
      </c>
      <c r="D600" s="67">
        <f>(V600*Settings!$G$2)+(Y600*Settings!$G$5)+(Z600*Settings!$G$6)+(AA600*Settings!$G$7)+(AB600*Settings!$G$8)+(AC600*Settings!$G$9)+(AD600*Settings!$G$10)+(AE600*Settings!$G$11)+(AF600*Settings!$G$12)+(AG600*Settings!$G$13)+(AH600*Settings!$G$14)+(AI600*Settings!$G$15)+(AJ600*Settings!$G$16)+(AK600*Settings!$G$17)+(W600*Settings!$G$3)+(X600*Settings!$G$4)</f>
        <v>-1.1452937324070136</v>
      </c>
      <c r="E600" s="67"/>
      <c r="F600" s="67"/>
      <c r="G600" s="67"/>
      <c r="H600" s="67"/>
      <c r="I600" s="67"/>
      <c r="J600" s="67"/>
      <c r="K600" s="73"/>
      <c r="L600" s="73"/>
      <c r="M600" s="67"/>
      <c r="N600" s="67"/>
      <c r="O600" s="67"/>
      <c r="P600" s="67"/>
      <c r="Q600" s="67"/>
      <c r="R600" s="73"/>
      <c r="S600" s="73"/>
      <c r="T600" s="67"/>
      <c r="U600" s="67"/>
      <c r="V600" s="121">
        <f>(VLOOKUP($A600,Pitchers!$A1:$S251,4,FALSE)-AVERAGE(Rankings!AC2:AC651))/STDEV(Rankings!AC2:AC651)</f>
        <v>-1.0467548210240556</v>
      </c>
      <c r="W600" s="121">
        <f>(VLOOKUP($A600,Pitchers!$A1:$S251,5,FALSE)-AVERAGE(Rankings!AD2:AD651))/STDEV(Rankings!AD2:AD651)*-1</f>
        <v>-3.4993878484710521E-2</v>
      </c>
      <c r="X600" s="121">
        <f>(VLOOKUP($A600,Pitchers!$A1:$S251,6,FALSE)-AVERAGE(Rankings!AE2:AE651))/STDEV(Rankings!AE2:AE651)*-1</f>
        <v>0.38045271071413911</v>
      </c>
      <c r="Y600" s="121">
        <f>(VLOOKUP($A600,Pitchers!$A1:$S251,7,FALSE)-AVERAGE(Rankings!AF2:AF651))/STDEV(Rankings!AF2:AF651)</f>
        <v>-0.8299530205936938</v>
      </c>
      <c r="Z600" s="121">
        <f>(VLOOKUP($A600,Pitchers!$A1:$S251,8,FALSE)-AVERAGE(Rankings!AG2:AG651))/STDEV(Rankings!AG2:AG651)</f>
        <v>-0.82448333987355649</v>
      </c>
      <c r="AA600" s="121">
        <f>(VLOOKUP($A600,Pitchers!$A1:$S251,9,FALSE)-AVERAGE(Rankings!AH2:AH651))/STDEV(Rankings!AH2:AH651)</f>
        <v>0.16368379583080819</v>
      </c>
      <c r="AB600" s="121">
        <f>(VLOOKUP($A600,Pitchers!$A1:$S251,10,FALSE)-AVERAGE(Rankings!AI2:AI651))/STDEV(Rankings!AI2:AI651)*-1</f>
        <v>0.96153365458289086</v>
      </c>
      <c r="AC600" s="121">
        <f>(VLOOKUP($A600,Pitchers!$A1:$S251,11,FALSE)-AVERAGE(Rankings!AJ2:AJ651))/STDEV(Rankings!AJ2:AJ651)*-1</f>
        <v>1.0543201003346443</v>
      </c>
      <c r="AD600" s="121">
        <f>(VLOOKUP($A600,Pitchers!$A1:$S251,12,FALSE)-AVERAGE(Rankings!AK2:AK651))/STDEV(Rankings!AK2:AK651)*-1</f>
        <v>0.98532728193093067</v>
      </c>
      <c r="AE600" s="121">
        <f>IFERROR((VLOOKUP($A600,Pitchers!$A1:$S251,13,FALSE)-AVERAGE(Rankings!AL2:AL651))/STDEV(Rankings!AL2:AL651)*-1,0)</f>
        <v>0.96456467797315026</v>
      </c>
      <c r="AF600" s="121">
        <f>(VLOOKUP($A600,Pitchers!$A1:$S251,14,FALSE)-AVERAGE(Rankings!AM2:AM651))/STDEV(Rankings!AM2:AM651)</f>
        <v>1.8105093800548624</v>
      </c>
      <c r="AG600" s="121">
        <f>(VLOOKUP($A600,Pitchers!$A1:$S251,15,FALSE)-AVERAGE(Rankings!AN2:AN651))/STDEV(Rankings!AN2:AN651)</f>
        <v>-1.2653418049058471</v>
      </c>
      <c r="AH600" s="121">
        <f>(VLOOKUP($A600,Pitchers!$A1:$S251,16,FALSE)-AVERAGE(Rankings!AO2:AO651))/STDEV(Rankings!AO2:AO651)*-1</f>
        <v>0.92219710921320197</v>
      </c>
      <c r="AI600" s="121">
        <f>IFERROR((VLOOKUP($A600,Pitchers!$A1:$S251,17,FALSE)-AVERAGE(Rankings!AP2:AP651))/STDEV(Rankings!AP2:AP651),0)</f>
        <v>-1.126133891603242</v>
      </c>
      <c r="AJ600" s="121">
        <f>(VLOOKUP($A600,Pitchers!$A1:$S251,18,FALSE)-AVERAGE(Rankings!AQ2:AQ651))/STDEV(Rankings!AQ2:AQ651)</f>
        <v>2.2870782465838362</v>
      </c>
      <c r="AK600" s="121">
        <f>IFERROR((VLOOKUP($A600,Pitchers!$A1:$S251,19,FALSE)-AVERAGE(Rankings!AR2:AR651))/STDEV(Rankings!AR2:AR651)*-1,0)</f>
        <v>-1.1567584843949572E-2</v>
      </c>
    </row>
    <row r="601" spans="1:37" ht="20.100000000000001" customHeight="1">
      <c r="A601" s="25" t="s">
        <v>561</v>
      </c>
      <c r="B601" s="26" t="s">
        <v>309</v>
      </c>
      <c r="C601" s="131" t="s">
        <v>34</v>
      </c>
      <c r="D601" s="67">
        <f>(V601*Settings!$G$2)+(Y601*Settings!$G$5)+(Z601*Settings!$G$6)+(AA601*Settings!$G$7)+(AB601*Settings!$G$8)+(AC601*Settings!$G$9)+(AD601*Settings!$G$10)+(AE601*Settings!$G$11)+(AF601*Settings!$G$12)+(AG601*Settings!$G$13)+(AH601*Settings!$G$14)+(AI601*Settings!$G$15)+(AJ601*Settings!$G$16)+(AK601*Settings!$G$17)+(W601*Settings!$G$3)+(X601*Settings!$G$4)</f>
        <v>-1.5254700239012915</v>
      </c>
      <c r="E601" s="67"/>
      <c r="F601" s="67"/>
      <c r="G601" s="67"/>
      <c r="H601" s="67"/>
      <c r="I601" s="67"/>
      <c r="J601" s="67"/>
      <c r="K601" s="73"/>
      <c r="L601" s="73"/>
      <c r="M601" s="67"/>
      <c r="N601" s="67"/>
      <c r="O601" s="67"/>
      <c r="P601" s="67"/>
      <c r="Q601" s="67"/>
      <c r="R601" s="73"/>
      <c r="S601" s="73"/>
      <c r="T601" s="67"/>
      <c r="U601" s="67"/>
      <c r="V601" s="121">
        <f>(VLOOKUP($A601,Pitchers!$A1:$S251,4,FALSE)-AVERAGE(Rankings!AC2:AC651))/STDEV(Rankings!AC2:AC651)</f>
        <v>-0.99241383846583098</v>
      </c>
      <c r="W601" s="121">
        <f>(VLOOKUP($A601,Pitchers!$A1:$S251,5,FALSE)-AVERAGE(Rankings!AD2:AD651))/STDEV(Rankings!AD2:AD651)*-1</f>
        <v>8.8302740821901468E-2</v>
      </c>
      <c r="X601" s="121">
        <f>(VLOOKUP($A601,Pitchers!$A1:$S251,6,FALSE)-AVERAGE(Rankings!AE2:AE651))/STDEV(Rankings!AE2:AE651)*-1</f>
        <v>-0.88758344573505166</v>
      </c>
      <c r="Y601" s="121">
        <f>(VLOOKUP($A601,Pitchers!$A1:$S251,7,FALSE)-AVERAGE(Rankings!AF2:AF651))/STDEV(Rankings!AF2:AF651)</f>
        <v>-0.96137690636913631</v>
      </c>
      <c r="Z601" s="121">
        <f>(VLOOKUP($A601,Pitchers!$A1:$S251,8,FALSE)-AVERAGE(Rankings!AG2:AG651))/STDEV(Rankings!AG2:AG651)</f>
        <v>-0.91508347099167064</v>
      </c>
      <c r="AA601" s="121">
        <f>(VLOOKUP($A601,Pitchers!$A1:$S251,9,FALSE)-AVERAGE(Rankings!AH2:AH651))/STDEV(Rankings!AH2:AH651)</f>
        <v>1.1502710583726654</v>
      </c>
      <c r="AB601" s="121">
        <f>(VLOOKUP($A601,Pitchers!$A1:$S251,10,FALSE)-AVERAGE(Rankings!AI2:AI651))/STDEV(Rankings!AI2:AI651)*-1</f>
        <v>0.9345036942746523</v>
      </c>
      <c r="AC601" s="121">
        <f>(VLOOKUP($A601,Pitchers!$A1:$S251,11,FALSE)-AVERAGE(Rankings!AJ2:AJ651))/STDEV(Rankings!AJ2:AJ651)*-1</f>
        <v>0.90431753726090469</v>
      </c>
      <c r="AD601" s="121">
        <f>(VLOOKUP($A601,Pitchers!$A1:$S251,12,FALSE)-AVERAGE(Rankings!AK2:AK651))/STDEV(Rankings!AK2:AK651)*-1</f>
        <v>0.6753605018364558</v>
      </c>
      <c r="AE601" s="121">
        <f>IFERROR((VLOOKUP($A601,Pitchers!$A1:$S251,13,FALSE)-AVERAGE(Rankings!AL2:AL651))/STDEV(Rankings!AL2:AL651)*-1,0)</f>
        <v>1.0975713903246602</v>
      </c>
      <c r="AF601" s="121">
        <f>(VLOOKUP($A601,Pitchers!$A1:$S251,14,FALSE)-AVERAGE(Rankings!AM2:AM651))/STDEV(Rankings!AM2:AM651)</f>
        <v>1.7233016002241108</v>
      </c>
      <c r="AG601" s="121">
        <f>(VLOOKUP($A601,Pitchers!$A1:$S251,15,FALSE)-AVERAGE(Rankings!AN2:AN651))/STDEV(Rankings!AN2:AN651)</f>
        <v>-1.2653418049058471</v>
      </c>
      <c r="AH601" s="121">
        <f>(VLOOKUP($A601,Pitchers!$A1:$S251,16,FALSE)-AVERAGE(Rankings!AO2:AO651))/STDEV(Rankings!AO2:AO651)*-1</f>
        <v>0.85956827152350834</v>
      </c>
      <c r="AI601" s="121">
        <f>IFERROR((VLOOKUP($A601,Pitchers!$A1:$S251,17,FALSE)-AVERAGE(Rankings!AP2:AP651))/STDEV(Rankings!AP2:AP651),0)</f>
        <v>-1.126133891603242</v>
      </c>
      <c r="AJ601" s="121">
        <f>(VLOOKUP($A601,Pitchers!$A1:$S251,18,FALSE)-AVERAGE(Rankings!AQ2:AQ651))/STDEV(Rankings!AQ2:AQ651)</f>
        <v>1.644537745791842</v>
      </c>
      <c r="AK601" s="121">
        <f>IFERROR((VLOOKUP($A601,Pitchers!$A1:$S251,19,FALSE)-AVERAGE(Rankings!AR2:AR651))/STDEV(Rankings!AR2:AR651)*-1,0)</f>
        <v>-1.4575156903376447</v>
      </c>
    </row>
    <row r="602" spans="1:37" ht="20.100000000000001" customHeight="1">
      <c r="A602" s="25" t="s">
        <v>443</v>
      </c>
      <c r="B602" s="26" t="s">
        <v>95</v>
      </c>
      <c r="C602" s="131" t="s">
        <v>34</v>
      </c>
      <c r="D602" s="67">
        <f>(V602*Settings!$G$2)+(Y602*Settings!$G$5)+(Z602*Settings!$G$6)+(AA602*Settings!$G$7)+(AB602*Settings!$G$8)+(AC602*Settings!$G$9)+(AD602*Settings!$G$10)+(AE602*Settings!$G$11)+(AF602*Settings!$G$12)+(AG602*Settings!$G$13)+(AH602*Settings!$G$14)+(AI602*Settings!$G$15)+(AJ602*Settings!$G$16)+(AK602*Settings!$G$17)+(W602*Settings!$G$3)+(X602*Settings!$G$4)</f>
        <v>-0.25366665928263554</v>
      </c>
      <c r="E602" s="67"/>
      <c r="F602" s="67"/>
      <c r="G602" s="67"/>
      <c r="H602" s="67"/>
      <c r="I602" s="67"/>
      <c r="J602" s="67"/>
      <c r="K602" s="73"/>
      <c r="L602" s="73"/>
      <c r="M602" s="67"/>
      <c r="N602" s="67"/>
      <c r="O602" s="67"/>
      <c r="P602" s="67"/>
      <c r="Q602" s="67"/>
      <c r="R602" s="73"/>
      <c r="S602" s="73"/>
      <c r="T602" s="67"/>
      <c r="U602" s="67"/>
      <c r="V602" s="121">
        <f>(VLOOKUP($A602,Pitchers!$A1:$S251,4,FALSE)-AVERAGE(Rankings!AC2:AC651))/STDEV(Rankings!AC2:AC651)</f>
        <v>-1.2069548605138851</v>
      </c>
      <c r="W602" s="121">
        <f>(VLOOKUP($A602,Pitchers!$A1:$S251,5,FALSE)-AVERAGE(Rankings!AD2:AD651))/STDEV(Rankings!AD2:AD651)*-1</f>
        <v>0.84219153748375897</v>
      </c>
      <c r="X602" s="121">
        <f>(VLOOKUP($A602,Pitchers!$A1:$S251,6,FALSE)-AVERAGE(Rankings!AE2:AE651))/STDEV(Rankings!AE2:AE651)*-1</f>
        <v>1.359715962529878</v>
      </c>
      <c r="Y602" s="121">
        <f>(VLOOKUP($A602,Pitchers!$A1:$S251,7,FALSE)-AVERAGE(Rankings!AF2:AF651))/STDEV(Rankings!AF2:AF651)</f>
        <v>-1.0891702980623841</v>
      </c>
      <c r="Z602" s="121">
        <f>(VLOOKUP($A602,Pitchers!$A1:$S251,8,FALSE)-AVERAGE(Rankings!AG2:AG651))/STDEV(Rankings!AG2:AG651)</f>
        <v>-1.1264837769339369</v>
      </c>
      <c r="AA602" s="121">
        <f>(VLOOKUP($A602,Pitchers!$A1:$S251,9,FALSE)-AVERAGE(Rankings!AH2:AH651))/STDEV(Rankings!AH2:AH651)</f>
        <v>-0.23992008429995157</v>
      </c>
      <c r="AB602" s="121">
        <f>(VLOOKUP($A602,Pitchers!$A1:$S251,10,FALSE)-AVERAGE(Rankings!AI2:AI651))/STDEV(Rankings!AI2:AI651)*-1</f>
        <v>1.2318332576652771</v>
      </c>
      <c r="AC602" s="121">
        <f>(VLOOKUP($A602,Pitchers!$A1:$S251,11,FALSE)-AVERAGE(Rankings!AJ2:AJ651))/STDEV(Rankings!AJ2:AJ651)*-1</f>
        <v>1.1595351682726223</v>
      </c>
      <c r="AD602" s="121">
        <f>(VLOOKUP($A602,Pitchers!$A1:$S251,12,FALSE)-AVERAGE(Rankings!AK2:AK651))/STDEV(Rankings!AK2:AK651)*-1</f>
        <v>1.6711592914313036</v>
      </c>
      <c r="AE602" s="121">
        <f>IFERROR((VLOOKUP($A602,Pitchers!$A1:$S251,13,FALSE)-AVERAGE(Rankings!AL2:AL651))/STDEV(Rankings!AL2:AL651)*-1,0)</f>
        <v>0.69855125327013035</v>
      </c>
      <c r="AF602" s="121">
        <f>(VLOOKUP($A602,Pitchers!$A1:$S251,14,FALSE)-AVERAGE(Rankings!AM2:AM651))/STDEV(Rankings!AM2:AM651)</f>
        <v>1.1782529762819116</v>
      </c>
      <c r="AG602" s="121">
        <f>(VLOOKUP($A602,Pitchers!$A1:$S251,15,FALSE)-AVERAGE(Rankings!AN2:AN651))/STDEV(Rankings!AN2:AN651)</f>
        <v>-1.1614530807330092</v>
      </c>
      <c r="AH602" s="121">
        <f>(VLOOKUP($A602,Pitchers!$A1:$S251,16,FALSE)-AVERAGE(Rankings!AO2:AO651))/STDEV(Rankings!AO2:AO651)*-1</f>
        <v>1.2979701353513646</v>
      </c>
      <c r="AI602" s="121">
        <f>IFERROR((VLOOKUP($A602,Pitchers!$A1:$S251,17,FALSE)-AVERAGE(Rankings!AP2:AP651))/STDEV(Rankings!AP2:AP651),0)</f>
        <v>-1.126133891603242</v>
      </c>
      <c r="AJ602" s="121">
        <f>(VLOOKUP($A602,Pitchers!$A1:$S251,18,FALSE)-AVERAGE(Rankings!AQ2:AQ651))/STDEV(Rankings!AQ2:AQ651)</f>
        <v>1.5642201831928426</v>
      </c>
      <c r="AK602" s="121">
        <f>IFERROR((VLOOKUP($A602,Pitchers!$A1:$S251,19,FALSE)-AVERAGE(Rankings!AR2:AR651))/STDEV(Rankings!AR2:AR651)*-1,0)</f>
        <v>0.47041511698728217</v>
      </c>
    </row>
    <row r="603" spans="1:37" ht="20.100000000000001" customHeight="1">
      <c r="A603" s="25" t="s">
        <v>499</v>
      </c>
      <c r="B603" s="26" t="s">
        <v>82</v>
      </c>
      <c r="C603" s="131" t="s">
        <v>34</v>
      </c>
      <c r="D603" s="67">
        <f>(V603*Settings!$G$2)+(Y603*Settings!$G$5)+(Z603*Settings!$G$6)+(AA603*Settings!$G$7)+(AB603*Settings!$G$8)+(AC603*Settings!$G$9)+(AD603*Settings!$G$10)+(AE603*Settings!$G$11)+(AF603*Settings!$G$12)+(AG603*Settings!$G$13)+(AH603*Settings!$G$14)+(AI603*Settings!$G$15)+(AJ603*Settings!$G$16)+(AK603*Settings!$G$17)+(W603*Settings!$G$3)+(X603*Settings!$G$4)</f>
        <v>-0.87960848601856556</v>
      </c>
      <c r="E603" s="67"/>
      <c r="F603" s="67"/>
      <c r="G603" s="67"/>
      <c r="H603" s="67"/>
      <c r="I603" s="67"/>
      <c r="J603" s="67"/>
      <c r="K603" s="73"/>
      <c r="L603" s="73"/>
      <c r="M603" s="67"/>
      <c r="N603" s="67"/>
      <c r="O603" s="67"/>
      <c r="P603" s="67"/>
      <c r="Q603" s="67"/>
      <c r="R603" s="73"/>
      <c r="S603" s="73"/>
      <c r="T603" s="67"/>
      <c r="U603" s="67"/>
      <c r="V603" s="121">
        <f>(VLOOKUP($A603,Pitchers!$A1:$S251,4,FALSE)-AVERAGE(Rankings!AC2:AC651))/STDEV(Rankings!AC2:AC651)</f>
        <v>-1.26200157011832</v>
      </c>
      <c r="W603" s="121">
        <f>(VLOOKUP($A603,Pitchers!$A1:$S251,5,FALSE)-AVERAGE(Rankings!AD2:AD651))/STDEV(Rankings!AD2:AD651)*-1</f>
        <v>0.97612597139510326</v>
      </c>
      <c r="X603" s="121">
        <f>(VLOOKUP($A603,Pitchers!$A1:$S251,6,FALSE)-AVERAGE(Rankings!AE2:AE651))/STDEV(Rankings!AE2:AE651)*-1</f>
        <v>0.17522517392313389</v>
      </c>
      <c r="Y603" s="121">
        <f>(VLOOKUP($A603,Pitchers!$A1:$S251,7,FALSE)-AVERAGE(Rankings!AF2:AF651))/STDEV(Rankings!AF2:AF651)</f>
        <v>-0.90982389040197353</v>
      </c>
      <c r="Z603" s="121">
        <f>(VLOOKUP($A603,Pitchers!$A1:$S251,8,FALSE)-AVERAGE(Rankings!AG2:AG651))/STDEV(Rankings!AG2:AG651)</f>
        <v>-1.0157502833451306</v>
      </c>
      <c r="AA603" s="121">
        <f>(VLOOKUP($A603,Pitchers!$A1:$S251,9,FALSE)-AVERAGE(Rankings!AH2:AH651))/STDEV(Rankings!AH2:AH651)</f>
        <v>-0.10538545758969836</v>
      </c>
      <c r="AB603" s="121">
        <f>(VLOOKUP($A603,Pitchers!$A1:$S251,10,FALSE)-AVERAGE(Rankings!AI2:AI651))/STDEV(Rankings!AI2:AI651)*-1</f>
        <v>1.2934015005895985</v>
      </c>
      <c r="AC603" s="121">
        <f>(VLOOKUP($A603,Pitchers!$A1:$S251,11,FALSE)-AVERAGE(Rankings!AJ2:AJ651))/STDEV(Rankings!AJ2:AJ651)*-1</f>
        <v>1.3322869352248436</v>
      </c>
      <c r="AD603" s="121">
        <f>(VLOOKUP($A603,Pitchers!$A1:$S251,12,FALSE)-AVERAGE(Rankings!AK2:AK651))/STDEV(Rankings!AK2:AK651)*-1</f>
        <v>0.82912355022977779</v>
      </c>
      <c r="AE603" s="121">
        <f>IFERROR((VLOOKUP($A603,Pitchers!$A1:$S251,13,FALSE)-AVERAGE(Rankings!AL2:AL651))/STDEV(Rankings!AL2:AL651)*-1,0)</f>
        <v>0.96456467797315026</v>
      </c>
      <c r="AF603" s="121">
        <f>(VLOOKUP($A603,Pitchers!$A1:$S251,14,FALSE)-AVERAGE(Rankings!AM2:AM651))/STDEV(Rankings!AM2:AM651)</f>
        <v>1.1782529762819116</v>
      </c>
      <c r="AG603" s="121">
        <f>(VLOOKUP($A603,Pitchers!$A1:$S251,15,FALSE)-AVERAGE(Rankings!AN2:AN651))/STDEV(Rankings!AN2:AN651)</f>
        <v>-1.2653418049058471</v>
      </c>
      <c r="AH603" s="121">
        <f>(VLOOKUP($A603,Pitchers!$A1:$S251,16,FALSE)-AVERAGE(Rankings!AO2:AO651))/STDEV(Rankings!AO2:AO651)*-1</f>
        <v>1.5610112536480785</v>
      </c>
      <c r="AI603" s="121">
        <f>IFERROR((VLOOKUP($A603,Pitchers!$A1:$S251,17,FALSE)-AVERAGE(Rankings!AP2:AP651))/STDEV(Rankings!AP2:AP651),0)</f>
        <v>-1.126133891603242</v>
      </c>
      <c r="AJ603" s="121">
        <f>(VLOOKUP($A603,Pitchers!$A1:$S251,18,FALSE)-AVERAGE(Rankings!AQ2:AQ651))/STDEV(Rankings!AQ2:AQ651)</f>
        <v>1.8051728709898405</v>
      </c>
      <c r="AK603" s="121">
        <f>IFERROR((VLOOKUP($A603,Pitchers!$A1:$S251,19,FALSE)-AVERAGE(Rankings!AR2:AR651))/STDEV(Rankings!AR2:AR651)*-1,0)</f>
        <v>-0.97553298850641301</v>
      </c>
    </row>
    <row r="604" spans="1:37" ht="20.100000000000001" customHeight="1">
      <c r="A604" s="25" t="s">
        <v>510</v>
      </c>
      <c r="B604" s="26" t="s">
        <v>97</v>
      </c>
      <c r="C604" s="131" t="s">
        <v>34</v>
      </c>
      <c r="D604" s="67">
        <f>(V604*Settings!$G$2)+(Y604*Settings!$G$5)+(Z604*Settings!$G$6)+(AA604*Settings!$G$7)+(AB604*Settings!$G$8)+(AC604*Settings!$G$9)+(AD604*Settings!$G$10)+(AE604*Settings!$G$11)+(AF604*Settings!$G$12)+(AG604*Settings!$G$13)+(AH604*Settings!$G$14)+(AI604*Settings!$G$15)+(AJ604*Settings!$G$16)+(AK604*Settings!$G$17)+(W604*Settings!$G$3)+(X604*Settings!$G$4)</f>
        <v>-1.0547329746050254</v>
      </c>
      <c r="E604" s="67"/>
      <c r="F604" s="67"/>
      <c r="G604" s="67"/>
      <c r="H604" s="67"/>
      <c r="I604" s="67"/>
      <c r="J604" s="67"/>
      <c r="K604" s="73"/>
      <c r="L604" s="73"/>
      <c r="M604" s="67"/>
      <c r="N604" s="67"/>
      <c r="O604" s="67"/>
      <c r="P604" s="67"/>
      <c r="Q604" s="67"/>
      <c r="R604" s="73"/>
      <c r="S604" s="73"/>
      <c r="T604" s="67"/>
      <c r="U604" s="67"/>
      <c r="V604" s="121">
        <f>(VLOOKUP($A604,Pitchers!$A1:$S251,4,FALSE)-AVERAGE(Rankings!AC2:AC651))/STDEV(Rankings!AC2:AC651)</f>
        <v>-1.0382860964695271</v>
      </c>
      <c r="W604" s="121">
        <f>(VLOOKUP($A604,Pitchers!$A1:$S251,5,FALSE)-AVERAGE(Rankings!AD2:AD651))/STDEV(Rankings!AD2:AD651)*-1</f>
        <v>0.55057301700630812</v>
      </c>
      <c r="X604" s="121">
        <f>(VLOOKUP($A604,Pitchers!$A1:$S251,6,FALSE)-AVERAGE(Rankings!AE2:AE651))/STDEV(Rankings!AE2:AE651)*-1</f>
        <v>-4.2989899789513161E-2</v>
      </c>
      <c r="Y604" s="121">
        <f>(VLOOKUP($A604,Pitchers!$A1:$S251,7,FALSE)-AVERAGE(Rankings!AF2:AF651))/STDEV(Rankings!AF2:AF651)</f>
        <v>-0.85391428153617766</v>
      </c>
      <c r="Z604" s="121">
        <f>(VLOOKUP($A604,Pitchers!$A1:$S251,8,FALSE)-AVERAGE(Rankings!AG2:AG651))/STDEV(Rankings!AG2:AG651)</f>
        <v>-0.60301635269594434</v>
      </c>
      <c r="AA604" s="121">
        <f>(VLOOKUP($A604,Pitchers!$A1:$S251,9,FALSE)-AVERAGE(Rankings!AH2:AH651))/STDEV(Rankings!AH2:AH651)</f>
        <v>-0.10538545758969836</v>
      </c>
      <c r="AB604" s="121">
        <f>(VLOOKUP($A604,Pitchers!$A1:$S251,10,FALSE)-AVERAGE(Rankings!AI2:AI651))/STDEV(Rankings!AI2:AI651)*-1</f>
        <v>1.0516335222770197</v>
      </c>
      <c r="AC604" s="121">
        <f>(VLOOKUP($A604,Pitchers!$A1:$S251,11,FALSE)-AVERAGE(Rankings!AJ2:AJ651))/STDEV(Rankings!AJ2:AJ651)*-1</f>
        <v>1.0294381585925547</v>
      </c>
      <c r="AD604" s="121">
        <f>(VLOOKUP($A604,Pitchers!$A1:$S251,12,FALSE)-AVERAGE(Rankings!AK2:AK651))/STDEV(Rankings!AK2:AK651)*-1</f>
        <v>0.84132696676893037</v>
      </c>
      <c r="AE604" s="121">
        <f>IFERROR((VLOOKUP($A604,Pitchers!$A1:$S251,13,FALSE)-AVERAGE(Rankings!AL2:AL651))/STDEV(Rankings!AL2:AL651)*-1,0)</f>
        <v>1.0975713903246602</v>
      </c>
      <c r="AF604" s="121">
        <f>(VLOOKUP($A604,Pitchers!$A1:$S251,14,FALSE)-AVERAGE(Rankings!AM2:AM651))/STDEV(Rankings!AM2:AM651)</f>
        <v>1.7669054901394872</v>
      </c>
      <c r="AG604" s="121">
        <f>(VLOOKUP($A604,Pitchers!$A1:$S251,15,FALSE)-AVERAGE(Rankings!AN2:AN651))/STDEV(Rankings!AN2:AN651)</f>
        <v>-1.2653418049058471</v>
      </c>
      <c r="AH604" s="121">
        <f>(VLOOKUP($A604,Pitchers!$A1:$S251,16,FALSE)-AVERAGE(Rankings!AO2:AO651))/STDEV(Rankings!AO2:AO651)*-1</f>
        <v>0.98482594690289571</v>
      </c>
      <c r="AI604" s="121">
        <f>IFERROR((VLOOKUP($A604,Pitchers!$A1:$S251,17,FALSE)-AVERAGE(Rankings!AP2:AP651))/STDEV(Rankings!AP2:AP651),0)</f>
        <v>-1.126133891603242</v>
      </c>
      <c r="AJ604" s="121">
        <f>(VLOOKUP($A604,Pitchers!$A1:$S251,18,FALSE)-AVERAGE(Rankings!AQ2:AQ651))/STDEV(Rankings!AQ2:AQ651)</f>
        <v>2.2870782465838362</v>
      </c>
      <c r="AK604" s="121">
        <f>IFERROR((VLOOKUP($A604,Pitchers!$A1:$S251,19,FALSE)-AVERAGE(Rankings!AR2:AR651))/STDEV(Rankings!AR2:AR651)*-1,0)</f>
        <v>-1.1567584843949572E-2</v>
      </c>
    </row>
    <row r="605" spans="1:37" ht="20.100000000000001" customHeight="1">
      <c r="A605" s="25" t="s">
        <v>497</v>
      </c>
      <c r="B605" s="26" t="s">
        <v>158</v>
      </c>
      <c r="C605" s="131" t="s">
        <v>34</v>
      </c>
      <c r="D605" s="67">
        <f>(V605*Settings!$G$2)+(Y605*Settings!$G$5)+(Z605*Settings!$G$6)+(AA605*Settings!$G$7)+(AB605*Settings!$G$8)+(AC605*Settings!$G$9)+(AD605*Settings!$G$10)+(AE605*Settings!$G$11)+(AF605*Settings!$G$12)+(AG605*Settings!$G$13)+(AH605*Settings!$G$14)+(AI605*Settings!$G$15)+(AJ605*Settings!$G$16)+(AK605*Settings!$G$17)+(W605*Settings!$G$3)+(X605*Settings!$G$4)</f>
        <v>-0.85538197128627713</v>
      </c>
      <c r="E605" s="67"/>
      <c r="F605" s="67"/>
      <c r="G605" s="67"/>
      <c r="H605" s="67"/>
      <c r="I605" s="67"/>
      <c r="J605" s="67"/>
      <c r="K605" s="73"/>
      <c r="L605" s="73"/>
      <c r="M605" s="67"/>
      <c r="N605" s="67"/>
      <c r="O605" s="67"/>
      <c r="P605" s="67"/>
      <c r="Q605" s="67"/>
      <c r="R605" s="73"/>
      <c r="S605" s="73"/>
      <c r="T605" s="67"/>
      <c r="U605" s="67"/>
      <c r="V605" s="121">
        <f>(VLOOKUP($A605,Pitchers!$A1:$S251,4,FALSE)-AVERAGE(Rankings!AC2:AC651))/STDEV(Rankings!AC2:AC651)</f>
        <v>-1.1286191583844969</v>
      </c>
      <c r="W605" s="121">
        <f>(VLOOKUP($A605,Pitchers!$A1:$S251,5,FALSE)-AVERAGE(Rankings!AD2:AD651))/STDEV(Rankings!AD2:AD651)*-1</f>
        <v>0.79098363288717199</v>
      </c>
      <c r="X605" s="121">
        <f>(VLOOKUP($A605,Pitchers!$A1:$S251,6,FALSE)-AVERAGE(Rankings!AE2:AE651))/STDEV(Rankings!AE2:AE651)*-1</f>
        <v>0.4449699655177522</v>
      </c>
      <c r="Y605" s="121">
        <f>(VLOOKUP($A605,Pitchers!$A1:$S251,7,FALSE)-AVERAGE(Rankings!AF2:AF651))/STDEV(Rankings!AF2:AF651)</f>
        <v>-0.89239751880743978</v>
      </c>
      <c r="Z605" s="121">
        <f>(VLOOKUP($A605,Pitchers!$A1:$S251,8,FALSE)-AVERAGE(Rankings!AG2:AG651))/STDEV(Rankings!AG2:AG651)</f>
        <v>-0.82448333987355649</v>
      </c>
      <c r="AA605" s="121">
        <f>(VLOOKUP($A605,Pitchers!$A1:$S251,9,FALSE)-AVERAGE(Rankings!AH2:AH651))/STDEV(Rankings!AH2:AH651)</f>
        <v>-0.37445471101020483</v>
      </c>
      <c r="AB605" s="121">
        <f>(VLOOKUP($A605,Pitchers!$A1:$S251,10,FALSE)-AVERAGE(Rankings!AI2:AI651))/STDEV(Rankings!AI2:AI651)*-1</f>
        <v>1.1627566924331116</v>
      </c>
      <c r="AC605" s="121">
        <f>(VLOOKUP($A605,Pitchers!$A1:$S251,11,FALSE)-AVERAGE(Rankings!AJ2:AJ651))/STDEV(Rankings!AJ2:AJ651)*-1</f>
        <v>1.099107595470405</v>
      </c>
      <c r="AD605" s="121">
        <f>(VLOOKUP($A605,Pitchers!$A1:$S251,12,FALSE)-AVERAGE(Rankings!AK2:AK651))/STDEV(Rankings!AK2:AK651)*-1</f>
        <v>1.1927853630965239</v>
      </c>
      <c r="AE605" s="121">
        <f>IFERROR((VLOOKUP($A605,Pitchers!$A1:$S251,13,FALSE)-AVERAGE(Rankings!AL2:AL651))/STDEV(Rankings!AL2:AL651)*-1,0)</f>
        <v>0.96456467797315026</v>
      </c>
      <c r="AF605" s="121">
        <f>(VLOOKUP($A605,Pitchers!$A1:$S251,14,FALSE)-AVERAGE(Rankings!AM2:AM651))/STDEV(Rankings!AM2:AM651)</f>
        <v>1.4616782607318553</v>
      </c>
      <c r="AG605" s="121">
        <f>(VLOOKUP($A605,Pitchers!$A1:$S251,15,FALSE)-AVERAGE(Rankings!AN2:AN651))/STDEV(Rankings!AN2:AN651)</f>
        <v>-1.2653418049058471</v>
      </c>
      <c r="AH605" s="121">
        <f>(VLOOKUP($A605,Pitchers!$A1:$S251,16,FALSE)-AVERAGE(Rankings!AO2:AO651))/STDEV(Rankings!AO2:AO651)*-1</f>
        <v>1.2979701353513646</v>
      </c>
      <c r="AI605" s="121">
        <f>IFERROR((VLOOKUP($A605,Pitchers!$A1:$S251,17,FALSE)-AVERAGE(Rankings!AP2:AP651))/STDEV(Rankings!AP2:AP651),0)</f>
        <v>-1.126133891603242</v>
      </c>
      <c r="AJ605" s="121">
        <f>(VLOOKUP($A605,Pitchers!$A1:$S251,18,FALSE)-AVERAGE(Rankings!AQ2:AQ651))/STDEV(Rankings!AQ2:AQ651)</f>
        <v>1.8854904335888398</v>
      </c>
      <c r="AK605" s="121">
        <f>IFERROR((VLOOKUP($A605,Pitchers!$A1:$S251,19,FALSE)-AVERAGE(Rankings!AR2:AR651))/STDEV(Rankings!AR2:AR651)*-1,0)</f>
        <v>-1.4575156903376447</v>
      </c>
    </row>
    <row r="606" spans="1:37" ht="20.100000000000001" customHeight="1">
      <c r="A606" s="25" t="s">
        <v>484</v>
      </c>
      <c r="B606" s="26" t="s">
        <v>72</v>
      </c>
      <c r="C606" s="131" t="s">
        <v>34</v>
      </c>
      <c r="D606" s="67">
        <f>(V606*Settings!$G$2)+(Y606*Settings!$G$5)+(Z606*Settings!$G$6)+(AA606*Settings!$G$7)+(AB606*Settings!$G$8)+(AC606*Settings!$G$9)+(AD606*Settings!$G$10)+(AE606*Settings!$G$11)+(AF606*Settings!$G$12)+(AG606*Settings!$G$13)+(AH606*Settings!$G$14)+(AI606*Settings!$G$15)+(AJ606*Settings!$G$16)+(AK606*Settings!$G$17)+(W606*Settings!$G$3)+(X606*Settings!$G$4)</f>
        <v>-0.70737366468295149</v>
      </c>
      <c r="E606" s="67"/>
      <c r="F606" s="67"/>
      <c r="G606" s="67"/>
      <c r="H606" s="67"/>
      <c r="I606" s="67"/>
      <c r="J606" s="67"/>
      <c r="K606" s="73"/>
      <c r="L606" s="73"/>
      <c r="M606" s="67"/>
      <c r="N606" s="67"/>
      <c r="O606" s="67"/>
      <c r="P606" s="67"/>
      <c r="Q606" s="67"/>
      <c r="R606" s="73"/>
      <c r="S606" s="73"/>
      <c r="T606" s="67"/>
      <c r="U606" s="67"/>
      <c r="V606" s="121">
        <f>(VLOOKUP($A606,Pitchers!$A1:$S251,4,FALSE)-AVERAGE(Rankings!AC2:AC651))/STDEV(Rankings!AC2:AC651)</f>
        <v>-1.1780200516192461</v>
      </c>
      <c r="W606" s="121">
        <f>(VLOOKUP($A606,Pitchers!$A1:$S251,5,FALSE)-AVERAGE(Rankings!AD2:AD651))/STDEV(Rankings!AD2:AD651)*-1</f>
        <v>0.45062634452988665</v>
      </c>
      <c r="X606" s="121">
        <f>(VLOOKUP($A606,Pitchers!$A1:$S251,6,FALSE)-AVERAGE(Rankings!AE2:AE651))/STDEV(Rankings!AE2:AE651)*-1</f>
        <v>0.29110342237284714</v>
      </c>
      <c r="Y606" s="121">
        <f>(VLOOKUP($A606,Pitchers!$A1:$S251,7,FALSE)-AVERAGE(Rankings!AF2:AF651))/STDEV(Rankings!AF2:AF651)</f>
        <v>-1.1937285276295873</v>
      </c>
      <c r="Z606" s="121">
        <f>(VLOOKUP($A606,Pitchers!$A1:$S251,8,FALSE)-AVERAGE(Rankings!AG2:AG651))/STDEV(Rankings!AG2:AG651)</f>
        <v>-0.64328307763732817</v>
      </c>
      <c r="AA606" s="121">
        <f>(VLOOKUP($A606,Pitchers!$A1:$S251,9,FALSE)-AVERAGE(Rankings!AH2:AH651))/STDEV(Rankings!AH2:AH651)</f>
        <v>0.38790817368123015</v>
      </c>
      <c r="AB606" s="121">
        <f>(VLOOKUP($A606,Pitchers!$A1:$S251,10,FALSE)-AVERAGE(Rankings!AI2:AI651))/STDEV(Rankings!AI2:AI651)*-1</f>
        <v>1.1507433767405613</v>
      </c>
      <c r="AC606" s="121">
        <f>(VLOOKUP($A606,Pitchers!$A1:$S251,11,FALSE)-AVERAGE(Rankings!AJ2:AJ651))/STDEV(Rankings!AJ2:AJ651)*-1</f>
        <v>1.1901044109843322</v>
      </c>
      <c r="AD606" s="121">
        <f>(VLOOKUP($A606,Pitchers!$A1:$S251,12,FALSE)-AVERAGE(Rankings!AK2:AK651))/STDEV(Rankings!AK2:AK651)*-1</f>
        <v>1.017056164932727</v>
      </c>
      <c r="AE606" s="121">
        <f>IFERROR((VLOOKUP($A606,Pitchers!$A1:$S251,13,FALSE)-AVERAGE(Rankings!AL2:AL651))/STDEV(Rankings!AL2:AL651)*-1,0)</f>
        <v>1.0975713903246602</v>
      </c>
      <c r="AF606" s="121">
        <f>(VLOOKUP($A606,Pitchers!$A1:$S251,14,FALSE)-AVERAGE(Rankings!AM2:AM651))/STDEV(Rankings!AM2:AM651)</f>
        <v>1.4180743708164796</v>
      </c>
      <c r="AG606" s="121">
        <f>(VLOOKUP($A606,Pitchers!$A1:$S251,15,FALSE)-AVERAGE(Rankings!AN2:AN651))/STDEV(Rankings!AN2:AN651)</f>
        <v>-1.2653418049058471</v>
      </c>
      <c r="AH606" s="121">
        <f>(VLOOKUP($A606,Pitchers!$A1:$S251,16,FALSE)-AVERAGE(Rankings!AO2:AO651))/STDEV(Rankings!AO2:AO651)*-1</f>
        <v>1.2729186002754871</v>
      </c>
      <c r="AI606" s="121">
        <f>IFERROR((VLOOKUP($A606,Pitchers!$A1:$S251,17,FALSE)-AVERAGE(Rankings!AP2:AP651))/STDEV(Rankings!AP2:AP651),0)</f>
        <v>-1.126133891603242</v>
      </c>
      <c r="AJ606" s="121">
        <f>(VLOOKUP($A606,Pitchers!$A1:$S251,18,FALSE)-AVERAGE(Rankings!AQ2:AQ651))/STDEV(Rankings!AQ2:AQ651)</f>
        <v>1.644537745791842</v>
      </c>
      <c r="AK606" s="121">
        <f>IFERROR((VLOOKUP($A606,Pitchers!$A1:$S251,19,FALSE)-AVERAGE(Rankings!AR2:AR651))/STDEV(Rankings!AR2:AR651)*-1,0)</f>
        <v>-0.97553298850641301</v>
      </c>
    </row>
    <row r="607" spans="1:37" ht="20.100000000000001" customHeight="1">
      <c r="A607" s="25" t="s">
        <v>533</v>
      </c>
      <c r="B607" s="26" t="s">
        <v>97</v>
      </c>
      <c r="C607" s="131" t="s">
        <v>34</v>
      </c>
      <c r="D607" s="67">
        <f>(V607*Settings!$G$2)+(Y607*Settings!$G$5)+(Z607*Settings!$G$6)+(AA607*Settings!$G$7)+(AB607*Settings!$G$8)+(AC607*Settings!$G$9)+(AD607*Settings!$G$10)+(AE607*Settings!$G$11)+(AF607*Settings!$G$12)+(AG607*Settings!$G$13)+(AH607*Settings!$G$14)+(AI607*Settings!$G$15)+(AJ607*Settings!$G$16)+(AK607*Settings!$G$17)+(W607*Settings!$G$3)+(X607*Settings!$G$4)</f>
        <v>-1.2811518930188166</v>
      </c>
      <c r="E607" s="67"/>
      <c r="F607" s="67"/>
      <c r="G607" s="67"/>
      <c r="H607" s="67"/>
      <c r="I607" s="67"/>
      <c r="J607" s="67"/>
      <c r="K607" s="73"/>
      <c r="L607" s="73"/>
      <c r="M607" s="67"/>
      <c r="N607" s="67"/>
      <c r="O607" s="67"/>
      <c r="P607" s="67"/>
      <c r="Q607" s="67"/>
      <c r="R607" s="73"/>
      <c r="S607" s="73"/>
      <c r="T607" s="67"/>
      <c r="U607" s="67"/>
      <c r="V607" s="121">
        <f>(VLOOKUP($A607,Pitchers!$A1:$S251,4,FALSE)-AVERAGE(Rankings!AC2:AC651))/STDEV(Rankings!AC2:AC651)</f>
        <v>-1.1744914163881925</v>
      </c>
      <c r="W607" s="121">
        <f>(VLOOKUP($A607,Pitchers!$A1:$S251,5,FALSE)-AVERAGE(Rankings!AD2:AD651))/STDEV(Rankings!AD2:AD651)*-1</f>
        <v>0.77070389461054445</v>
      </c>
      <c r="X607" s="121">
        <f>(VLOOKUP($A607,Pitchers!$A1:$S251,6,FALSE)-AVERAGE(Rankings!AE2:AE651))/STDEV(Rankings!AE2:AE651)*-1</f>
        <v>-0.36392669796211397</v>
      </c>
      <c r="Y607" s="121">
        <f>(VLOOKUP($A607,Pitchers!$A1:$S251,7,FALSE)-AVERAGE(Rankings!AF2:AF651))/STDEV(Rankings!AF2:AF651)</f>
        <v>-0.95484201702118587</v>
      </c>
      <c r="Z607" s="121">
        <f>(VLOOKUP($A607,Pitchers!$A1:$S251,8,FALSE)-AVERAGE(Rankings!AG2:AG651))/STDEV(Rankings!AG2:AG651)</f>
        <v>-1.0761503707572069</v>
      </c>
      <c r="AA607" s="121">
        <f>(VLOOKUP($A607,Pitchers!$A1:$S251,9,FALSE)-AVERAGE(Rankings!AH2:AH651))/STDEV(Rankings!AH2:AH651)</f>
        <v>0.34306329811114578</v>
      </c>
      <c r="AB607" s="121">
        <f>(VLOOKUP($A607,Pitchers!$A1:$S251,10,FALSE)-AVERAGE(Rankings!AI2:AI651))/STDEV(Rankings!AI2:AI651)*-1</f>
        <v>1.1957933105876255</v>
      </c>
      <c r="AC607" s="121">
        <f>(VLOOKUP($A607,Pitchers!$A1:$S251,11,FALSE)-AVERAGE(Rankings!AJ2:AJ651))/STDEV(Rankings!AJ2:AJ651)*-1</f>
        <v>1.2235173041808522</v>
      </c>
      <c r="AD607" s="121">
        <f>(VLOOKUP($A607,Pitchers!$A1:$S251,12,FALSE)-AVERAGE(Rankings!AK2:AK651))/STDEV(Rankings!AK2:AK651)*-1</f>
        <v>0.61678410244852377</v>
      </c>
      <c r="AE607" s="121">
        <f>IFERROR((VLOOKUP($A607,Pitchers!$A1:$S251,13,FALSE)-AVERAGE(Rankings!AL2:AL651))/STDEV(Rankings!AL2:AL651)*-1,0)</f>
        <v>1.0975713903246602</v>
      </c>
      <c r="AF607" s="121">
        <f>(VLOOKUP($A607,Pitchers!$A1:$S251,14,FALSE)-AVERAGE(Rankings!AM2:AM651))/STDEV(Rankings!AM2:AM651)</f>
        <v>0.96023352670503215</v>
      </c>
      <c r="AG607" s="121">
        <f>(VLOOKUP($A607,Pitchers!$A1:$S251,15,FALSE)-AVERAGE(Rankings!AN2:AN651))/STDEV(Rankings!AN2:AN651)</f>
        <v>-1.2653418049058471</v>
      </c>
      <c r="AH607" s="121">
        <f>(VLOOKUP($A607,Pitchers!$A1:$S251,16,FALSE)-AVERAGE(Rankings!AO2:AO651))/STDEV(Rankings!AO2:AO651)*-1</f>
        <v>1.1977639950478545</v>
      </c>
      <c r="AI607" s="121">
        <f>IFERROR((VLOOKUP($A607,Pitchers!$A1:$S251,17,FALSE)-AVERAGE(Rankings!AP2:AP651))/STDEV(Rankings!AP2:AP651),0)</f>
        <v>-1.126133891603242</v>
      </c>
      <c r="AJ607" s="121">
        <f>(VLOOKUP($A607,Pitchers!$A1:$S251,18,FALSE)-AVERAGE(Rankings!AQ2:AQ651))/STDEV(Rankings!AQ2:AQ651)</f>
        <v>1.0823148075988469</v>
      </c>
      <c r="AK607" s="121">
        <f>IFERROR((VLOOKUP($A607,Pitchers!$A1:$S251,19,FALSE)-AVERAGE(Rankings!AR2:AR651))/STDEV(Rankings!AR2:AR651)*-1,0)</f>
        <v>-1.1567584843949572E-2</v>
      </c>
    </row>
    <row r="608" spans="1:37" ht="20.100000000000001" customHeight="1">
      <c r="A608" s="25" t="s">
        <v>531</v>
      </c>
      <c r="B608" s="26" t="s">
        <v>92</v>
      </c>
      <c r="C608" s="131" t="s">
        <v>34</v>
      </c>
      <c r="D608" s="67">
        <f>(V608*Settings!$G$2)+(Y608*Settings!$G$5)+(Z608*Settings!$G$6)+(AA608*Settings!$G$7)+(AB608*Settings!$G$8)+(AC608*Settings!$G$9)+(AD608*Settings!$G$10)+(AE608*Settings!$G$11)+(AF608*Settings!$G$12)+(AG608*Settings!$G$13)+(AH608*Settings!$G$14)+(AI608*Settings!$G$15)+(AJ608*Settings!$G$16)+(AK608*Settings!$G$17)+(W608*Settings!$G$3)+(X608*Settings!$G$4)</f>
        <v>-1.2438389590570655</v>
      </c>
      <c r="E608" s="67"/>
      <c r="F608" s="67"/>
      <c r="G608" s="67"/>
      <c r="H608" s="67"/>
      <c r="I608" s="67"/>
      <c r="J608" s="67"/>
      <c r="K608" s="73"/>
      <c r="L608" s="73"/>
      <c r="M608" s="67"/>
      <c r="N608" s="67"/>
      <c r="O608" s="67"/>
      <c r="P608" s="67"/>
      <c r="Q608" s="67"/>
      <c r="R608" s="73"/>
      <c r="S608" s="73"/>
      <c r="T608" s="67"/>
      <c r="U608" s="67"/>
      <c r="V608" s="121">
        <f>(VLOOKUP($A608,Pitchers!$A1:$S251,4,FALSE)-AVERAGE(Rankings!AC2:AC651))/STDEV(Rankings!AC2:AC651)</f>
        <v>-1.2556500267024235</v>
      </c>
      <c r="W608" s="121">
        <f>(VLOOKUP($A608,Pitchers!$A1:$S251,5,FALSE)-AVERAGE(Rankings!AD2:AD651))/STDEV(Rankings!AD2:AD651)*-1</f>
        <v>0.42022443797975861</v>
      </c>
      <c r="X608" s="121">
        <f>(VLOOKUP($A608,Pitchers!$A1:$S251,6,FALSE)-AVERAGE(Rankings!AE2:AE651))/STDEV(Rankings!AE2:AE651)*-1</f>
        <v>-0.5277442498494308</v>
      </c>
      <c r="Y608" s="121">
        <f>(VLOOKUP($A608,Pitchers!$A1:$S251,7,FALSE)-AVERAGE(Rankings!AF2:AF651))/STDEV(Rankings!AF2:AF651)</f>
        <v>-1.122570843618574</v>
      </c>
      <c r="Z608" s="121">
        <f>(VLOOKUP($A608,Pitchers!$A1:$S251,8,FALSE)-AVERAGE(Rankings!AG2:AG651))/STDEV(Rankings!AG2:AG651)</f>
        <v>-0.89495010852097845</v>
      </c>
      <c r="AA608" s="121">
        <f>(VLOOKUP($A608,Pitchers!$A1:$S251,9,FALSE)-AVERAGE(Rankings!AH2:AH651))/STDEV(Rankings!AH2:AH651)</f>
        <v>0.88120180495215883</v>
      </c>
      <c r="AB608" s="121">
        <f>(VLOOKUP($A608,Pitchers!$A1:$S251,10,FALSE)-AVERAGE(Rankings!AI2:AI651))/STDEV(Rankings!AI2:AI651)*-1</f>
        <v>1.2108099552033136</v>
      </c>
      <c r="AC608" s="121">
        <f>(VLOOKUP($A608,Pitchers!$A1:$S251,11,FALSE)-AVERAGE(Rankings!AJ2:AJ651))/STDEV(Rankings!AJ2:AJ651)*-1</f>
        <v>1.2213845663172447</v>
      </c>
      <c r="AD608" s="121">
        <f>(VLOOKUP($A608,Pitchers!$A1:$S251,12,FALSE)-AVERAGE(Rankings!AK2:AK651))/STDEV(Rankings!AK2:AK651)*-1</f>
        <v>0.91210678269601531</v>
      </c>
      <c r="AE608" s="121">
        <f>IFERROR((VLOOKUP($A608,Pitchers!$A1:$S251,13,FALSE)-AVERAGE(Rankings!AL2:AL651))/STDEV(Rankings!AL2:AL651)*-1,0)</f>
        <v>1.0975713903246602</v>
      </c>
      <c r="AF608" s="121">
        <f>(VLOOKUP($A608,Pitchers!$A1:$S251,14,FALSE)-AVERAGE(Rankings!AM2:AM651))/STDEV(Rankings!AM2:AM651)</f>
        <v>1.09104519645116</v>
      </c>
      <c r="AG608" s="121">
        <f>(VLOOKUP($A608,Pitchers!$A1:$S251,15,FALSE)-AVERAGE(Rankings!AN2:AN651))/STDEV(Rankings!AN2:AN651)</f>
        <v>-1.2653418049058471</v>
      </c>
      <c r="AH608" s="121">
        <f>(VLOOKUP($A608,Pitchers!$A1:$S251,16,FALSE)-AVERAGE(Rankings!AO2:AO651))/STDEV(Rankings!AO2:AO651)*-1</f>
        <v>1.1226093898202221</v>
      </c>
      <c r="AI608" s="121">
        <f>IFERROR((VLOOKUP($A608,Pitchers!$A1:$S251,17,FALSE)-AVERAGE(Rankings!AP2:AP651))/STDEV(Rankings!AP2:AP651),0)</f>
        <v>-1.126133891603242</v>
      </c>
      <c r="AJ608" s="121">
        <f>(VLOOKUP($A608,Pitchers!$A1:$S251,18,FALSE)-AVERAGE(Rankings!AQ2:AQ651))/STDEV(Rankings!AQ2:AQ651)</f>
        <v>1.1626323701978463</v>
      </c>
      <c r="AK608" s="121">
        <f>IFERROR((VLOOKUP($A608,Pitchers!$A1:$S251,19,FALSE)-AVERAGE(Rankings!AR2:AR651))/STDEV(Rankings!AR2:AR651)*-1,0)</f>
        <v>-0.4935502866751813</v>
      </c>
    </row>
    <row r="609" spans="1:37" ht="20.100000000000001" customHeight="1">
      <c r="A609" s="25" t="s">
        <v>530</v>
      </c>
      <c r="B609" s="26" t="s">
        <v>79</v>
      </c>
      <c r="C609" s="131" t="s">
        <v>34</v>
      </c>
      <c r="D609" s="67">
        <f>(V609*Settings!$G$2)+(Y609*Settings!$G$5)+(Z609*Settings!$G$6)+(AA609*Settings!$G$7)+(AB609*Settings!$G$8)+(AC609*Settings!$G$9)+(AD609*Settings!$G$10)+(AE609*Settings!$G$11)+(AF609*Settings!$G$12)+(AG609*Settings!$G$13)+(AH609*Settings!$G$14)+(AI609*Settings!$G$15)+(AJ609*Settings!$G$16)+(AK609*Settings!$G$17)+(W609*Settings!$G$3)+(X609*Settings!$G$4)</f>
        <v>-1.2404063137033476</v>
      </c>
      <c r="E609" s="67"/>
      <c r="F609" s="67"/>
      <c r="G609" s="67"/>
      <c r="H609" s="67"/>
      <c r="I609" s="67"/>
      <c r="J609" s="67"/>
      <c r="K609" s="73"/>
      <c r="L609" s="73"/>
      <c r="M609" s="67"/>
      <c r="N609" s="67"/>
      <c r="O609" s="67"/>
      <c r="P609" s="67"/>
      <c r="Q609" s="67"/>
      <c r="R609" s="73"/>
      <c r="S609" s="73"/>
      <c r="T609" s="67"/>
      <c r="U609" s="67"/>
      <c r="V609" s="121">
        <f>(VLOOKUP($A609,Pitchers!$A1:$S251,4,FALSE)-AVERAGE(Rankings!AC2:AC651))/STDEV(Rankings!AC2:AC651)</f>
        <v>-1.0665151783179549</v>
      </c>
      <c r="W609" s="121">
        <f>(VLOOKUP($A609,Pitchers!$A1:$S251,5,FALSE)-AVERAGE(Rankings!AD2:AD651))/STDEV(Rankings!AD2:AD651)*-1</f>
        <v>0.19782915535563586</v>
      </c>
      <c r="X609" s="121">
        <f>(VLOOKUP($A609,Pitchers!$A1:$S251,6,FALSE)-AVERAGE(Rankings!AE2:AE651))/STDEV(Rankings!AE2:AE651)*-1</f>
        <v>-1.4782270122530779E-2</v>
      </c>
      <c r="Y609" s="121">
        <f>(VLOOKUP($A609,Pitchers!$A1:$S251,7,FALSE)-AVERAGE(Rankings!AF2:AF651))/STDEV(Rankings!AF2:AF651)</f>
        <v>-1.0848137051637508</v>
      </c>
      <c r="Z609" s="121">
        <f>(VLOOKUP($A609,Pitchers!$A1:$S251,8,FALSE)-AVERAGE(Rankings!AG2:AG651))/STDEV(Rankings!AG2:AG651)</f>
        <v>-0.99561692087443865</v>
      </c>
      <c r="AA609" s="121">
        <f>(VLOOKUP($A609,Pitchers!$A1:$S251,9,FALSE)-AVERAGE(Rankings!AH2:AH651))/STDEV(Rankings!AH2:AH651)</f>
        <v>0.65697742710173679</v>
      </c>
      <c r="AB609" s="121">
        <f>(VLOOKUP($A609,Pitchers!$A1:$S251,10,FALSE)-AVERAGE(Rankings!AI2:AI651))/STDEV(Rankings!AI2:AI651)*-1</f>
        <v>1.017095239660937</v>
      </c>
      <c r="AC609" s="121">
        <f>(VLOOKUP($A609,Pitchers!$A1:$S251,11,FALSE)-AVERAGE(Rankings!AJ2:AJ651))/STDEV(Rankings!AJ2:AJ651)*-1</f>
        <v>0.99744709063843962</v>
      </c>
      <c r="AD609" s="121">
        <f>(VLOOKUP($A609,Pitchers!$A1:$S251,12,FALSE)-AVERAGE(Rankings!AK2:AK651))/STDEV(Rankings!AK2:AK651)*-1</f>
        <v>1.0829546142441508</v>
      </c>
      <c r="AE609" s="121">
        <f>IFERROR((VLOOKUP($A609,Pitchers!$A1:$S251,13,FALSE)-AVERAGE(Rankings!AL2:AL651))/STDEV(Rankings!AL2:AL651)*-1,0)</f>
        <v>1.0975713903246602</v>
      </c>
      <c r="AF609" s="121">
        <f>(VLOOKUP($A609,Pitchers!$A1:$S251,14,FALSE)-AVERAGE(Rankings!AM2:AM651))/STDEV(Rankings!AM2:AM651)</f>
        <v>1.4180743708164796</v>
      </c>
      <c r="AG609" s="121">
        <f>(VLOOKUP($A609,Pitchers!$A1:$S251,15,FALSE)-AVERAGE(Rankings!AN2:AN651))/STDEV(Rankings!AN2:AN651)</f>
        <v>-1.2653418049058471</v>
      </c>
      <c r="AH609" s="121">
        <f>(VLOOKUP($A609,Pitchers!$A1:$S251,16,FALSE)-AVERAGE(Rankings!AO2:AO651))/STDEV(Rankings!AO2:AO651)*-1</f>
        <v>1.1351351573581607</v>
      </c>
      <c r="AI609" s="121">
        <f>IFERROR((VLOOKUP($A609,Pitchers!$A1:$S251,17,FALSE)-AVERAGE(Rankings!AP2:AP651))/STDEV(Rankings!AP2:AP651),0)</f>
        <v>-1.126133891603242</v>
      </c>
      <c r="AJ609" s="121">
        <f>(VLOOKUP($A609,Pitchers!$A1:$S251,18,FALSE)-AVERAGE(Rankings!AQ2:AQ651))/STDEV(Rankings!AQ2:AQ651)</f>
        <v>1.8854904335888398</v>
      </c>
      <c r="AK609" s="121">
        <f>IFERROR((VLOOKUP($A609,Pitchers!$A1:$S251,19,FALSE)-AVERAGE(Rankings!AR2:AR651))/STDEV(Rankings!AR2:AR651)*-1,0)</f>
        <v>-0.97553298850641301</v>
      </c>
    </row>
    <row r="610" spans="1:37" ht="20.100000000000001" customHeight="1">
      <c r="A610" s="25" t="s">
        <v>526</v>
      </c>
      <c r="B610" s="26" t="s">
        <v>105</v>
      </c>
      <c r="C610" s="131" t="s">
        <v>34</v>
      </c>
      <c r="D610" s="67">
        <f>(V610*Settings!$G$2)+(Y610*Settings!$G$5)+(Z610*Settings!$G$6)+(AA610*Settings!$G$7)+(AB610*Settings!$G$8)+(AC610*Settings!$G$9)+(AD610*Settings!$G$10)+(AE610*Settings!$G$11)+(AF610*Settings!$G$12)+(AG610*Settings!$G$13)+(AH610*Settings!$G$14)+(AI610*Settings!$G$15)+(AJ610*Settings!$G$16)+(AK610*Settings!$G$17)+(W610*Settings!$G$3)+(X610*Settings!$G$4)</f>
        <v>-1.202838321991869</v>
      </c>
      <c r="E610" s="67"/>
      <c r="F610" s="67"/>
      <c r="G610" s="67"/>
      <c r="H610" s="67"/>
      <c r="I610" s="67"/>
      <c r="J610" s="67"/>
      <c r="K610" s="73"/>
      <c r="L610" s="73"/>
      <c r="M610" s="67"/>
      <c r="N610" s="67"/>
      <c r="O610" s="67"/>
      <c r="P610" s="67"/>
      <c r="Q610" s="67"/>
      <c r="R610" s="73"/>
      <c r="S610" s="73"/>
      <c r="T610" s="67"/>
      <c r="U610" s="67"/>
      <c r="V610" s="121">
        <f>(VLOOKUP($A610,Pitchers!$A1:$S251,4,FALSE)-AVERAGE(Rankings!AC2:AC651))/STDEV(Rankings!AC2:AC651)</f>
        <v>-0.94160149113866054</v>
      </c>
      <c r="W610" s="121">
        <f>(VLOOKUP($A610,Pitchers!$A1:$S251,5,FALSE)-AVERAGE(Rankings!AD2:AD651))/STDEV(Rankings!AD2:AD651)*-1</f>
        <v>0.56359121996737205</v>
      </c>
      <c r="X610" s="121">
        <f>(VLOOKUP($A610,Pitchers!$A1:$S251,6,FALSE)-AVERAGE(Rankings!AE2:AE651))/STDEV(Rankings!AE2:AE651)*-1</f>
        <v>7.6290396707011279E-2</v>
      </c>
      <c r="Y610" s="121">
        <f>(VLOOKUP($A610,Pitchers!$A1:$S251,7,FALSE)-AVERAGE(Rankings!AF2:AF651))/STDEV(Rankings!AF2:AF651)</f>
        <v>-0.89820630933895107</v>
      </c>
      <c r="Z610" s="121">
        <f>(VLOOKUP($A610,Pitchers!$A1:$S251,8,FALSE)-AVERAGE(Rankings!AG2:AG651))/STDEV(Rankings!AG2:AG651)</f>
        <v>-0.79428329616751836</v>
      </c>
      <c r="AA610" s="121">
        <f>(VLOOKUP($A610,Pitchers!$A1:$S251,9,FALSE)-AVERAGE(Rankings!AH2:AH651))/STDEV(Rankings!AH2:AH651)</f>
        <v>-0.15023033315978274</v>
      </c>
      <c r="AB610" s="121">
        <f>(VLOOKUP($A610,Pitchers!$A1:$S251,10,FALSE)-AVERAGE(Rankings!AI2:AI651))/STDEV(Rankings!AI2:AI651)*-1</f>
        <v>0.97504863473700998</v>
      </c>
      <c r="AC610" s="121">
        <f>(VLOOKUP($A610,Pitchers!$A1:$S251,11,FALSE)-AVERAGE(Rankings!AJ2:AJ651))/STDEV(Rankings!AJ2:AJ651)*-1</f>
        <v>0.92209035279096863</v>
      </c>
      <c r="AD610" s="121">
        <f>(VLOOKUP($A610,Pitchers!$A1:$S251,12,FALSE)-AVERAGE(Rankings!AK2:AK651))/STDEV(Rankings!AK2:AK651)*-1</f>
        <v>0.86085243323157468</v>
      </c>
      <c r="AE610" s="121">
        <f>IFERROR((VLOOKUP($A610,Pitchers!$A1:$S251,13,FALSE)-AVERAGE(Rankings!AL2:AL651))/STDEV(Rankings!AL2:AL651)*-1,0)</f>
        <v>0.96456467797315026</v>
      </c>
      <c r="AF610" s="121">
        <f>(VLOOKUP($A610,Pitchers!$A1:$S251,14,FALSE)-AVERAGE(Rankings!AM2:AM651))/STDEV(Rankings!AM2:AM651)</f>
        <v>-9.4980609247065931E-2</v>
      </c>
      <c r="AG610" s="121">
        <f>(VLOOKUP($A610,Pitchers!$A1:$S251,15,FALSE)-AVERAGE(Rankings!AN2:AN651))/STDEV(Rankings!AN2:AN651)</f>
        <v>-0.77446758318918818</v>
      </c>
      <c r="AH610" s="121">
        <f>(VLOOKUP($A610,Pitchers!$A1:$S251,16,FALSE)-AVERAGE(Rankings!AO2:AO651))/STDEV(Rankings!AO2:AO651)*-1</f>
        <v>0.85956827152350834</v>
      </c>
      <c r="AI610" s="121">
        <f>IFERROR((VLOOKUP($A610,Pitchers!$A1:$S251,17,FALSE)-AVERAGE(Rankings!AP2:AP651))/STDEV(Rankings!AP2:AP651),0)</f>
        <v>-0.8395858275820608</v>
      </c>
      <c r="AJ610" s="121">
        <f>(VLOOKUP($A610,Pitchers!$A1:$S251,18,FALSE)-AVERAGE(Rankings!AQ2:AQ651))/STDEV(Rankings!AQ2:AQ651)</f>
        <v>0.19882161900985482</v>
      </c>
      <c r="AK610" s="121">
        <f>IFERROR((VLOOKUP($A610,Pitchers!$A1:$S251,19,FALSE)-AVERAGE(Rankings!AR2:AR651))/STDEV(Rankings!AR2:AR651)*-1,0)</f>
        <v>-0.4935502866751813</v>
      </c>
    </row>
    <row r="611" spans="1:37" ht="20.100000000000001" customHeight="1">
      <c r="A611" s="25" t="s">
        <v>580</v>
      </c>
      <c r="B611" s="26" t="s">
        <v>77</v>
      </c>
      <c r="C611" s="131" t="s">
        <v>34</v>
      </c>
      <c r="D611" s="67">
        <f>(V611*Settings!$G$2)+(Y611*Settings!$G$5)+(Z611*Settings!$G$6)+(AA611*Settings!$G$7)+(AB611*Settings!$G$8)+(AC611*Settings!$G$9)+(AD611*Settings!$G$10)+(AE611*Settings!$G$11)+(AF611*Settings!$G$12)+(AG611*Settings!$G$13)+(AH611*Settings!$G$14)+(AI611*Settings!$G$15)+(AJ611*Settings!$G$16)+(AK611*Settings!$G$17)+(W611*Settings!$G$3)+(X611*Settings!$G$4)</f>
        <v>-1.8685212432148597</v>
      </c>
      <c r="E611" s="67"/>
      <c r="F611" s="67"/>
      <c r="G611" s="67"/>
      <c r="H611" s="67"/>
      <c r="I611" s="67"/>
      <c r="J611" s="67"/>
      <c r="K611" s="73"/>
      <c r="L611" s="73"/>
      <c r="M611" s="67"/>
      <c r="N611" s="67"/>
      <c r="O611" s="67"/>
      <c r="P611" s="67"/>
      <c r="Q611" s="67"/>
      <c r="R611" s="73"/>
      <c r="S611" s="73"/>
      <c r="T611" s="67"/>
      <c r="U611" s="67"/>
      <c r="V611" s="121">
        <f>(VLOOKUP($A611,Pitchers!$A1:$S251,4,FALSE)-AVERAGE(Rankings!AC2:AC651))/STDEV(Rankings!AC2:AC651)</f>
        <v>-0.90702086587433628</v>
      </c>
      <c r="W611" s="121">
        <f>(VLOOKUP($A611,Pitchers!$A1:$S251,5,FALSE)-AVERAGE(Rankings!AD2:AD651))/STDEV(Rankings!AD2:AD651)*-1</f>
        <v>0.29893869902131948</v>
      </c>
      <c r="X611" s="121">
        <f>(VLOOKUP($A611,Pitchers!$A1:$S251,6,FALSE)-AVERAGE(Rankings!AE2:AE651))/STDEV(Rankings!AE2:AE651)*-1</f>
        <v>-0.46876849235637941</v>
      </c>
      <c r="Y611" s="121">
        <f>(VLOOKUP($A611,Pitchers!$A1:$S251,7,FALSE)-AVERAGE(Rankings!AF2:AF651))/STDEV(Rankings!AF2:AF651)</f>
        <v>-0.65351100819903862</v>
      </c>
      <c r="Z611" s="121">
        <f>(VLOOKUP($A611,Pitchers!$A1:$S251,8,FALSE)-AVERAGE(Rankings!AG2:AG651))/STDEV(Rankings!AG2:AG651)</f>
        <v>-0.89495010852097845</v>
      </c>
      <c r="AA611" s="121">
        <f>(VLOOKUP($A611,Pitchers!$A1:$S251,9,FALSE)-AVERAGE(Rankings!AH2:AH651))/STDEV(Rankings!AH2:AH651)</f>
        <v>-0.15023033315978274</v>
      </c>
      <c r="AB611" s="121">
        <f>(VLOOKUP($A611,Pitchers!$A1:$S251,10,FALSE)-AVERAGE(Rankings!AI2:AI651))/STDEV(Rankings!AI2:AI651)*-1</f>
        <v>0.89846374719700073</v>
      </c>
      <c r="AC611" s="121">
        <f>(VLOOKUP($A611,Pitchers!$A1:$S251,11,FALSE)-AVERAGE(Rankings!AJ2:AJ651))/STDEV(Rankings!AJ2:AJ651)*-1</f>
        <v>0.84175722659508001</v>
      </c>
      <c r="AD611" s="121">
        <f>(VLOOKUP($A611,Pitchers!$A1:$S251,12,FALSE)-AVERAGE(Rankings!AK2:AK651))/STDEV(Rankings!AK2:AK651)*-1</f>
        <v>0.7168521180695745</v>
      </c>
      <c r="AE611" s="121">
        <f>IFERROR((VLOOKUP($A611,Pitchers!$A1:$S251,13,FALSE)-AVERAGE(Rankings!AL2:AL651))/STDEV(Rankings!AL2:AL651)*-1,0)</f>
        <v>1.0975713903246602</v>
      </c>
      <c r="AF611" s="121">
        <f>(VLOOKUP($A611,Pitchers!$A1:$S251,14,FALSE)-AVERAGE(Rankings!AM2:AM651))/STDEV(Rankings!AM2:AM651)</f>
        <v>1.5488860405626073</v>
      </c>
      <c r="AG611" s="121">
        <f>(VLOOKUP($A611,Pitchers!$A1:$S251,15,FALSE)-AVERAGE(Rankings!AN2:AN651))/STDEV(Rankings!AN2:AN651)</f>
        <v>-1.2393696238626377</v>
      </c>
      <c r="AH611" s="121">
        <f>(VLOOKUP($A611,Pitchers!$A1:$S251,16,FALSE)-AVERAGE(Rankings!AO2:AO651))/STDEV(Rankings!AO2:AO651)*-1</f>
        <v>1.1351351573581607</v>
      </c>
      <c r="AI611" s="121">
        <f>IFERROR((VLOOKUP($A611,Pitchers!$A1:$S251,17,FALSE)-AVERAGE(Rankings!AP2:AP651))/STDEV(Rankings!AP2:AP651),0)</f>
        <v>-1.126133891603242</v>
      </c>
      <c r="AJ611" s="121">
        <f>(VLOOKUP($A611,Pitchers!$A1:$S251,18,FALSE)-AVERAGE(Rankings!AQ2:AQ651))/STDEV(Rankings!AQ2:AQ651)</f>
        <v>1.8051728709898405</v>
      </c>
      <c r="AK611" s="121">
        <f>IFERROR((VLOOKUP($A611,Pitchers!$A1:$S251,19,FALSE)-AVERAGE(Rankings!AR2:AR651))/STDEV(Rankings!AR2:AR651)*-1,0)</f>
        <v>0.47041511698728217</v>
      </c>
    </row>
    <row r="612" spans="1:37" ht="20.100000000000001" customHeight="1">
      <c r="A612" s="25" t="s">
        <v>551</v>
      </c>
      <c r="B612" s="26" t="s">
        <v>79</v>
      </c>
      <c r="C612" s="131" t="s">
        <v>34</v>
      </c>
      <c r="D612" s="67">
        <f>(V612*Settings!$G$2)+(Y612*Settings!$G$5)+(Z612*Settings!$G$6)+(AA612*Settings!$G$7)+(AB612*Settings!$G$8)+(AC612*Settings!$G$9)+(AD612*Settings!$G$10)+(AE612*Settings!$G$11)+(AF612*Settings!$G$12)+(AG612*Settings!$G$13)+(AH612*Settings!$G$14)+(AI612*Settings!$G$15)+(AJ612*Settings!$G$16)+(AK612*Settings!$G$17)+(W612*Settings!$G$3)+(X612*Settings!$G$4)</f>
        <v>-1.4453032667207504</v>
      </c>
      <c r="E612" s="67"/>
      <c r="F612" s="67"/>
      <c r="G612" s="67"/>
      <c r="H612" s="67"/>
      <c r="I612" s="67"/>
      <c r="J612" s="67"/>
      <c r="K612" s="73"/>
      <c r="L612" s="73"/>
      <c r="M612" s="67"/>
      <c r="N612" s="67"/>
      <c r="O612" s="67"/>
      <c r="P612" s="67"/>
      <c r="Q612" s="67"/>
      <c r="R612" s="73"/>
      <c r="S612" s="73"/>
      <c r="T612" s="67"/>
      <c r="U612" s="67"/>
      <c r="V612" s="121">
        <f>(VLOOKUP($A612,Pitchers!$A1:$S251,4,FALSE)-AVERAGE(Rankings!AC2:AC651))/STDEV(Rankings!AC2:AC651)</f>
        <v>-1.1159160715527043</v>
      </c>
      <c r="W612" s="121">
        <f>(VLOOKUP($A612,Pitchers!$A1:$S251,5,FALSE)-AVERAGE(Rankings!AD2:AD651))/STDEV(Rankings!AD2:AD651)*-1</f>
        <v>1.1508439047456189</v>
      </c>
      <c r="X612" s="121">
        <f>(VLOOKUP($A612,Pitchers!$A1:$S251,6,FALSE)-AVERAGE(Rankings!AE2:AE651))/STDEV(Rankings!AE2:AE651)*-1</f>
        <v>-0.56155913488029274</v>
      </c>
      <c r="Y612" s="121">
        <f>(VLOOKUP($A612,Pitchers!$A1:$S251,7,FALSE)-AVERAGE(Rankings!AF2:AF651))/STDEV(Rankings!AF2:AF651)</f>
        <v>-0.80453956201833188</v>
      </c>
      <c r="Z612" s="121">
        <f>(VLOOKUP($A612,Pitchers!$A1:$S251,8,FALSE)-AVERAGE(Rankings!AG2:AG651))/STDEV(Rankings!AG2:AG651)</f>
        <v>-0.94528351469770866</v>
      </c>
      <c r="AA612" s="121">
        <f>(VLOOKUP($A612,Pitchers!$A1:$S251,9,FALSE)-AVERAGE(Rankings!AH2:AH651))/STDEV(Rankings!AH2:AH651)</f>
        <v>-0.28476495987003597</v>
      </c>
      <c r="AB612" s="121">
        <f>(VLOOKUP($A612,Pitchers!$A1:$S251,10,FALSE)-AVERAGE(Rankings!AI2:AI651))/STDEV(Rankings!AI2:AI651)*-1</f>
        <v>1.209308290741745</v>
      </c>
      <c r="AC612" s="121">
        <f>(VLOOKUP($A612,Pitchers!$A1:$S251,11,FALSE)-AVERAGE(Rankings!AJ2:AJ651))/STDEV(Rankings!AJ2:AJ651)*-1</f>
        <v>1.1374968770153431</v>
      </c>
      <c r="AD612" s="121">
        <f>(VLOOKUP($A612,Pitchers!$A1:$S251,12,FALSE)-AVERAGE(Rankings!AK2:AK651))/STDEV(Rankings!AK2:AK651)*-1</f>
        <v>0.5728518029075742</v>
      </c>
      <c r="AE612" s="121">
        <f>IFERROR((VLOOKUP($A612,Pitchers!$A1:$S251,13,FALSE)-AVERAGE(Rankings!AL2:AL651))/STDEV(Rankings!AL2:AL651)*-1,0)</f>
        <v>1.2305781026761702</v>
      </c>
      <c r="AF612" s="121">
        <f>(VLOOKUP($A612,Pitchers!$A1:$S251,14,FALSE)-AVERAGE(Rankings!AM2:AM651))/STDEV(Rankings!AM2:AM651)</f>
        <v>1.0474413065357837</v>
      </c>
      <c r="AG612" s="121">
        <f>(VLOOKUP($A612,Pitchers!$A1:$S251,15,FALSE)-AVERAGE(Rankings!AN2:AN651))/STDEV(Rankings!AN2:AN651)</f>
        <v>-1.2653418049058471</v>
      </c>
      <c r="AH612" s="121">
        <f>(VLOOKUP($A612,Pitchers!$A1:$S251,16,FALSE)-AVERAGE(Rankings!AO2:AO651))/STDEV(Rankings!AO2:AO651)*-1</f>
        <v>1.4858566484204458</v>
      </c>
      <c r="AI612" s="121">
        <f>IFERROR((VLOOKUP($A612,Pitchers!$A1:$S251,17,FALSE)-AVERAGE(Rankings!AP2:AP651))/STDEV(Rankings!AP2:AP651),0)</f>
        <v>-1.126133891603242</v>
      </c>
      <c r="AJ612" s="121">
        <f>(VLOOKUP($A612,Pitchers!$A1:$S251,18,FALSE)-AVERAGE(Rankings!AQ2:AQ651))/STDEV(Rankings!AQ2:AQ651)</f>
        <v>1.0019972449998475</v>
      </c>
      <c r="AK612" s="121">
        <f>IFERROR((VLOOKUP($A612,Pitchers!$A1:$S251,19,FALSE)-AVERAGE(Rankings!AR2:AR651))/STDEV(Rankings!AR2:AR651)*-1,0)</f>
        <v>0.47041511698728217</v>
      </c>
    </row>
    <row r="613" spans="1:37" ht="20.100000000000001" customHeight="1">
      <c r="A613" s="25" t="s">
        <v>482</v>
      </c>
      <c r="B613" s="26" t="s">
        <v>105</v>
      </c>
      <c r="C613" s="131" t="s">
        <v>34</v>
      </c>
      <c r="D613" s="67">
        <f>(V613*Settings!$G$2)+(Y613*Settings!$G$5)+(Z613*Settings!$G$6)+(AA613*Settings!$G$7)+(AB613*Settings!$G$8)+(AC613*Settings!$G$9)+(AD613*Settings!$G$10)+(AE613*Settings!$G$11)+(AF613*Settings!$G$12)+(AG613*Settings!$G$13)+(AH613*Settings!$G$14)+(AI613*Settings!$G$15)+(AJ613*Settings!$G$16)+(AK613*Settings!$G$17)+(W613*Settings!$G$3)+(X613*Settings!$G$4)</f>
        <v>-0.66612874258707255</v>
      </c>
      <c r="E613" s="67"/>
      <c r="F613" s="67"/>
      <c r="G613" s="67"/>
      <c r="H613" s="67"/>
      <c r="I613" s="67"/>
      <c r="J613" s="67"/>
      <c r="K613" s="73"/>
      <c r="L613" s="73"/>
      <c r="M613" s="67"/>
      <c r="N613" s="67"/>
      <c r="O613" s="67"/>
      <c r="P613" s="67"/>
      <c r="Q613" s="67"/>
      <c r="R613" s="73"/>
      <c r="S613" s="73"/>
      <c r="T613" s="67"/>
      <c r="U613" s="67"/>
      <c r="V613" s="121">
        <f>(VLOOKUP($A613,Pitchers!$A1:$S251,4,FALSE)-AVERAGE(Rankings!AC2:AC651))/STDEV(Rankings!AC2:AC651)</f>
        <v>-1.2133064039297812</v>
      </c>
      <c r="W613" s="121">
        <f>(VLOOKUP($A613,Pitchers!$A1:$S251,5,FALSE)-AVERAGE(Rankings!AD2:AD651))/STDEV(Rankings!AD2:AD651)*-1</f>
        <v>0.72523557462219512</v>
      </c>
      <c r="X613" s="121">
        <f>(VLOOKUP($A613,Pitchers!$A1:$S251,6,FALSE)-AVERAGE(Rankings!AE2:AE651))/STDEV(Rankings!AE2:AE651)*-1</f>
        <v>1.0810833659142276</v>
      </c>
      <c r="Y613" s="121">
        <f>(VLOOKUP($A613,Pitchers!$A1:$S251,7,FALSE)-AVERAGE(Rankings!AF2:AF651))/STDEV(Rankings!AF2:AF651)</f>
        <v>-1.1508886974596915</v>
      </c>
      <c r="Z613" s="121">
        <f>(VLOOKUP($A613,Pitchers!$A1:$S251,8,FALSE)-AVERAGE(Rankings!AG2:AG651))/STDEV(Rankings!AG2:AG651)</f>
        <v>-1.1264837769339369</v>
      </c>
      <c r="AA613" s="121">
        <f>(VLOOKUP($A613,Pitchers!$A1:$S251,9,FALSE)-AVERAGE(Rankings!AH2:AH651))/STDEV(Rankings!AH2:AH651)</f>
        <v>-0.19507520872986717</v>
      </c>
      <c r="AB613" s="121">
        <f>(VLOOKUP($A613,Pitchers!$A1:$S251,10,FALSE)-AVERAGE(Rankings!AI2:AI651))/STDEV(Rankings!AI2:AI651)*-1</f>
        <v>1.2198199419727267</v>
      </c>
      <c r="AC613" s="121">
        <f>(VLOOKUP($A613,Pitchers!$A1:$S251,11,FALSE)-AVERAGE(Rankings!AJ2:AJ651))/STDEV(Rankings!AJ2:AJ651)*-1</f>
        <v>1.0521873624710363</v>
      </c>
      <c r="AD613" s="121">
        <f>(VLOOKUP($A613,Pitchers!$A1:$S251,12,FALSE)-AVERAGE(Rankings!AK2:AK651))/STDEV(Rankings!AK2:AK651)*-1</f>
        <v>1.9518378718318126</v>
      </c>
      <c r="AE613" s="121">
        <f>IFERROR((VLOOKUP($A613,Pitchers!$A1:$S251,13,FALSE)-AVERAGE(Rankings!AL2:AL651))/STDEV(Rankings!AL2:AL651)*-1,0)</f>
        <v>1.0975713903246602</v>
      </c>
      <c r="AF613" s="121">
        <f>(VLOOKUP($A613,Pitchers!$A1:$S251,14,FALSE)-AVERAGE(Rankings!AM2:AM651))/STDEV(Rankings!AM2:AM651)</f>
        <v>1.3308665909857276</v>
      </c>
      <c r="AG613" s="121">
        <f>(VLOOKUP($A613,Pitchers!$A1:$S251,15,FALSE)-AVERAGE(Rankings!AN2:AN651))/STDEV(Rankings!AN2:AN651)</f>
        <v>-1.2653418049058471</v>
      </c>
      <c r="AH613" s="121">
        <f>(VLOOKUP($A613,Pitchers!$A1:$S251,16,FALSE)-AVERAGE(Rankings!AO2:AO651))/STDEV(Rankings!AO2:AO651)*-1</f>
        <v>1.2979701353513646</v>
      </c>
      <c r="AI613" s="121">
        <f>IFERROR((VLOOKUP($A613,Pitchers!$A1:$S251,17,FALSE)-AVERAGE(Rankings!AP2:AP651))/STDEV(Rankings!AP2:AP651),0)</f>
        <v>-1.126133891603242</v>
      </c>
      <c r="AJ613" s="121">
        <f>(VLOOKUP($A613,Pitchers!$A1:$S251,18,FALSE)-AVERAGE(Rankings!AQ2:AQ651))/STDEV(Rankings!AQ2:AQ651)</f>
        <v>1.5642201831928426</v>
      </c>
      <c r="AK613" s="121">
        <f>IFERROR((VLOOKUP($A613,Pitchers!$A1:$S251,19,FALSE)-AVERAGE(Rankings!AR2:AR651))/STDEV(Rankings!AR2:AR651)*-1,0)</f>
        <v>-1.1567584843949572E-2</v>
      </c>
    </row>
    <row r="614" spans="1:37" ht="20.100000000000001" customHeight="1">
      <c r="A614" s="25" t="s">
        <v>543</v>
      </c>
      <c r="B614" s="26" t="s">
        <v>136</v>
      </c>
      <c r="C614" s="131" t="s">
        <v>34</v>
      </c>
      <c r="D614" s="67">
        <f>(V614*Settings!$G$2)+(Y614*Settings!$G$5)+(Z614*Settings!$G$6)+(AA614*Settings!$G$7)+(AB614*Settings!$G$8)+(AC614*Settings!$G$9)+(AD614*Settings!$G$10)+(AE614*Settings!$G$11)+(AF614*Settings!$G$12)+(AG614*Settings!$G$13)+(AH614*Settings!$G$14)+(AI614*Settings!$G$15)+(AJ614*Settings!$G$16)+(AK614*Settings!$G$17)+(W614*Settings!$G$3)+(X614*Settings!$G$4)</f>
        <v>-1.3761653642486085</v>
      </c>
      <c r="E614" s="67"/>
      <c r="F614" s="67"/>
      <c r="G614" s="67"/>
      <c r="H614" s="67"/>
      <c r="I614" s="67"/>
      <c r="J614" s="67"/>
      <c r="K614" s="73"/>
      <c r="L614" s="73"/>
      <c r="M614" s="67"/>
      <c r="N614" s="67"/>
      <c r="O614" s="67"/>
      <c r="P614" s="67"/>
      <c r="Q614" s="67"/>
      <c r="R614" s="73"/>
      <c r="S614" s="73"/>
      <c r="T614" s="67"/>
      <c r="U614" s="67"/>
      <c r="V614" s="121">
        <f>(VLOOKUP($A614,Pitchers!$A1:$S251,4,FALSE)-AVERAGE(Rankings!AC2:AC651))/STDEV(Rankings!AC2:AC651)</f>
        <v>-1.0940385331201725</v>
      </c>
      <c r="W614" s="121">
        <f>(VLOOKUP($A614,Pitchers!$A1:$S251,5,FALSE)-AVERAGE(Rankings!AD2:AD651))/STDEV(Rankings!AD2:AD651)*-1</f>
        <v>0.36226701121580218</v>
      </c>
      <c r="X614" s="121">
        <f>(VLOOKUP($A614,Pitchers!$A1:$S251,6,FALSE)-AVERAGE(Rankings!AE2:AE651))/STDEV(Rankings!AE2:AE651)*-1</f>
        <v>-0.63677751263873672</v>
      </c>
      <c r="Y614" s="121">
        <f>(VLOOKUP($A614,Pitchers!$A1:$S251,7,FALSE)-AVERAGE(Rankings!AF2:AF651))/STDEV(Rankings!AF2:AF651)</f>
        <v>-1.3048216465447404</v>
      </c>
      <c r="Z614" s="121">
        <f>(VLOOKUP($A614,Pitchers!$A1:$S251,8,FALSE)-AVERAGE(Rankings!AG2:AG651))/STDEV(Rankings!AG2:AG651)</f>
        <v>-1.1264837769339369</v>
      </c>
      <c r="AA614" s="121">
        <f>(VLOOKUP($A614,Pitchers!$A1:$S251,9,FALSE)-AVERAGE(Rankings!AH2:AH651))/STDEV(Rankings!AH2:AH651)</f>
        <v>1.3296505606530031</v>
      </c>
      <c r="AB614" s="121">
        <f>(VLOOKUP($A614,Pitchers!$A1:$S251,10,FALSE)-AVERAGE(Rankings!AI2:AI651))/STDEV(Rankings!AI2:AI651)*-1</f>
        <v>1.0670405996527155</v>
      </c>
      <c r="AC614" s="121">
        <f>(VLOOKUP($A614,Pitchers!$A1:$S251,11,FALSE)-AVERAGE(Rankings!AJ2:AJ651))/STDEV(Rankings!AJ2:AJ651)*-1</f>
        <v>0.91213757609413293</v>
      </c>
      <c r="AD614" s="121">
        <f>(VLOOKUP($A614,Pitchers!$A1:$S251,12,FALSE)-AVERAGE(Rankings!AK2:AK651))/STDEV(Rankings!AK2:AK651)*-1</f>
        <v>1.2171921961748289</v>
      </c>
      <c r="AE614" s="121">
        <f>IFERROR((VLOOKUP($A614,Pitchers!$A1:$S251,13,FALSE)-AVERAGE(Rankings!AL2:AL651))/STDEV(Rankings!AL2:AL651)*-1,0)</f>
        <v>1.0975713903246602</v>
      </c>
      <c r="AF614" s="121">
        <f>(VLOOKUP($A614,Pitchers!$A1:$S251,14,FALSE)-AVERAGE(Rankings!AM2:AM651))/STDEV(Rankings!AM2:AM651)</f>
        <v>1.5706879855202949</v>
      </c>
      <c r="AG614" s="121">
        <f>(VLOOKUP($A614,Pitchers!$A1:$S251,15,FALSE)-AVERAGE(Rankings!AN2:AN651))/STDEV(Rankings!AN2:AN651)</f>
        <v>-1.2653418049058471</v>
      </c>
      <c r="AH614" s="121">
        <f>(VLOOKUP($A614,Pitchers!$A1:$S251,16,FALSE)-AVERAGE(Rankings!AO2:AO651))/STDEV(Rankings!AO2:AO651)*-1</f>
        <v>0.95977441182701817</v>
      </c>
      <c r="AI614" s="121">
        <f>IFERROR((VLOOKUP($A614,Pitchers!$A1:$S251,17,FALSE)-AVERAGE(Rankings!AP2:AP651))/STDEV(Rankings!AP2:AP651),0)</f>
        <v>-1.126133891603242</v>
      </c>
      <c r="AJ614" s="121">
        <f>(VLOOKUP($A614,Pitchers!$A1:$S251,18,FALSE)-AVERAGE(Rankings!AQ2:AQ651))/STDEV(Rankings!AQ2:AQ651)</f>
        <v>1.0019972449998475</v>
      </c>
      <c r="AK614" s="121">
        <f>IFERROR((VLOOKUP($A614,Pitchers!$A1:$S251,19,FALSE)-AVERAGE(Rankings!AR2:AR651))/STDEV(Rankings!AR2:AR651)*-1,0)</f>
        <v>-3.3854464976625716</v>
      </c>
    </row>
    <row r="615" spans="1:37" ht="20.100000000000001" customHeight="1">
      <c r="A615" s="25" t="s">
        <v>540</v>
      </c>
      <c r="B615" s="26" t="s">
        <v>142</v>
      </c>
      <c r="C615" s="131" t="s">
        <v>34</v>
      </c>
      <c r="D615" s="67">
        <f>(V615*Settings!$G$2)+(Y615*Settings!$G$5)+(Z615*Settings!$G$6)+(AA615*Settings!$G$7)+(AB615*Settings!$G$8)+(AC615*Settings!$G$9)+(AD615*Settings!$G$10)+(AE615*Settings!$G$11)+(AF615*Settings!$G$12)+(AG615*Settings!$G$13)+(AH615*Settings!$G$14)+(AI615*Settings!$G$15)+(AJ615*Settings!$G$16)+(AK615*Settings!$G$17)+(W615*Settings!$G$3)+(X615*Settings!$G$4)</f>
        <v>-1.3609996715901613</v>
      </c>
      <c r="E615" s="67"/>
      <c r="F615" s="67"/>
      <c r="G615" s="67"/>
      <c r="H615" s="67"/>
      <c r="I615" s="67"/>
      <c r="J615" s="67"/>
      <c r="K615" s="73"/>
      <c r="L615" s="73"/>
      <c r="M615" s="67"/>
      <c r="N615" s="67"/>
      <c r="O615" s="67"/>
      <c r="P615" s="67"/>
      <c r="Q615" s="67"/>
      <c r="R615" s="73"/>
      <c r="S615" s="73"/>
      <c r="T615" s="67"/>
      <c r="U615" s="67"/>
      <c r="V615" s="121">
        <f>(VLOOKUP($A615,Pitchers!$A1:$S251,4,FALSE)-AVERAGE(Rankings!AC2:AC651))/STDEV(Rankings!AC2:AC651)</f>
        <v>-1.1759028704806143</v>
      </c>
      <c r="W615" s="121">
        <f>(VLOOKUP($A615,Pitchers!$A1:$S251,5,FALSE)-AVERAGE(Rankings!AD2:AD651))/STDEV(Rankings!AD2:AD651)*-1</f>
        <v>0.11126784072021194</v>
      </c>
      <c r="X615" s="121">
        <f>(VLOOKUP($A615,Pitchers!$A1:$S251,6,FALSE)-AVERAGE(Rankings!AE2:AE651))/STDEV(Rankings!AE2:AE651)*-1</f>
        <v>0.2353670364284437</v>
      </c>
      <c r="Y615" s="121">
        <f>(VLOOKUP($A615,Pitchers!$A1:$S251,7,FALSE)-AVERAGE(Rankings!AF2:AF651))/STDEV(Rankings!AF2:AF651)</f>
        <v>-1.0935268909610176</v>
      </c>
      <c r="Z615" s="121">
        <f>(VLOOKUP($A615,Pitchers!$A1:$S251,8,FALSE)-AVERAGE(Rankings!AG2:AG651))/STDEV(Rankings!AG2:AG651)</f>
        <v>-1.1365504581692829</v>
      </c>
      <c r="AA615" s="121">
        <f>(VLOOKUP($A615,Pitchers!$A1:$S251,9,FALSE)-AVERAGE(Rankings!AH2:AH651))/STDEV(Rankings!AH2:AH651)</f>
        <v>0.52244280039148339</v>
      </c>
      <c r="AB615" s="121">
        <f>(VLOOKUP($A615,Pitchers!$A1:$S251,10,FALSE)-AVERAGE(Rankings!AI2:AI651))/STDEV(Rankings!AI2:AI651)*-1</f>
        <v>1.0981851205856528</v>
      </c>
      <c r="AC615" s="121">
        <f>(VLOOKUP($A615,Pitchers!$A1:$S251,11,FALSE)-AVERAGE(Rankings!AJ2:AJ651))/STDEV(Rankings!AJ2:AJ651)*-1</f>
        <v>1.1268331876973048</v>
      </c>
      <c r="AD615" s="121">
        <f>(VLOOKUP($A615,Pitchers!$A1:$S251,12,FALSE)-AVERAGE(Rankings!AK2:AK651))/STDEV(Rankings!AK2:AK651)*-1</f>
        <v>1.2025480963278459</v>
      </c>
      <c r="AE615" s="121">
        <f>IFERROR((VLOOKUP($A615,Pitchers!$A1:$S251,13,FALSE)-AVERAGE(Rankings!AL2:AL651))/STDEV(Rankings!AL2:AL651)*-1,0)</f>
        <v>0.96456467797315026</v>
      </c>
      <c r="AF615" s="121">
        <f>(VLOOKUP($A615,Pitchers!$A1:$S251,14,FALSE)-AVERAGE(Rankings!AM2:AM651))/STDEV(Rankings!AM2:AM651)</f>
        <v>1.2218568661972877</v>
      </c>
      <c r="AG615" s="121">
        <f>(VLOOKUP($A615,Pitchers!$A1:$S251,15,FALSE)-AVERAGE(Rankings!AN2:AN651))/STDEV(Rankings!AN2:AN651)</f>
        <v>-1.2653418049058471</v>
      </c>
      <c r="AH615" s="121">
        <f>(VLOOKUP($A615,Pitchers!$A1:$S251,16,FALSE)-AVERAGE(Rankings!AO2:AO651))/STDEV(Rankings!AO2:AO651)*-1</f>
        <v>1.3355474379651808</v>
      </c>
      <c r="AI615" s="121">
        <f>IFERROR((VLOOKUP($A615,Pitchers!$A1:$S251,17,FALSE)-AVERAGE(Rankings!AP2:AP651))/STDEV(Rankings!AP2:AP651),0)</f>
        <v>-1.126133891603242</v>
      </c>
      <c r="AJ615" s="121">
        <f>(VLOOKUP($A615,Pitchers!$A1:$S251,18,FALSE)-AVERAGE(Rankings!AQ2:AQ651))/STDEV(Rankings!AQ2:AQ651)</f>
        <v>1.8051728709898405</v>
      </c>
      <c r="AK615" s="121">
        <f>IFERROR((VLOOKUP($A615,Pitchers!$A1:$S251,19,FALSE)-AVERAGE(Rankings!AR2:AR651))/STDEV(Rankings!AR2:AR651)*-1,0)</f>
        <v>-2.9034637958313398</v>
      </c>
    </row>
    <row r="616" spans="1:37" ht="20.100000000000001" customHeight="1">
      <c r="A616" s="25" t="s">
        <v>519</v>
      </c>
      <c r="B616" s="26" t="s">
        <v>69</v>
      </c>
      <c r="C616" s="131" t="s">
        <v>34</v>
      </c>
      <c r="D616" s="67">
        <f>(V616*Settings!$G$2)+(Y616*Settings!$G$5)+(Z616*Settings!$G$6)+(AA616*Settings!$G$7)+(AB616*Settings!$G$8)+(AC616*Settings!$G$9)+(AD616*Settings!$G$10)+(AE616*Settings!$G$11)+(AF616*Settings!$G$12)+(AG616*Settings!$G$13)+(AH616*Settings!$G$14)+(AI616*Settings!$G$15)+(AJ616*Settings!$G$16)+(AK616*Settings!$G$17)+(W616*Settings!$G$3)+(X616*Settings!$G$4)</f>
        <v>-1.1597123044099353</v>
      </c>
      <c r="E616" s="67"/>
      <c r="F616" s="67"/>
      <c r="G616" s="67"/>
      <c r="H616" s="67"/>
      <c r="I616" s="67"/>
      <c r="J616" s="67"/>
      <c r="K616" s="73"/>
      <c r="L616" s="73"/>
      <c r="M616" s="67"/>
      <c r="N616" s="67"/>
      <c r="O616" s="67"/>
      <c r="P616" s="67"/>
      <c r="Q616" s="67"/>
      <c r="R616" s="73"/>
      <c r="S616" s="73"/>
      <c r="T616" s="67"/>
      <c r="U616" s="67"/>
      <c r="V616" s="121">
        <f>(VLOOKUP($A616,Pitchers!$A1:$S251,4,FALSE)-AVERAGE(Rankings!AC2:AC651))/STDEV(Rankings!AC2:AC651)</f>
        <v>-1.1603768754639785</v>
      </c>
      <c r="W616" s="121">
        <f>(VLOOKUP($A616,Pitchers!$A1:$S251,5,FALSE)-AVERAGE(Rankings!AD2:AD651))/STDEV(Rankings!AD2:AD651)*-1</f>
        <v>1.1610666107553593</v>
      </c>
      <c r="X616" s="121">
        <f>(VLOOKUP($A616,Pitchers!$A1:$S251,6,FALSE)-AVERAGE(Rankings!AE2:AE651))/STDEV(Rankings!AE2:AE651)*-1</f>
        <v>0.44075537647787599</v>
      </c>
      <c r="Y616" s="121">
        <f>(VLOOKUP($A616,Pitchers!$A1:$S251,7,FALSE)-AVERAGE(Rankings!AF2:AF651))/STDEV(Rankings!AF2:AF651)</f>
        <v>-0.94395053477460222</v>
      </c>
      <c r="Z616" s="121">
        <f>(VLOOKUP($A616,Pitchers!$A1:$S251,8,FALSE)-AVERAGE(Rankings!AG2:AG651))/STDEV(Rankings!AG2:AG651)</f>
        <v>-1.3982841702882791</v>
      </c>
      <c r="AA616" s="121">
        <f>(VLOOKUP($A616,Pitchers!$A1:$S251,9,FALSE)-AVERAGE(Rankings!AH2:AH651))/STDEV(Rankings!AH2:AH651)</f>
        <v>-0.41929958658028921</v>
      </c>
      <c r="AB616" s="121">
        <f>(VLOOKUP($A616,Pitchers!$A1:$S251,10,FALSE)-AVERAGE(Rankings!AI2:AI651))/STDEV(Rankings!AI2:AI651)*-1</f>
        <v>1.2438465733578277</v>
      </c>
      <c r="AC616" s="121">
        <f>(VLOOKUP($A616,Pitchers!$A1:$S251,11,FALSE)-AVERAGE(Rankings!AJ2:AJ651))/STDEV(Rankings!AJ2:AJ651)*-1</f>
        <v>1.308826818725159</v>
      </c>
      <c r="AD616" s="121">
        <f>(VLOOKUP($A616,Pitchers!$A1:$S251,12,FALSE)-AVERAGE(Rankings!AK2:AK651))/STDEV(Rankings!AK2:AK651)*-1</f>
        <v>0.59969931929371012</v>
      </c>
      <c r="AE616" s="121">
        <f>IFERROR((VLOOKUP($A616,Pitchers!$A1:$S251,13,FALSE)-AVERAGE(Rankings!AL2:AL651))/STDEV(Rankings!AL2:AL651)*-1,0)</f>
        <v>1.0975713903246602</v>
      </c>
      <c r="AF616" s="121">
        <f>(VLOOKUP($A616,Pitchers!$A1:$S251,14,FALSE)-AVERAGE(Rankings!AM2:AM651))/STDEV(Rankings!AM2:AM651)</f>
        <v>0.96241372120080082</v>
      </c>
      <c r="AG616" s="121">
        <f>(VLOOKUP($A616,Pitchers!$A1:$S251,15,FALSE)-AVERAGE(Rankings!AN2:AN651))/STDEV(Rankings!AN2:AN651)</f>
        <v>-1.2653418049058471</v>
      </c>
      <c r="AH616" s="121">
        <f>(VLOOKUP($A616,Pitchers!$A1:$S251,16,FALSE)-AVERAGE(Rankings!AO2:AO651))/STDEV(Rankings!AO2:AO651)*-1</f>
        <v>1.6111143237998333</v>
      </c>
      <c r="AI616" s="121">
        <f>IFERROR((VLOOKUP($A616,Pitchers!$A1:$S251,17,FALSE)-AVERAGE(Rankings!AP2:AP651))/STDEV(Rankings!AP2:AP651),0)</f>
        <v>-1.126133891603242</v>
      </c>
      <c r="AJ616" s="121">
        <f>(VLOOKUP($A616,Pitchers!$A1:$S251,18,FALSE)-AVERAGE(Rankings!AQ2:AQ651))/STDEV(Rankings!AQ2:AQ651)</f>
        <v>1.0823148075988469</v>
      </c>
      <c r="AK616" s="121">
        <f>IFERROR((VLOOKUP($A616,Pitchers!$A1:$S251,19,FALSE)-AVERAGE(Rankings!AR2:AR651))/STDEV(Rankings!AR2:AR651)*-1,0)</f>
        <v>-1.1567584843949572E-2</v>
      </c>
    </row>
    <row r="617" spans="1:37" ht="20.100000000000001" customHeight="1">
      <c r="A617" s="25" t="s">
        <v>535</v>
      </c>
      <c r="B617" s="26" t="s">
        <v>87</v>
      </c>
      <c r="C617" s="131" t="s">
        <v>34</v>
      </c>
      <c r="D617" s="67">
        <f>(V617*Settings!$G$2)+(Y617*Settings!$G$5)+(Z617*Settings!$G$6)+(AA617*Settings!$G$7)+(AB617*Settings!$G$8)+(AC617*Settings!$G$9)+(AD617*Settings!$G$10)+(AE617*Settings!$G$11)+(AF617*Settings!$G$12)+(AG617*Settings!$G$13)+(AH617*Settings!$G$14)+(AI617*Settings!$G$15)+(AJ617*Settings!$G$16)+(AK617*Settings!$G$17)+(W617*Settings!$G$3)+(X617*Settings!$G$4)</f>
        <v>-1.3046322182903911</v>
      </c>
      <c r="E617" s="67"/>
      <c r="F617" s="67"/>
      <c r="G617" s="67"/>
      <c r="H617" s="67"/>
      <c r="I617" s="67"/>
      <c r="J617" s="67"/>
      <c r="K617" s="73"/>
      <c r="L617" s="73"/>
      <c r="M617" s="67"/>
      <c r="N617" s="67"/>
      <c r="O617" s="67"/>
      <c r="P617" s="67"/>
      <c r="Q617" s="67"/>
      <c r="R617" s="73"/>
      <c r="S617" s="73"/>
      <c r="T617" s="67"/>
      <c r="U617" s="67"/>
      <c r="V617" s="121">
        <f>(VLOOKUP($A617,Pitchers!$A1:$S251,4,FALSE)-AVERAGE(Rankings!AC2:AC651))/STDEV(Rankings!AC2:AC651)</f>
        <v>-0.92607549612202511</v>
      </c>
      <c r="W617" s="121">
        <f>(VLOOKUP($A617,Pitchers!$A1:$S251,5,FALSE)-AVERAGE(Rankings!AD2:AD651))/STDEV(Rankings!AD2:AD651)*-1</f>
        <v>0.56709925087575175</v>
      </c>
      <c r="X617" s="121">
        <f>(VLOOKUP($A617,Pitchers!$A1:$S251,6,FALSE)-AVERAGE(Rankings!AE2:AE651))/STDEV(Rankings!AE2:AE651)*-1</f>
        <v>0.18679576813766113</v>
      </c>
      <c r="Y617" s="121">
        <f>(VLOOKUP($A617,Pitchers!$A1:$S251,7,FALSE)-AVERAGE(Rankings!AF2:AF651))/STDEV(Rankings!AF2:AF651)</f>
        <v>-0.91998927383211837</v>
      </c>
      <c r="Z617" s="121">
        <f>(VLOOKUP($A617,Pitchers!$A1:$S251,8,FALSE)-AVERAGE(Rankings!AG2:AG651))/STDEV(Rankings!AG2:AG651)</f>
        <v>-0.76408325246148046</v>
      </c>
      <c r="AA617" s="121">
        <f>(VLOOKUP($A617,Pitchers!$A1:$S251,9,FALSE)-AVERAGE(Rankings!AH2:AH651))/STDEV(Rankings!AH2:AH651)</f>
        <v>-0.37445471101020483</v>
      </c>
      <c r="AB617" s="121">
        <f>(VLOOKUP($A617,Pitchers!$A1:$S251,10,FALSE)-AVERAGE(Rankings!AI2:AI651))/STDEV(Rankings!AI2:AI651)*-1</f>
        <v>0.9630353190444596</v>
      </c>
      <c r="AC617" s="121">
        <f>(VLOOKUP($A617,Pitchers!$A1:$S251,11,FALSE)-AVERAGE(Rankings!AJ2:AJ651))/STDEV(Rankings!AJ2:AJ651)*-1</f>
        <v>0.8950756731852717</v>
      </c>
      <c r="AD617" s="121">
        <f>(VLOOKUP($A617,Pitchers!$A1:$S251,12,FALSE)-AVERAGE(Rankings!AK2:AK651))/STDEV(Rankings!AK2:AK651)*-1</f>
        <v>0.94383566569781174</v>
      </c>
      <c r="AE617" s="121">
        <f>IFERROR((VLOOKUP($A617,Pitchers!$A1:$S251,13,FALSE)-AVERAGE(Rankings!AL2:AL651))/STDEV(Rankings!AL2:AL651)*-1,0)</f>
        <v>0.96456467797315026</v>
      </c>
      <c r="AF617" s="121">
        <f>(VLOOKUP($A617,Pitchers!$A1:$S251,14,FALSE)-AVERAGE(Rankings!AM2:AM651))/STDEV(Rankings!AM2:AM651)</f>
        <v>0.78581796704352813</v>
      </c>
      <c r="AG617" s="121">
        <f>(VLOOKUP($A617,Pitchers!$A1:$S251,15,FALSE)-AVERAGE(Rankings!AN2:AN651))/STDEV(Rankings!AN2:AN651)</f>
        <v>-1.1354808996897998</v>
      </c>
      <c r="AH617" s="121">
        <f>(VLOOKUP($A617,Pitchers!$A1:$S251,16,FALSE)-AVERAGE(Rankings!AO2:AO651))/STDEV(Rankings!AO2:AO651)*-1</f>
        <v>0.83451673644763058</v>
      </c>
      <c r="AI617" s="121">
        <f>IFERROR((VLOOKUP($A617,Pitchers!$A1:$S251,17,FALSE)-AVERAGE(Rankings!AP2:AP651))/STDEV(Rankings!AP2:AP651),0)</f>
        <v>-1.126133891603242</v>
      </c>
      <c r="AJ617" s="121">
        <f>(VLOOKUP($A617,Pitchers!$A1:$S251,18,FALSE)-AVERAGE(Rankings!AQ2:AQ651))/STDEV(Rankings!AQ2:AQ651)</f>
        <v>1.2429499327968454</v>
      </c>
      <c r="AK617" s="121">
        <f>IFERROR((VLOOKUP($A617,Pitchers!$A1:$S251,19,FALSE)-AVERAGE(Rankings!AR2:AR651))/STDEV(Rankings!AR2:AR651)*-1,0)</f>
        <v>0.47041511698728217</v>
      </c>
    </row>
    <row r="618" spans="1:37" ht="20.100000000000001" customHeight="1">
      <c r="A618" s="25" t="s">
        <v>618</v>
      </c>
      <c r="B618" s="26" t="s">
        <v>92</v>
      </c>
      <c r="C618" s="131" t="s">
        <v>34</v>
      </c>
      <c r="D618" s="67">
        <f>(V618*Settings!$G$2)+(Y618*Settings!$G$5)+(Z618*Settings!$G$6)+(AA618*Settings!$G$7)+(AB618*Settings!$G$8)+(AC618*Settings!$G$9)+(AD618*Settings!$G$10)+(AE618*Settings!$G$11)+(AF618*Settings!$G$12)+(AG618*Settings!$G$13)+(AH618*Settings!$G$14)+(AI618*Settings!$G$15)+(AJ618*Settings!$G$16)+(AK618*Settings!$G$17)+(W618*Settings!$G$3)+(X618*Settings!$G$4)</f>
        <v>-2.2330945475931738</v>
      </c>
      <c r="E618" s="67"/>
      <c r="F618" s="67"/>
      <c r="G618" s="67"/>
      <c r="H618" s="67"/>
      <c r="I618" s="67"/>
      <c r="J618" s="67"/>
      <c r="K618" s="73"/>
      <c r="L618" s="73"/>
      <c r="M618" s="67"/>
      <c r="N618" s="67"/>
      <c r="O618" s="67"/>
      <c r="P618" s="67"/>
      <c r="Q618" s="67"/>
      <c r="R618" s="73"/>
      <c r="S618" s="73"/>
      <c r="T618" s="67"/>
      <c r="U618" s="67"/>
      <c r="V618" s="121">
        <f>(VLOOKUP($A618,Pitchers!$A1:$S251,4,FALSE)-AVERAGE(Rankings!AC2:AC651))/STDEV(Rankings!AC2:AC651)</f>
        <v>-1.0749839028724837</v>
      </c>
      <c r="W618" s="121">
        <f>(VLOOKUP($A618,Pitchers!$A1:$S251,5,FALSE)-AVERAGE(Rankings!AD2:AD651))/STDEV(Rankings!AD2:AD651)*-1</f>
        <v>0.31033931676182153</v>
      </c>
      <c r="X618" s="121">
        <f>(VLOOKUP($A618,Pitchers!$A1:$S251,6,FALSE)-AVERAGE(Rankings!AE2:AE651))/STDEV(Rankings!AE2:AE651)*-1</f>
        <v>-1.4297135456753409</v>
      </c>
      <c r="Y618" s="121">
        <f>(VLOOKUP($A618,Pitchers!$A1:$S251,7,FALSE)-AVERAGE(Rankings!AF2:AF651))/STDEV(Rankings!AF2:AF651)</f>
        <v>-0.97735108033079199</v>
      </c>
      <c r="Z618" s="121">
        <f>(VLOOKUP($A618,Pitchers!$A1:$S251,8,FALSE)-AVERAGE(Rankings!AG2:AG651))/STDEV(Rankings!AG2:AG651)</f>
        <v>-1.1969505455813587</v>
      </c>
      <c r="AA618" s="121">
        <f>(VLOOKUP($A618,Pitchers!$A1:$S251,9,FALSE)-AVERAGE(Rankings!AH2:AH651))/STDEV(Rankings!AH2:AH651)</f>
        <v>1.0605813072324966</v>
      </c>
      <c r="AB618" s="121">
        <f>(VLOOKUP($A618,Pitchers!$A1:$S251,10,FALSE)-AVERAGE(Rankings!AI2:AI651))/STDEV(Rankings!AI2:AI651)*-1</f>
        <v>1.0426235355076066</v>
      </c>
      <c r="AC618" s="121">
        <f>(VLOOKUP($A618,Pitchers!$A1:$S251,11,FALSE)-AVERAGE(Rankings!AJ2:AJ651))/STDEV(Rankings!AJ2:AJ651)*-1</f>
        <v>1.0749365663495181</v>
      </c>
      <c r="AD618" s="121">
        <f>(VLOOKUP($A618,Pitchers!$A1:$S251,12,FALSE)-AVERAGE(Rankings!AK2:AK651))/STDEV(Rankings!AK2:AK651)*-1</f>
        <v>0.21895272327215012</v>
      </c>
      <c r="AE618" s="121">
        <f>IFERROR((VLOOKUP($A618,Pitchers!$A1:$S251,13,FALSE)-AVERAGE(Rankings!AL2:AL651))/STDEV(Rankings!AL2:AL651)*-1,0)</f>
        <v>1.0975713903246602</v>
      </c>
      <c r="AF618" s="121">
        <f>(VLOOKUP($A618,Pitchers!$A1:$S251,14,FALSE)-AVERAGE(Rankings!AM2:AM651))/STDEV(Rankings!AM2:AM651)</f>
        <v>1.5052821506472311</v>
      </c>
      <c r="AG618" s="121">
        <f>(VLOOKUP($A618,Pitchers!$A1:$S251,15,FALSE)-AVERAGE(Rankings!AN2:AN651))/STDEV(Rankings!AN2:AN651)</f>
        <v>-1.2653418049058471</v>
      </c>
      <c r="AH618" s="121">
        <f>(VLOOKUP($A618,Pitchers!$A1:$S251,16,FALSE)-AVERAGE(Rankings!AO2:AO651))/STDEV(Rankings!AO2:AO651)*-1</f>
        <v>0.62157868830267204</v>
      </c>
      <c r="AI618" s="121">
        <f>IFERROR((VLOOKUP($A618,Pitchers!$A1:$S251,17,FALSE)-AVERAGE(Rankings!AP2:AP651))/STDEV(Rankings!AP2:AP651),0)</f>
        <v>-1.126133891603242</v>
      </c>
      <c r="AJ618" s="121">
        <f>(VLOOKUP($A618,Pitchers!$A1:$S251,18,FALSE)-AVERAGE(Rankings!AQ2:AQ651))/STDEV(Rankings!AQ2:AQ651)</f>
        <v>1.8051728709898405</v>
      </c>
      <c r="AK618" s="121">
        <f>IFERROR((VLOOKUP($A618,Pitchers!$A1:$S251,19,FALSE)-AVERAGE(Rankings!AR2:AR651))/STDEV(Rankings!AR2:AR651)*-1,0)</f>
        <v>-0.97553298850641301</v>
      </c>
    </row>
    <row r="619" spans="1:37" ht="20.100000000000001" customHeight="1">
      <c r="A619" s="25" t="s">
        <v>576</v>
      </c>
      <c r="B619" s="26" t="s">
        <v>92</v>
      </c>
      <c r="C619" s="131" t="s">
        <v>34</v>
      </c>
      <c r="D619" s="67">
        <f>(V619*Settings!$G$2)+(Y619*Settings!$G$5)+(Z619*Settings!$G$6)+(AA619*Settings!$G$7)+(AB619*Settings!$G$8)+(AC619*Settings!$G$9)+(AD619*Settings!$G$10)+(AE619*Settings!$G$11)+(AF619*Settings!$G$12)+(AG619*Settings!$G$13)+(AH619*Settings!$G$14)+(AI619*Settings!$G$15)+(AJ619*Settings!$G$16)+(AK619*Settings!$G$17)+(W619*Settings!$G$3)+(X619*Settings!$G$4)</f>
        <v>-1.8317693800845289</v>
      </c>
      <c r="E619" s="67"/>
      <c r="F619" s="67"/>
      <c r="G619" s="67"/>
      <c r="H619" s="67"/>
      <c r="I619" s="67"/>
      <c r="J619" s="67"/>
      <c r="K619" s="73"/>
      <c r="L619" s="73"/>
      <c r="M619" s="67"/>
      <c r="N619" s="67"/>
      <c r="O619" s="67"/>
      <c r="P619" s="67"/>
      <c r="Q619" s="67"/>
      <c r="R619" s="73"/>
      <c r="S619" s="73"/>
      <c r="T619" s="67"/>
      <c r="U619" s="67"/>
      <c r="V619" s="121">
        <f>(VLOOKUP($A619,Pitchers!$A1:$S251,4,FALSE)-AVERAGE(Rankings!AC2:AC651))/STDEV(Rankings!AC2:AC651)</f>
        <v>-1.2365953964547345</v>
      </c>
      <c r="W619" s="121">
        <f>(VLOOKUP($A619,Pitchers!$A1:$S251,5,FALSE)-AVERAGE(Rankings!AD2:AD651))/STDEV(Rankings!AD2:AD651)*-1</f>
        <v>0.83798523676618863</v>
      </c>
      <c r="X619" s="121">
        <f>(VLOOKUP($A619,Pitchers!$A1:$S251,6,FALSE)-AVERAGE(Rankings!AE2:AE651))/STDEV(Rankings!AE2:AE651)*-1</f>
        <v>-0.93660105061241161</v>
      </c>
      <c r="Y619" s="121">
        <f>(VLOOKUP($A619,Pitchers!$A1:$S251,7,FALSE)-AVERAGE(Rankings!AF2:AF651))/STDEV(Rankings!AF2:AF651)</f>
        <v>-0.82341813124574337</v>
      </c>
      <c r="Z619" s="121">
        <f>(VLOOKUP($A619,Pitchers!$A1:$S251,8,FALSE)-AVERAGE(Rankings!AG2:AG651))/STDEV(Rankings!AG2:AG651)</f>
        <v>-0.80434997740286429</v>
      </c>
      <c r="AA619" s="121">
        <f>(VLOOKUP($A619,Pitchers!$A1:$S251,9,FALSE)-AVERAGE(Rankings!AH2:AH651))/STDEV(Rankings!AH2:AH651)</f>
        <v>-0.10538545758969836</v>
      </c>
      <c r="AB619" s="121">
        <f>(VLOOKUP($A619,Pitchers!$A1:$S251,10,FALSE)-AVERAGE(Rankings!AI2:AI651))/STDEV(Rankings!AI2:AI651)*-1</f>
        <v>1.2543582245888094</v>
      </c>
      <c r="AC619" s="121">
        <f>(VLOOKUP($A619,Pitchers!$A1:$S251,11,FALSE)-AVERAGE(Rankings!AJ2:AJ651))/STDEV(Rankings!AJ2:AJ651)*-1</f>
        <v>1.2860776148466773</v>
      </c>
      <c r="AD619" s="121">
        <f>(VLOOKUP($A619,Pitchers!$A1:$S251,12,FALSE)-AVERAGE(Rankings!AK2:AK651))/STDEV(Rankings!AK2:AK651)*-1</f>
        <v>0.4459362709003879</v>
      </c>
      <c r="AE619" s="121">
        <f>IFERROR((VLOOKUP($A619,Pitchers!$A1:$S251,13,FALSE)-AVERAGE(Rankings!AL2:AL651))/STDEV(Rankings!AL2:AL651)*-1,0)</f>
        <v>1.3635848150276801</v>
      </c>
      <c r="AF619" s="121">
        <f>(VLOOKUP($A619,Pitchers!$A1:$S251,14,FALSE)-AVERAGE(Rankings!AM2:AM651))/STDEV(Rankings!AM2:AM651)</f>
        <v>1.3308665909857276</v>
      </c>
      <c r="AG619" s="121">
        <f>(VLOOKUP($A619,Pitchers!$A1:$S251,15,FALSE)-AVERAGE(Rankings!AN2:AN651))/STDEV(Rankings!AN2:AN651)</f>
        <v>-1.2653418049058471</v>
      </c>
      <c r="AH619" s="121">
        <f>(VLOOKUP($A619,Pitchers!$A1:$S251,16,FALSE)-AVERAGE(Rankings!AO2:AO651))/STDEV(Rankings!AO2:AO651)*-1</f>
        <v>1.5735370211860171</v>
      </c>
      <c r="AI619" s="121">
        <f>IFERROR((VLOOKUP($A619,Pitchers!$A1:$S251,17,FALSE)-AVERAGE(Rankings!AP2:AP651))/STDEV(Rankings!AP2:AP651),0)</f>
        <v>-1.126133891603242</v>
      </c>
      <c r="AJ619" s="121">
        <f>(VLOOKUP($A619,Pitchers!$A1:$S251,18,FALSE)-AVERAGE(Rankings!AQ2:AQ651))/STDEV(Rankings!AQ2:AQ651)</f>
        <v>2.2067606839848368</v>
      </c>
      <c r="AK619" s="121">
        <f>IFERROR((VLOOKUP($A619,Pitchers!$A1:$S251,19,FALSE)-AVERAGE(Rankings!AR2:AR651))/STDEV(Rankings!AR2:AR651)*-1,0)</f>
        <v>-1.1567584843949572E-2</v>
      </c>
    </row>
    <row r="620" spans="1:37" ht="20.100000000000001" customHeight="1">
      <c r="A620" s="25" t="s">
        <v>521</v>
      </c>
      <c r="B620" s="26" t="s">
        <v>69</v>
      </c>
      <c r="C620" s="131" t="s">
        <v>34</v>
      </c>
      <c r="D620" s="67">
        <f>(V620*Settings!$G$2)+(Y620*Settings!$G$5)+(Z620*Settings!$G$6)+(AA620*Settings!$G$7)+(AB620*Settings!$G$8)+(AC620*Settings!$G$9)+(AD620*Settings!$G$10)+(AE620*Settings!$G$11)+(AF620*Settings!$G$12)+(AG620*Settings!$G$13)+(AH620*Settings!$G$14)+(AI620*Settings!$G$15)+(AJ620*Settings!$G$16)+(AK620*Settings!$G$17)+(W620*Settings!$G$3)+(X620*Settings!$G$4)</f>
        <v>-1.178628164843319</v>
      </c>
      <c r="E620" s="67"/>
      <c r="F620" s="67"/>
      <c r="G620" s="67"/>
      <c r="H620" s="67"/>
      <c r="I620" s="67"/>
      <c r="J620" s="67"/>
      <c r="K620" s="73"/>
      <c r="L620" s="73"/>
      <c r="M620" s="67"/>
      <c r="N620" s="67"/>
      <c r="O620" s="67"/>
      <c r="P620" s="67"/>
      <c r="Q620" s="67"/>
      <c r="R620" s="73"/>
      <c r="S620" s="73"/>
      <c r="T620" s="67"/>
      <c r="U620" s="67"/>
      <c r="V620" s="121">
        <f>(VLOOKUP($A620,Pitchers!$A1:$S251,4,FALSE)-AVERAGE(Rankings!AC2:AC651))/STDEV(Rankings!AC2:AC651)</f>
        <v>-1.1540253320480824</v>
      </c>
      <c r="W620" s="121">
        <f>(VLOOKUP($A620,Pitchers!$A1:$S251,5,FALSE)-AVERAGE(Rankings!AD2:AD651))/STDEV(Rankings!AD2:AD651)*-1</f>
        <v>0.65988636719768379</v>
      </c>
      <c r="X620" s="121">
        <f>(VLOOKUP($A620,Pitchers!$A1:$S251,6,FALSE)-AVERAGE(Rankings!AE2:AE651))/STDEV(Rankings!AE2:AE651)*-1</f>
        <v>0.37433837001133208</v>
      </c>
      <c r="Y620" s="121">
        <f>(VLOOKUP($A620,Pitchers!$A1:$S251,7,FALSE)-AVERAGE(Rankings!AF2:AF651))/STDEV(Rankings!AF2:AF651)</f>
        <v>-1.0477826655253666</v>
      </c>
      <c r="Z620" s="121">
        <f>(VLOOKUP($A620,Pitchers!$A1:$S251,8,FALSE)-AVERAGE(Rankings!AG2:AG651))/STDEV(Rankings!AG2:AG651)</f>
        <v>-0.92515015222701669</v>
      </c>
      <c r="AA620" s="121">
        <f>(VLOOKUP($A620,Pitchers!$A1:$S251,9,FALSE)-AVERAGE(Rankings!AH2:AH651))/STDEV(Rankings!AH2:AH651)</f>
        <v>-0.23992008429995157</v>
      </c>
      <c r="AB620" s="121">
        <f>(VLOOKUP($A620,Pitchers!$A1:$S251,10,FALSE)-AVERAGE(Rankings!AI2:AI651))/STDEV(Rankings!AI2:AI651)*-1</f>
        <v>1.1627566924331116</v>
      </c>
      <c r="AC620" s="121">
        <f>(VLOOKUP($A620,Pitchers!$A1:$S251,11,FALSE)-AVERAGE(Rankings!AJ2:AJ651))/STDEV(Rankings!AJ2:AJ651)*-1</f>
        <v>1.1190131488640769</v>
      </c>
      <c r="AD620" s="121">
        <f>(VLOOKUP($A620,Pitchers!$A1:$S251,12,FALSE)-AVERAGE(Rankings!AK2:AK651))/STDEV(Rankings!AK2:AK651)*-1</f>
        <v>1.1976667297121848</v>
      </c>
      <c r="AE620" s="121">
        <f>IFERROR((VLOOKUP($A620,Pitchers!$A1:$S251,13,FALSE)-AVERAGE(Rankings!AL2:AL651))/STDEV(Rankings!AL2:AL651)*-1,0)</f>
        <v>1.0975713903246602</v>
      </c>
      <c r="AF620" s="121">
        <f>(VLOOKUP($A620,Pitchers!$A1:$S251,14,FALSE)-AVERAGE(Rankings!AM2:AM651))/STDEV(Rankings!AM2:AM651)</f>
        <v>0.16882292474095836</v>
      </c>
      <c r="AG620" s="121">
        <f>(VLOOKUP($A620,Pitchers!$A1:$S251,15,FALSE)-AVERAGE(Rankings!AN2:AN651))/STDEV(Rankings!AN2:AN651)</f>
        <v>-1.1614530807330092</v>
      </c>
      <c r="AH620" s="121">
        <f>(VLOOKUP($A620,Pitchers!$A1:$S251,16,FALSE)-AVERAGE(Rankings!AO2:AO651))/STDEV(Rankings!AO2:AO651)*-1</f>
        <v>1.072506319668467</v>
      </c>
      <c r="AI620" s="121">
        <f>IFERROR((VLOOKUP($A620,Pitchers!$A1:$S251,17,FALSE)-AVERAGE(Rankings!AP2:AP651))/STDEV(Rankings!AP2:AP651),0)</f>
        <v>-1.126133891603242</v>
      </c>
      <c r="AJ620" s="121">
        <f>(VLOOKUP($A620,Pitchers!$A1:$S251,18,FALSE)-AVERAGE(Rankings!AQ2:AQ651))/STDEV(Rankings!AQ2:AQ651)</f>
        <v>1.2429499327968454</v>
      </c>
      <c r="AK620" s="121">
        <f>IFERROR((VLOOKUP($A620,Pitchers!$A1:$S251,19,FALSE)-AVERAGE(Rankings!AR2:AR651))/STDEV(Rankings!AR2:AR651)*-1,0)</f>
        <v>0.47041511698728217</v>
      </c>
    </row>
    <row r="621" spans="1:37" ht="20.100000000000001" customHeight="1">
      <c r="A621" s="25" t="s">
        <v>509</v>
      </c>
      <c r="B621" s="26" t="s">
        <v>116</v>
      </c>
      <c r="C621" s="131" t="s">
        <v>34</v>
      </c>
      <c r="D621" s="67">
        <f>(V621*Settings!$G$2)+(Y621*Settings!$G$5)+(Z621*Settings!$G$6)+(AA621*Settings!$G$7)+(AB621*Settings!$G$8)+(AC621*Settings!$G$9)+(AD621*Settings!$G$10)+(AE621*Settings!$G$11)+(AF621*Settings!$G$12)+(AG621*Settings!$G$13)+(AH621*Settings!$G$14)+(AI621*Settings!$G$15)+(AJ621*Settings!$G$16)+(AK621*Settings!$G$17)+(W621*Settings!$G$3)+(X621*Settings!$G$4)</f>
        <v>-1.0500395673230944</v>
      </c>
      <c r="E621" s="67"/>
      <c r="F621" s="67"/>
      <c r="G621" s="67"/>
      <c r="H621" s="67"/>
      <c r="I621" s="67"/>
      <c r="J621" s="67"/>
      <c r="K621" s="73"/>
      <c r="L621" s="73"/>
      <c r="M621" s="67"/>
      <c r="N621" s="67"/>
      <c r="O621" s="67"/>
      <c r="P621" s="67"/>
      <c r="Q621" s="67"/>
      <c r="R621" s="73"/>
      <c r="S621" s="73"/>
      <c r="T621" s="67"/>
      <c r="U621" s="67"/>
      <c r="V621" s="121">
        <f>(VLOOKUP($A621,Pitchers!$A1:$S251,4,FALSE)-AVERAGE(Rankings!AC2:AC651))/STDEV(Rankings!AC2:AC651)</f>
        <v>-1.0516949103475304</v>
      </c>
      <c r="W621" s="121">
        <f>(VLOOKUP($A621,Pitchers!$A1:$S251,5,FALSE)-AVERAGE(Rankings!AD2:AD651))/STDEV(Rankings!AD2:AD651)*-1</f>
        <v>0.12036548254039513</v>
      </c>
      <c r="X621" s="121">
        <f>(VLOOKUP($A621,Pitchers!$A1:$S251,6,FALSE)-AVERAGE(Rankings!AE2:AE651))/STDEV(Rankings!AE2:AE651)*-1</f>
        <v>0.9682167038115812</v>
      </c>
      <c r="Y621" s="121">
        <f>(VLOOKUP($A621,Pitchers!$A1:$S251,7,FALSE)-AVERAGE(Rankings!AF2:AF651))/STDEV(Rankings!AF2:AF651)</f>
        <v>-1.1044183732076012</v>
      </c>
      <c r="Z621" s="121">
        <f>(VLOOKUP($A621,Pitchers!$A1:$S251,8,FALSE)-AVERAGE(Rankings!AG2:AG651))/STDEV(Rankings!AG2:AG651)</f>
        <v>-0.79428329616751836</v>
      </c>
      <c r="AA621" s="121">
        <f>(VLOOKUP($A621,Pitchers!$A1:$S251,9,FALSE)-AVERAGE(Rankings!AH2:AH651))/STDEV(Rankings!AH2:AH651)</f>
        <v>-0.23992008429995157</v>
      </c>
      <c r="AB621" s="121">
        <f>(VLOOKUP($A621,Pitchers!$A1:$S251,10,FALSE)-AVERAGE(Rankings!AI2:AI651))/STDEV(Rankings!AI2:AI651)*-1</f>
        <v>0.99156694381426713</v>
      </c>
      <c r="AC621" s="121">
        <f>(VLOOKUP($A621,Pitchers!$A1:$S251,11,FALSE)-AVERAGE(Rankings!AJ2:AJ651))/STDEV(Rankings!AJ2:AJ651)*-1</f>
        <v>1.0088216925776805</v>
      </c>
      <c r="AD621" s="121">
        <f>(VLOOKUP($A621,Pitchers!$A1:$S251,12,FALSE)-AVERAGE(Rankings!AK2:AK651))/STDEV(Rankings!AK2:AK651)*-1</f>
        <v>1.4295316439560835</v>
      </c>
      <c r="AE621" s="121">
        <f>IFERROR((VLOOKUP($A621,Pitchers!$A1:$S251,13,FALSE)-AVERAGE(Rankings!AL2:AL651))/STDEV(Rankings!AL2:AL651)*-1,0)</f>
        <v>0.8315579656216403</v>
      </c>
      <c r="AF621" s="121">
        <f>(VLOOKUP($A621,Pitchers!$A1:$S251,14,FALSE)-AVERAGE(Rankings!AM2:AM651))/STDEV(Rankings!AM2:AM651)</f>
        <v>0.82942185695890436</v>
      </c>
      <c r="AG621" s="121">
        <f>(VLOOKUP($A621,Pitchers!$A1:$S251,15,FALSE)-AVERAGE(Rankings!AN2:AN651))/STDEV(Rankings!AN2:AN651)</f>
        <v>-1.0575643565601716</v>
      </c>
      <c r="AH621" s="121">
        <f>(VLOOKUP($A621,Pitchers!$A1:$S251,16,FALSE)-AVERAGE(Rankings!AO2:AO651))/STDEV(Rankings!AO2:AO651)*-1</f>
        <v>0.872094039061447</v>
      </c>
      <c r="AI621" s="121">
        <f>IFERROR((VLOOKUP($A621,Pitchers!$A1:$S251,17,FALSE)-AVERAGE(Rankings!AP2:AP651))/STDEV(Rankings!AP2:AP651),0)</f>
        <v>-1.126133891603242</v>
      </c>
      <c r="AJ621" s="121">
        <f>(VLOOKUP($A621,Pitchers!$A1:$S251,18,FALSE)-AVERAGE(Rankings!AQ2:AQ651))/STDEV(Rankings!AQ2:AQ651)</f>
        <v>1.0019972449998475</v>
      </c>
      <c r="AK621" s="121">
        <f>IFERROR((VLOOKUP($A621,Pitchers!$A1:$S251,19,FALSE)-AVERAGE(Rankings!AR2:AR651))/STDEV(Rankings!AR2:AR651)*-1,0)</f>
        <v>-1.1567584843949572E-2</v>
      </c>
    </row>
    <row r="622" spans="1:37" ht="20.100000000000001" customHeight="1">
      <c r="A622" s="25" t="s">
        <v>506</v>
      </c>
      <c r="B622" s="26" t="s">
        <v>82</v>
      </c>
      <c r="C622" s="131" t="s">
        <v>34</v>
      </c>
      <c r="D622" s="67">
        <f>(V622*Settings!$G$2)+(Y622*Settings!$G$5)+(Z622*Settings!$G$6)+(AA622*Settings!$G$7)+(AB622*Settings!$G$8)+(AC622*Settings!$G$9)+(AD622*Settings!$G$10)+(AE622*Settings!$G$11)+(AF622*Settings!$G$12)+(AG622*Settings!$G$13)+(AH622*Settings!$G$14)+(AI622*Settings!$G$15)+(AJ622*Settings!$G$16)+(AK622*Settings!$G$17)+(W622*Settings!$G$3)+(X622*Settings!$G$4)</f>
        <v>-0.98404911921500016</v>
      </c>
      <c r="E622" s="67"/>
      <c r="F622" s="67"/>
      <c r="G622" s="67"/>
      <c r="H622" s="67"/>
      <c r="I622" s="67"/>
      <c r="J622" s="67"/>
      <c r="K622" s="73"/>
      <c r="L622" s="73"/>
      <c r="M622" s="67"/>
      <c r="N622" s="67"/>
      <c r="O622" s="67"/>
      <c r="P622" s="67"/>
      <c r="Q622" s="67"/>
      <c r="R622" s="73"/>
      <c r="S622" s="73"/>
      <c r="T622" s="67"/>
      <c r="U622" s="67"/>
      <c r="V622" s="121">
        <f>(VLOOKUP($A622,Pitchers!$A1:$S251,4,FALSE)-AVERAGE(Rankings!AC2:AC651))/STDEV(Rankings!AC2:AC651)</f>
        <v>-1.1300306124769184</v>
      </c>
      <c r="W622" s="121">
        <f>(VLOOKUP($A622,Pitchers!$A1:$S251,5,FALSE)-AVERAGE(Rankings!AD2:AD651))/STDEV(Rankings!AD2:AD651)*-1</f>
        <v>0.64505514311578349</v>
      </c>
      <c r="X622" s="121">
        <f>(VLOOKUP($A622,Pitchers!$A1:$S251,6,FALSE)-AVERAGE(Rankings!AE2:AE651))/STDEV(Rankings!AE2:AE651)*-1</f>
        <v>0.52266390344464597</v>
      </c>
      <c r="Y622" s="121">
        <f>(VLOOKUP($A622,Pitchers!$A1:$S251,7,FALSE)-AVERAGE(Rankings!AF2:AF651))/STDEV(Rankings!AF2:AF651)</f>
        <v>-1.3033694489118623</v>
      </c>
      <c r="Z622" s="121">
        <f>(VLOOKUP($A622,Pitchers!$A1:$S251,8,FALSE)-AVERAGE(Rankings!AG2:AG651))/STDEV(Rankings!AG2:AG651)</f>
        <v>-1.1466171394046287</v>
      </c>
      <c r="AA622" s="121">
        <f>(VLOOKUP($A622,Pitchers!$A1:$S251,9,FALSE)-AVERAGE(Rankings!AH2:AH651))/STDEV(Rankings!AH2:AH651)</f>
        <v>0.2982184225410614</v>
      </c>
      <c r="AB622" s="121">
        <f>(VLOOKUP($A622,Pitchers!$A1:$S251,10,FALSE)-AVERAGE(Rankings!AI2:AI651))/STDEV(Rankings!AI2:AI651)*-1</f>
        <v>1.1411927907649835</v>
      </c>
      <c r="AC622" s="121">
        <f>(VLOOKUP($A622,Pitchers!$A1:$S251,11,FALSE)-AVERAGE(Rankings!AJ2:AJ651))/STDEV(Rankings!AJ2:AJ651)*-1</f>
        <v>1.0386800226681878</v>
      </c>
      <c r="AD622" s="121">
        <f>(VLOOKUP($A622,Pitchers!$A1:$S251,12,FALSE)-AVERAGE(Rankings!AK2:AK651))/STDEV(Rankings!AK2:AK651)*-1</f>
        <v>1.4392943771874054</v>
      </c>
      <c r="AE622" s="121">
        <f>IFERROR((VLOOKUP($A622,Pitchers!$A1:$S251,13,FALSE)-AVERAGE(Rankings!AL2:AL651))/STDEV(Rankings!AL2:AL651)*-1,0)</f>
        <v>1.2305781026761702</v>
      </c>
      <c r="AF622" s="121">
        <f>(VLOOKUP($A622,Pitchers!$A1:$S251,14,FALSE)-AVERAGE(Rankings!AM2:AM651))/STDEV(Rankings!AM2:AM651)</f>
        <v>1.1346490863665357</v>
      </c>
      <c r="AG622" s="121">
        <f>(VLOOKUP($A622,Pitchers!$A1:$S251,15,FALSE)-AVERAGE(Rankings!AN2:AN651))/STDEV(Rankings!AN2:AN651)</f>
        <v>-1.2133974428194283</v>
      </c>
      <c r="AH622" s="121">
        <f>(VLOOKUP($A622,Pitchers!$A1:$S251,16,FALSE)-AVERAGE(Rankings!AO2:AO651))/STDEV(Rankings!AO2:AO651)*-1</f>
        <v>1.1100836222822834</v>
      </c>
      <c r="AI622" s="121">
        <f>IFERROR((VLOOKUP($A622,Pitchers!$A1:$S251,17,FALSE)-AVERAGE(Rankings!AP2:AP651))/STDEV(Rankings!AP2:AP651),0)</f>
        <v>-1.126133891603242</v>
      </c>
      <c r="AJ622" s="121">
        <f>(VLOOKUP($A622,Pitchers!$A1:$S251,18,FALSE)-AVERAGE(Rankings!AQ2:AQ651))/STDEV(Rankings!AQ2:AQ651)</f>
        <v>1.644537745791842</v>
      </c>
      <c r="AK622" s="121">
        <f>IFERROR((VLOOKUP($A622,Pitchers!$A1:$S251,19,FALSE)-AVERAGE(Rankings!AR2:AR651))/STDEV(Rankings!AR2:AR651)*-1,0)</f>
        <v>-0.4935502866751813</v>
      </c>
    </row>
    <row r="623" spans="1:37" ht="20.100000000000001" customHeight="1">
      <c r="A623" s="25" t="s">
        <v>579</v>
      </c>
      <c r="B623" s="26" t="s">
        <v>103</v>
      </c>
      <c r="C623" s="131" t="s">
        <v>34</v>
      </c>
      <c r="D623" s="67">
        <f>(V623*Settings!$G$2)+(Y623*Settings!$G$5)+(Z623*Settings!$G$6)+(AA623*Settings!$G$7)+(AB623*Settings!$G$8)+(AC623*Settings!$G$9)+(AD623*Settings!$G$10)+(AE623*Settings!$G$11)+(AF623*Settings!$G$12)+(AG623*Settings!$G$13)+(AH623*Settings!$G$14)+(AI623*Settings!$G$15)+(AJ623*Settings!$G$16)+(AK623*Settings!$G$17)+(W623*Settings!$G$3)+(X623*Settings!$G$4)</f>
        <v>-1.8631815237455789</v>
      </c>
      <c r="E623" s="67"/>
      <c r="F623" s="67"/>
      <c r="G623" s="67"/>
      <c r="H623" s="67"/>
      <c r="I623" s="67"/>
      <c r="J623" s="67"/>
      <c r="K623" s="73"/>
      <c r="L623" s="73"/>
      <c r="M623" s="67"/>
      <c r="N623" s="67"/>
      <c r="O623" s="67"/>
      <c r="P623" s="67"/>
      <c r="Q623" s="67"/>
      <c r="R623" s="73"/>
      <c r="S623" s="73"/>
      <c r="T623" s="67"/>
      <c r="U623" s="67"/>
      <c r="V623" s="121">
        <f>(VLOOKUP($A623,Pitchers!$A1:$S251,4,FALSE)-AVERAGE(Rankings!AC2:AC651))/STDEV(Rankings!AC2:AC651)</f>
        <v>-1.0933328060739618</v>
      </c>
      <c r="W623" s="121">
        <f>(VLOOKUP($A623,Pitchers!$A1:$S251,5,FALSE)-AVERAGE(Rankings!AD2:AD651))/STDEV(Rankings!AD2:AD651)*-1</f>
        <v>-0.75393626041329165</v>
      </c>
      <c r="X623" s="121">
        <f>(VLOOKUP($A623,Pitchers!$A1:$S251,6,FALSE)-AVERAGE(Rankings!AE2:AE651))/STDEV(Rankings!AE2:AE651)*-1</f>
        <v>0.49240301582971036</v>
      </c>
      <c r="Y623" s="121">
        <f>(VLOOKUP($A623,Pitchers!$A1:$S251,7,FALSE)-AVERAGE(Rankings!AF2:AF651))/STDEV(Rankings!AF2:AF651)</f>
        <v>-0.92071537264855718</v>
      </c>
      <c r="Z623" s="121">
        <f>(VLOOKUP($A623,Pitchers!$A1:$S251,8,FALSE)-AVERAGE(Rankings!AG2:AG651))/STDEV(Rankings!AG2:AG651)</f>
        <v>-0.84461670234424846</v>
      </c>
      <c r="AA623" s="121">
        <f>(VLOOKUP($A623,Pitchers!$A1:$S251,9,FALSE)-AVERAGE(Rankings!AH2:AH651))/STDEV(Rankings!AH2:AH651)</f>
        <v>0.16368379583080819</v>
      </c>
      <c r="AB623" s="121">
        <f>(VLOOKUP($A623,Pitchers!$A1:$S251,10,FALSE)-AVERAGE(Rankings!AI2:AI651))/STDEV(Rankings!AI2:AI651)*-1</f>
        <v>0.88795209596601909</v>
      </c>
      <c r="AC623" s="121">
        <f>(VLOOKUP($A623,Pitchers!$A1:$S251,11,FALSE)-AVERAGE(Rankings!AJ2:AJ651))/STDEV(Rankings!AJ2:AJ651)*-1</f>
        <v>1.1460278284697738</v>
      </c>
      <c r="AD623" s="121">
        <f>(VLOOKUP($A623,Pitchers!$A1:$S251,12,FALSE)-AVERAGE(Rankings!AK2:AK651))/STDEV(Rankings!AK2:AK651)*-1</f>
        <v>0.90966609938818499</v>
      </c>
      <c r="AE623" s="121">
        <f>IFERROR((VLOOKUP($A623,Pitchers!$A1:$S251,13,FALSE)-AVERAGE(Rankings!AL2:AL651))/STDEV(Rankings!AL2:AL651)*-1,0)</f>
        <v>0.96456467797315026</v>
      </c>
      <c r="AF623" s="121">
        <f>(VLOOKUP($A623,Pitchers!$A1:$S251,14,FALSE)-AVERAGE(Rankings!AM2:AM651))/STDEV(Rankings!AM2:AM651)</f>
        <v>1.7233016002241108</v>
      </c>
      <c r="AG623" s="121">
        <f>(VLOOKUP($A623,Pitchers!$A1:$S251,15,FALSE)-AVERAGE(Rankings!AN2:AN651))/STDEV(Rankings!AN2:AN651)</f>
        <v>-1.2653418049058471</v>
      </c>
      <c r="AH623" s="121">
        <f>(VLOOKUP($A623,Pitchers!$A1:$S251,16,FALSE)-AVERAGE(Rankings!AO2:AO651))/STDEV(Rankings!AO2:AO651)*-1</f>
        <v>1.0224032495167119</v>
      </c>
      <c r="AI623" s="121">
        <f>IFERROR((VLOOKUP($A623,Pitchers!$A1:$S251,17,FALSE)-AVERAGE(Rankings!AP2:AP651))/STDEV(Rankings!AP2:AP651),0)</f>
        <v>-1.126133891603242</v>
      </c>
      <c r="AJ623" s="121">
        <f>(VLOOKUP($A623,Pitchers!$A1:$S251,18,FALSE)-AVERAGE(Rankings!AQ2:AQ651))/STDEV(Rankings!AQ2:AQ651)</f>
        <v>2.7689836221778319</v>
      </c>
      <c r="AK623" s="121">
        <f>IFERROR((VLOOKUP($A623,Pitchers!$A1:$S251,19,FALSE)-AVERAGE(Rankings!AR2:AR651))/STDEV(Rankings!AR2:AR651)*-1,0)</f>
        <v>-0.4935502866751813</v>
      </c>
    </row>
    <row r="624" spans="1:37" ht="20.100000000000001" customHeight="1">
      <c r="A624" s="25" t="s">
        <v>534</v>
      </c>
      <c r="B624" s="26" t="s">
        <v>122</v>
      </c>
      <c r="C624" s="131" t="s">
        <v>34</v>
      </c>
      <c r="D624" s="67">
        <f>(V624*Settings!$G$2)+(Y624*Settings!$G$5)+(Z624*Settings!$G$6)+(AA624*Settings!$G$7)+(AB624*Settings!$G$8)+(AC624*Settings!$G$9)+(AD624*Settings!$G$10)+(AE624*Settings!$G$11)+(AF624*Settings!$G$12)+(AG624*Settings!$G$13)+(AH624*Settings!$G$14)+(AI624*Settings!$G$15)+(AJ624*Settings!$G$16)+(AK624*Settings!$G$17)+(W624*Settings!$G$3)+(X624*Settings!$G$4)</f>
        <v>-1.2827447840849799</v>
      </c>
      <c r="E624" s="67"/>
      <c r="F624" s="67"/>
      <c r="G624" s="67"/>
      <c r="H624" s="67"/>
      <c r="I624" s="67"/>
      <c r="J624" s="67"/>
      <c r="K624" s="73"/>
      <c r="L624" s="73"/>
      <c r="M624" s="67"/>
      <c r="N624" s="67"/>
      <c r="O624" s="67"/>
      <c r="P624" s="67"/>
      <c r="Q624" s="67"/>
      <c r="R624" s="73"/>
      <c r="S624" s="73"/>
      <c r="T624" s="67"/>
      <c r="U624" s="67"/>
      <c r="V624" s="121">
        <f>(VLOOKUP($A624,Pitchers!$A1:$S251,4,FALSE)-AVERAGE(Rankings!AC2:AC651))/STDEV(Rankings!AC2:AC651)</f>
        <v>-1.1533196050018715</v>
      </c>
      <c r="W624" s="121">
        <f>(VLOOKUP($A624,Pitchers!$A1:$S251,5,FALSE)-AVERAGE(Rankings!AD2:AD651))/STDEV(Rankings!AD2:AD651)*-1</f>
        <v>0.97870821079232218</v>
      </c>
      <c r="X624" s="121">
        <f>(VLOOKUP($A624,Pitchers!$A1:$S251,6,FALSE)-AVERAGE(Rankings!AE2:AE651))/STDEV(Rankings!AE2:AE651)*-1</f>
        <v>0.25364814413887032</v>
      </c>
      <c r="Y624" s="121">
        <f>(VLOOKUP($A624,Pitchers!$A1:$S251,7,FALSE)-AVERAGE(Rankings!AF2:AF651))/STDEV(Rankings!AF2:AF651)</f>
        <v>-1.1276535353336465</v>
      </c>
      <c r="Z624" s="121">
        <f>(VLOOKUP($A624,Pitchers!$A1:$S251,8,FALSE)-AVERAGE(Rankings!AG2:AG651))/STDEV(Rankings!AG2:AG651)</f>
        <v>-1.2372172705227431</v>
      </c>
      <c r="AA624" s="121">
        <f>(VLOOKUP($A624,Pitchers!$A1:$S251,9,FALSE)-AVERAGE(Rankings!AH2:AH651))/STDEV(Rankings!AH2:AH651)</f>
        <v>-0.15023033315978274</v>
      </c>
      <c r="AB624" s="121">
        <f>(VLOOKUP($A624,Pitchers!$A1:$S251,10,FALSE)-AVERAGE(Rankings!AI2:AI651))/STDEV(Rankings!AI2:AI651)*-1</f>
        <v>1.2108099552033136</v>
      </c>
      <c r="AC624" s="121">
        <f>(VLOOKUP($A624,Pitchers!$A1:$S251,11,FALSE)-AVERAGE(Rankings!AJ2:AJ651))/STDEV(Rankings!AJ2:AJ651)*-1</f>
        <v>1.1047948964400256</v>
      </c>
      <c r="AD624" s="121">
        <f>(VLOOKUP($A624,Pitchers!$A1:$S251,12,FALSE)-AVERAGE(Rankings!AK2:AK651))/STDEV(Rankings!AK2:AK651)*-1</f>
        <v>1.1927853630965239</v>
      </c>
      <c r="AE624" s="121">
        <f>IFERROR((VLOOKUP($A624,Pitchers!$A1:$S251,13,FALSE)-AVERAGE(Rankings!AL2:AL651))/STDEV(Rankings!AL2:AL651)*-1,0)</f>
        <v>1.2305781026761702</v>
      </c>
      <c r="AF624" s="121">
        <f>(VLOOKUP($A624,Pitchers!$A1:$S251,14,FALSE)-AVERAGE(Rankings!AM2:AM651))/STDEV(Rankings!AM2:AM651)</f>
        <v>1.5270840956049192</v>
      </c>
      <c r="AG624" s="121">
        <f>(VLOOKUP($A624,Pitchers!$A1:$S251,15,FALSE)-AVERAGE(Rankings!AN2:AN651))/STDEV(Rankings!AN2:AN651)</f>
        <v>-1.2653418049058471</v>
      </c>
      <c r="AH624" s="121">
        <f>(VLOOKUP($A624,Pitchers!$A1:$S251,16,FALSE)-AVERAGE(Rankings!AO2:AO651))/STDEV(Rankings!AO2:AO651)*-1</f>
        <v>1.0349290170546508</v>
      </c>
      <c r="AI624" s="121">
        <f>IFERROR((VLOOKUP($A624,Pitchers!$A1:$S251,17,FALSE)-AVERAGE(Rankings!AP2:AP651))/STDEV(Rankings!AP2:AP651),0)</f>
        <v>-1.126133891603242</v>
      </c>
      <c r="AJ624" s="121">
        <f>(VLOOKUP($A624,Pitchers!$A1:$S251,18,FALSE)-AVERAGE(Rankings!AQ2:AQ651))/STDEV(Rankings!AQ2:AQ651)</f>
        <v>2.2870782465838362</v>
      </c>
      <c r="AK624" s="121">
        <f>IFERROR((VLOOKUP($A624,Pitchers!$A1:$S251,19,FALSE)-AVERAGE(Rankings!AR2:AR651))/STDEV(Rankings!AR2:AR651)*-1,0)</f>
        <v>-0.97553298850641301</v>
      </c>
    </row>
    <row r="625" spans="1:37" ht="20.100000000000001" customHeight="1">
      <c r="A625" s="25" t="s">
        <v>537</v>
      </c>
      <c r="B625" s="26" t="s">
        <v>95</v>
      </c>
      <c r="C625" s="131" t="s">
        <v>34</v>
      </c>
      <c r="D625" s="67">
        <f>(V625*Settings!$G$2)+(Y625*Settings!$G$5)+(Z625*Settings!$G$6)+(AA625*Settings!$G$7)+(AB625*Settings!$G$8)+(AC625*Settings!$G$9)+(AD625*Settings!$G$10)+(AE625*Settings!$G$11)+(AF625*Settings!$G$12)+(AG625*Settings!$G$13)+(AH625*Settings!$G$14)+(AI625*Settings!$G$15)+(AJ625*Settings!$G$16)+(AK625*Settings!$G$17)+(W625*Settings!$G$3)+(X625*Settings!$G$4)</f>
        <v>-1.3127694558494534</v>
      </c>
      <c r="E625" s="67"/>
      <c r="F625" s="67"/>
      <c r="G625" s="67"/>
      <c r="H625" s="67"/>
      <c r="I625" s="67"/>
      <c r="J625" s="67"/>
      <c r="K625" s="73"/>
      <c r="L625" s="73"/>
      <c r="M625" s="67"/>
      <c r="N625" s="67"/>
      <c r="O625" s="67"/>
      <c r="P625" s="67"/>
      <c r="Q625" s="67"/>
      <c r="R625" s="73"/>
      <c r="S625" s="73"/>
      <c r="T625" s="67"/>
      <c r="U625" s="67"/>
      <c r="V625" s="121">
        <f>(VLOOKUP($A625,Pitchers!$A1:$S251,4,FALSE)-AVERAGE(Rankings!AC2:AC651))/STDEV(Rankings!AC2:AC651)</f>
        <v>-1.0277001907763663</v>
      </c>
      <c r="W625" s="121">
        <f>(VLOOKUP($A625,Pitchers!$A1:$S251,5,FALSE)-AVERAGE(Rankings!AD2:AD651))/STDEV(Rankings!AD2:AD651)*-1</f>
        <v>0.79396017333179925</v>
      </c>
      <c r="X625" s="121">
        <f>(VLOOKUP($A625,Pitchers!$A1:$S251,6,FALSE)-AVERAGE(Rankings!AE2:AE651))/STDEV(Rankings!AE2:AE651)*-1</f>
        <v>0.22160816813771614</v>
      </c>
      <c r="Y625" s="121">
        <f>(VLOOKUP($A625,Pitchers!$A1:$S251,7,FALSE)-AVERAGE(Rankings!AF2:AF651))/STDEV(Rankings!AF2:AF651)</f>
        <v>-1.0928007921445786</v>
      </c>
      <c r="Z625" s="121">
        <f>(VLOOKUP($A625,Pitchers!$A1:$S251,8,FALSE)-AVERAGE(Rankings!AG2:AG651))/STDEV(Rankings!AG2:AG651)</f>
        <v>-0.99561692087443865</v>
      </c>
      <c r="AA625" s="121">
        <f>(VLOOKUP($A625,Pitchers!$A1:$S251,9,FALSE)-AVERAGE(Rankings!AH2:AH651))/STDEV(Rankings!AH2:AH651)</f>
        <v>-0.23992008429995157</v>
      </c>
      <c r="AB625" s="121">
        <f>(VLOOKUP($A625,Pitchers!$A1:$S251,10,FALSE)-AVERAGE(Rankings!AI2:AI651))/STDEV(Rankings!AI2:AI651)*-1</f>
        <v>1.0838892749115177</v>
      </c>
      <c r="AC625" s="121">
        <f>(VLOOKUP($A625,Pitchers!$A1:$S251,11,FALSE)-AVERAGE(Rankings!AJ2:AJ651))/STDEV(Rankings!AJ2:AJ651)*-1</f>
        <v>0.99389252753242696</v>
      </c>
      <c r="AD625" s="121">
        <f>(VLOOKUP($A625,Pitchers!$A1:$S251,12,FALSE)-AVERAGE(Rankings!AK2:AK651))/STDEV(Rankings!AK2:AK651)*-1</f>
        <v>1.0414629980110324</v>
      </c>
      <c r="AE625" s="121">
        <f>IFERROR((VLOOKUP($A625,Pitchers!$A1:$S251,13,FALSE)-AVERAGE(Rankings!AL2:AL651))/STDEV(Rankings!AL2:AL651)*-1,0)</f>
        <v>0.96456467797315026</v>
      </c>
      <c r="AF625" s="121">
        <f>(VLOOKUP($A625,Pitchers!$A1:$S251,14,FALSE)-AVERAGE(Rankings!AM2:AM651))/STDEV(Rankings!AM2:AM651)</f>
        <v>1.7233016002241108</v>
      </c>
      <c r="AG625" s="121">
        <f>(VLOOKUP($A625,Pitchers!$A1:$S251,15,FALSE)-AVERAGE(Rankings!AN2:AN651))/STDEV(Rankings!AN2:AN651)</f>
        <v>-1.2653418049058471</v>
      </c>
      <c r="AH625" s="121">
        <f>(VLOOKUP($A625,Pitchers!$A1:$S251,16,FALSE)-AVERAGE(Rankings!AO2:AO651))/STDEV(Rankings!AO2:AO651)*-1</f>
        <v>0.74683636368205941</v>
      </c>
      <c r="AI625" s="121">
        <f>IFERROR((VLOOKUP($A625,Pitchers!$A1:$S251,17,FALSE)-AVERAGE(Rankings!AP2:AP651))/STDEV(Rankings!AP2:AP651),0)</f>
        <v>-1.126133891603242</v>
      </c>
      <c r="AJ625" s="121">
        <f>(VLOOKUP($A625,Pitchers!$A1:$S251,18,FALSE)-AVERAGE(Rankings!AQ2:AQ651))/STDEV(Rankings!AQ2:AQ651)</f>
        <v>2.4477133717818349</v>
      </c>
      <c r="AK625" s="121">
        <f>IFERROR((VLOOKUP($A625,Pitchers!$A1:$S251,19,FALSE)-AVERAGE(Rankings!AR2:AR651))/STDEV(Rankings!AR2:AR651)*-1,0)</f>
        <v>-1.1567584843949572E-2</v>
      </c>
    </row>
    <row r="626" spans="1:37" ht="20.100000000000001" customHeight="1">
      <c r="A626" s="25" t="s">
        <v>601</v>
      </c>
      <c r="B626" s="26" t="s">
        <v>119</v>
      </c>
      <c r="C626" s="131" t="s">
        <v>34</v>
      </c>
      <c r="D626" s="67">
        <f>(V626*Settings!$G$2)+(Y626*Settings!$G$5)+(Z626*Settings!$G$6)+(AA626*Settings!$G$7)+(AB626*Settings!$G$8)+(AC626*Settings!$G$9)+(AD626*Settings!$G$10)+(AE626*Settings!$G$11)+(AF626*Settings!$G$12)+(AG626*Settings!$G$13)+(AH626*Settings!$G$14)+(AI626*Settings!$G$15)+(AJ626*Settings!$G$16)+(AK626*Settings!$G$17)+(W626*Settings!$G$3)+(X626*Settings!$G$4)</f>
        <v>-2.0188028746895377</v>
      </c>
      <c r="E626" s="67"/>
      <c r="F626" s="67"/>
      <c r="G626" s="67"/>
      <c r="H626" s="67"/>
      <c r="I626" s="67"/>
      <c r="J626" s="67"/>
      <c r="K626" s="73"/>
      <c r="L626" s="73"/>
      <c r="M626" s="67"/>
      <c r="N626" s="67"/>
      <c r="O626" s="67"/>
      <c r="P626" s="67"/>
      <c r="Q626" s="67"/>
      <c r="R626" s="73"/>
      <c r="S626" s="73"/>
      <c r="T626" s="67"/>
      <c r="U626" s="67"/>
      <c r="V626" s="121">
        <f>(VLOOKUP($A626,Pitchers!$A1:$S251,4,FALSE)-AVERAGE(Rankings!AC2:AC651))/STDEV(Rankings!AC2:AC651)</f>
        <v>-1.4186729743770961</v>
      </c>
      <c r="W626" s="121">
        <f>(VLOOKUP($A626,Pitchers!$A1:$S251,5,FALSE)-AVERAGE(Rankings!AD2:AD651))/STDEV(Rankings!AD2:AD651)*-1</f>
        <v>0.22760095157536306</v>
      </c>
      <c r="X626" s="121">
        <f>(VLOOKUP($A626,Pitchers!$A1:$S251,6,FALSE)-AVERAGE(Rankings!AE2:AE651))/STDEV(Rankings!AE2:AE651)*-1</f>
        <v>-0.96213586468881007</v>
      </c>
      <c r="Y626" s="121">
        <f>(VLOOKUP($A626,Pitchers!$A1:$S251,7,FALSE)-AVERAGE(Rankings!AF2:AF651))/STDEV(Rankings!AF2:AF651)</f>
        <v>-1.1588757844405193</v>
      </c>
      <c r="Z626" s="121">
        <f>(VLOOKUP($A626,Pitchers!$A1:$S251,8,FALSE)-AVERAGE(Rankings!AG2:AG651))/STDEV(Rankings!AG2:AG651)</f>
        <v>-1.0962837332278987</v>
      </c>
      <c r="AA626" s="121">
        <f>(VLOOKUP($A626,Pitchers!$A1:$S251,9,FALSE)-AVERAGE(Rankings!AH2:AH651))/STDEV(Rankings!AH2:AH651)</f>
        <v>0.97089155609232758</v>
      </c>
      <c r="AB626" s="121">
        <f>(VLOOKUP($A626,Pitchers!$A1:$S251,10,FALSE)-AVERAGE(Rankings!AI2:AI651))/STDEV(Rankings!AI2:AI651)*-1</f>
        <v>1.3234347898209746</v>
      </c>
      <c r="AC626" s="121">
        <f>(VLOOKUP($A626,Pitchers!$A1:$S251,11,FALSE)-AVERAGE(Rankings!AJ2:AJ651))/STDEV(Rankings!AJ2:AJ651)*-1</f>
        <v>1.4659385080109242</v>
      </c>
      <c r="AD626" s="121">
        <f>(VLOOKUP($A626,Pitchers!$A1:$S251,12,FALSE)-AVERAGE(Rankings!AK2:AK651))/STDEV(Rankings!AK2:AK651)*-1</f>
        <v>0.64363161883465914</v>
      </c>
      <c r="AE626" s="121">
        <f>IFERROR((VLOOKUP($A626,Pitchers!$A1:$S251,13,FALSE)-AVERAGE(Rankings!AL2:AL651))/STDEV(Rankings!AL2:AL651)*-1,0)</f>
        <v>1.2305781026761702</v>
      </c>
      <c r="AF626" s="121">
        <f>(VLOOKUP($A626,Pitchers!$A1:$S251,14,FALSE)-AVERAGE(Rankings!AM2:AM651))/STDEV(Rankings!AM2:AM651)</f>
        <v>0.89264749733619864</v>
      </c>
      <c r="AG626" s="121">
        <f>(VLOOKUP($A626,Pitchers!$A1:$S251,15,FALSE)-AVERAGE(Rankings!AN2:AN651))/STDEV(Rankings!AN2:AN651)</f>
        <v>-1.2653418049058471</v>
      </c>
      <c r="AH626" s="121">
        <f>(VLOOKUP($A626,Pitchers!$A1:$S251,16,FALSE)-AVERAGE(Rankings!AO2:AO651))/STDEV(Rankings!AO2:AO651)*-1</f>
        <v>1.1100836222822834</v>
      </c>
      <c r="AI626" s="121">
        <f>IFERROR((VLOOKUP($A626,Pitchers!$A1:$S251,17,FALSE)-AVERAGE(Rankings!AP2:AP651))/STDEV(Rankings!AP2:AP651),0)</f>
        <v>-1.126133891603242</v>
      </c>
      <c r="AJ626" s="121">
        <f>(VLOOKUP($A626,Pitchers!$A1:$S251,18,FALSE)-AVERAGE(Rankings!AQ2:AQ651))/STDEV(Rankings!AQ2:AQ651)</f>
        <v>0.52009186940585195</v>
      </c>
      <c r="AK626" s="121">
        <f>IFERROR((VLOOKUP($A626,Pitchers!$A1:$S251,19,FALSE)-AVERAGE(Rankings!AR2:AR651))/STDEV(Rankings!AR2:AR651)*-1,0)</f>
        <v>0.47041511698728217</v>
      </c>
    </row>
    <row r="627" spans="1:37" ht="20.100000000000001" customHeight="1">
      <c r="A627" s="25" t="s">
        <v>588</v>
      </c>
      <c r="B627" s="26" t="s">
        <v>309</v>
      </c>
      <c r="C627" s="131" t="s">
        <v>34</v>
      </c>
      <c r="D627" s="67">
        <f>(V627*Settings!$G$2)+(Y627*Settings!$G$5)+(Z627*Settings!$G$6)+(AA627*Settings!$G$7)+(AB627*Settings!$G$8)+(AC627*Settings!$G$9)+(AD627*Settings!$G$10)+(AE627*Settings!$G$11)+(AF627*Settings!$G$12)+(AG627*Settings!$G$13)+(AH627*Settings!$G$14)+(AI627*Settings!$G$15)+(AJ627*Settings!$G$16)+(AK627*Settings!$G$17)+(W627*Settings!$G$3)+(X627*Settings!$G$4)</f>
        <v>-1.9428985591628423</v>
      </c>
      <c r="E627" s="67"/>
      <c r="F627" s="67"/>
      <c r="G627" s="67"/>
      <c r="H627" s="67"/>
      <c r="I627" s="67"/>
      <c r="J627" s="67"/>
      <c r="K627" s="73"/>
      <c r="L627" s="73"/>
      <c r="M627" s="67"/>
      <c r="N627" s="67"/>
      <c r="O627" s="67"/>
      <c r="P627" s="67"/>
      <c r="Q627" s="67"/>
      <c r="R627" s="73"/>
      <c r="S627" s="73"/>
      <c r="T627" s="67"/>
      <c r="U627" s="67"/>
      <c r="V627" s="121">
        <f>(VLOOKUP($A627,Pitchers!$A1:$S251,4,FALSE)-AVERAGE(Rankings!AC2:AC651))/STDEV(Rankings!AC2:AC651)</f>
        <v>-1.1123874363216506</v>
      </c>
      <c r="W627" s="121">
        <f>(VLOOKUP($A627,Pitchers!$A1:$S251,5,FALSE)-AVERAGE(Rankings!AD2:AD651))/STDEV(Rankings!AD2:AD651)*-1</f>
        <v>0.17625099657865473</v>
      </c>
      <c r="X627" s="121">
        <f>(VLOOKUP($A627,Pitchers!$A1:$S251,6,FALSE)-AVERAGE(Rankings!AE2:AE651))/STDEV(Rankings!AE2:AE651)*-1</f>
        <v>-0.15562735770096381</v>
      </c>
      <c r="Y627" s="121">
        <f>(VLOOKUP($A627,Pitchers!$A1:$S251,7,FALSE)-AVERAGE(Rankings!AF2:AF651))/STDEV(Rankings!AF2:AF651)</f>
        <v>-1.0492348631582442</v>
      </c>
      <c r="Z627" s="121">
        <f>(VLOOKUP($A627,Pitchers!$A1:$S251,8,FALSE)-AVERAGE(Rankings!AG2:AG651))/STDEV(Rankings!AG2:AG651)</f>
        <v>-1.257350632993435</v>
      </c>
      <c r="AA627" s="121">
        <f>(VLOOKUP($A627,Pitchers!$A1:$S251,9,FALSE)-AVERAGE(Rankings!AH2:AH651))/STDEV(Rankings!AH2:AH651)</f>
        <v>0.34306329811114578</v>
      </c>
      <c r="AB627" s="121">
        <f>(VLOOKUP($A627,Pitchers!$A1:$S251,10,FALSE)-AVERAGE(Rankings!AI2:AI651))/STDEV(Rankings!AI2:AI651)*-1</f>
        <v>1.0531351867385885</v>
      </c>
      <c r="AC627" s="121">
        <f>(VLOOKUP($A627,Pitchers!$A1:$S251,11,FALSE)-AVERAGE(Rankings!AJ2:AJ651))/STDEV(Rankings!AJ2:AJ651)*-1</f>
        <v>1.0422345857742008</v>
      </c>
      <c r="AD627" s="121">
        <f>(VLOOKUP($A627,Pitchers!$A1:$S251,12,FALSE)-AVERAGE(Rankings!AK2:AK651))/STDEV(Rankings!AK2:AK651)*-1</f>
        <v>1.0609884644736762</v>
      </c>
      <c r="AE627" s="121">
        <f>IFERROR((VLOOKUP($A627,Pitchers!$A1:$S251,13,FALSE)-AVERAGE(Rankings!AL2:AL651))/STDEV(Rankings!AL2:AL651)*-1,0)</f>
        <v>1.0975713903246602</v>
      </c>
      <c r="AF627" s="121">
        <f>(VLOOKUP($A627,Pitchers!$A1:$S251,14,FALSE)-AVERAGE(Rankings!AM2:AM651))/STDEV(Rankings!AM2:AM651)</f>
        <v>1.4594980662360861</v>
      </c>
      <c r="AG627" s="121">
        <f>(VLOOKUP($A627,Pitchers!$A1:$S251,15,FALSE)-AVERAGE(Rankings!AN2:AN651))/STDEV(Rankings!AN2:AN651)</f>
        <v>-1.2653418049058471</v>
      </c>
      <c r="AH627" s="121">
        <f>(VLOOKUP($A627,Pitchers!$A1:$S251,16,FALSE)-AVERAGE(Rankings!AO2:AO651))/STDEV(Rankings!AO2:AO651)*-1</f>
        <v>1.1038207385133139</v>
      </c>
      <c r="AI627" s="121">
        <f>IFERROR((VLOOKUP($A627,Pitchers!$A1:$S251,17,FALSE)-AVERAGE(Rankings!AP2:AP651))/STDEV(Rankings!AP2:AP651),0)</f>
        <v>-1.126133891603242</v>
      </c>
      <c r="AJ627" s="121">
        <f>(VLOOKUP($A627,Pitchers!$A1:$S251,18,FALSE)-AVERAGE(Rankings!AQ2:AQ651))/STDEV(Rankings!AQ2:AQ651)</f>
        <v>2.0461255587868381</v>
      </c>
      <c r="AK627" s="121">
        <f>IFERROR((VLOOKUP($A627,Pitchers!$A1:$S251,19,FALSE)-AVERAGE(Rankings!AR2:AR651))/STDEV(Rankings!AR2:AR651)*-1,0)</f>
        <v>-1.1567584843949572E-2</v>
      </c>
    </row>
    <row r="628" spans="1:37" ht="20.100000000000001" customHeight="1">
      <c r="A628" s="25" t="s">
        <v>606</v>
      </c>
      <c r="B628" s="26" t="s">
        <v>103</v>
      </c>
      <c r="C628" s="131" t="s">
        <v>34</v>
      </c>
      <c r="D628" s="67">
        <f>(V628*Settings!$G$2)+(Y628*Settings!$G$5)+(Z628*Settings!$G$6)+(AA628*Settings!$G$7)+(AB628*Settings!$G$8)+(AC628*Settings!$G$9)+(AD628*Settings!$G$10)+(AE628*Settings!$G$11)+(AF628*Settings!$G$12)+(AG628*Settings!$G$13)+(AH628*Settings!$G$14)+(AI628*Settings!$G$15)+(AJ628*Settings!$G$16)+(AK628*Settings!$G$17)+(W628*Settings!$G$3)+(X628*Settings!$G$4)</f>
        <v>-2.1174128574628126</v>
      </c>
      <c r="E628" s="67"/>
      <c r="F628" s="67"/>
      <c r="G628" s="67"/>
      <c r="H628" s="67"/>
      <c r="I628" s="67"/>
      <c r="J628" s="67"/>
      <c r="K628" s="73"/>
      <c r="L628" s="73"/>
      <c r="M628" s="67"/>
      <c r="N628" s="67"/>
      <c r="O628" s="67"/>
      <c r="P628" s="67"/>
      <c r="Q628" s="67"/>
      <c r="R628" s="73"/>
      <c r="S628" s="73"/>
      <c r="T628" s="67"/>
      <c r="U628" s="67"/>
      <c r="V628" s="121">
        <f>(VLOOKUP($A628,Pitchers!$A1:$S251,4,FALSE)-AVERAGE(Rankings!AC2:AC651))/STDEV(Rankings!AC2:AC651)</f>
        <v>-0.8696173324251687</v>
      </c>
      <c r="W628" s="121">
        <f>(VLOOKUP($A628,Pitchers!$A1:$S251,5,FALSE)-AVERAGE(Rankings!AD2:AD651))/STDEV(Rankings!AD2:AD651)*-1</f>
        <v>0.49991909927837719</v>
      </c>
      <c r="X628" s="121">
        <f>(VLOOKUP($A628,Pitchers!$A1:$S251,6,FALSE)-AVERAGE(Rankings!AE2:AE651))/STDEV(Rankings!AE2:AE651)*-1</f>
        <v>-0.56832064602113364</v>
      </c>
      <c r="Y628" s="121">
        <f>(VLOOKUP($A628,Pitchers!$A1:$S251,7,FALSE)-AVERAGE(Rankings!AF2:AF651))/STDEV(Rankings!AF2:AF651)</f>
        <v>-0.80889615491696532</v>
      </c>
      <c r="Z628" s="121">
        <f>(VLOOKUP($A628,Pitchers!$A1:$S251,8,FALSE)-AVERAGE(Rankings!AG2:AG651))/STDEV(Rankings!AG2:AG651)</f>
        <v>-0.95535019593305459</v>
      </c>
      <c r="AA628" s="121">
        <f>(VLOOKUP($A628,Pitchers!$A1:$S251,9,FALSE)-AVERAGE(Rankings!AH2:AH651))/STDEV(Rankings!AH2:AH651)</f>
        <v>-0.28476495987003597</v>
      </c>
      <c r="AB628" s="121">
        <f>(VLOOKUP($A628,Pitchers!$A1:$S251,10,FALSE)-AVERAGE(Rankings!AI2:AI651))/STDEV(Rankings!AI2:AI651)*-1</f>
        <v>0.90447040504327603</v>
      </c>
      <c r="AC628" s="121">
        <f>(VLOOKUP($A628,Pitchers!$A1:$S251,11,FALSE)-AVERAGE(Rankings!AJ2:AJ651))/STDEV(Rankings!AJ2:AJ651)*-1</f>
        <v>0.7777750906868498</v>
      </c>
      <c r="AD628" s="121">
        <f>(VLOOKUP($A628,Pitchers!$A1:$S251,12,FALSE)-AVERAGE(Rankings!AK2:AK651))/STDEV(Rankings!AK2:AK651)*-1</f>
        <v>0.72173348468523546</v>
      </c>
      <c r="AE628" s="121">
        <f>IFERROR((VLOOKUP($A628,Pitchers!$A1:$S251,13,FALSE)-AVERAGE(Rankings!AL2:AL651))/STDEV(Rankings!AL2:AL651)*-1,0)</f>
        <v>1.2305781026761702</v>
      </c>
      <c r="AF628" s="121">
        <f>(VLOOKUP($A628,Pitchers!$A1:$S251,14,FALSE)-AVERAGE(Rankings!AM2:AM651))/STDEV(Rankings!AM2:AM651)</f>
        <v>0.80761991200121619</v>
      </c>
      <c r="AG628" s="121">
        <f>(VLOOKUP($A628,Pitchers!$A1:$S251,15,FALSE)-AVERAGE(Rankings!AN2:AN651))/STDEV(Rankings!AN2:AN651)</f>
        <v>-1.0575643565601716</v>
      </c>
      <c r="AH628" s="121">
        <f>(VLOOKUP($A628,Pitchers!$A1:$S251,16,FALSE)-AVERAGE(Rankings!AO2:AO651))/STDEV(Rankings!AO2:AO651)*-1</f>
        <v>1.0975578547443445</v>
      </c>
      <c r="AI628" s="121">
        <f>IFERROR((VLOOKUP($A628,Pitchers!$A1:$S251,17,FALSE)-AVERAGE(Rankings!AP2:AP651))/STDEV(Rankings!AP2:AP651),0)</f>
        <v>-1.126133891603242</v>
      </c>
      <c r="AJ628" s="121">
        <f>(VLOOKUP($A628,Pitchers!$A1:$S251,18,FALSE)-AVERAGE(Rankings!AQ2:AQ651))/STDEV(Rankings!AQ2:AQ651)</f>
        <v>0.6004094320048512</v>
      </c>
      <c r="AK628" s="121">
        <f>IFERROR((VLOOKUP($A628,Pitchers!$A1:$S251,19,FALSE)-AVERAGE(Rankings!AR2:AR651))/STDEV(Rankings!AR2:AR651)*-1,0)</f>
        <v>0.47041511698728217</v>
      </c>
    </row>
    <row r="629" spans="1:37" ht="20.100000000000001" customHeight="1">
      <c r="A629" s="25" t="s">
        <v>555</v>
      </c>
      <c r="B629" s="26" t="s">
        <v>105</v>
      </c>
      <c r="C629" s="131" t="s">
        <v>34</v>
      </c>
      <c r="D629" s="67">
        <f>(V629*Settings!$G$2)+(Y629*Settings!$G$5)+(Z629*Settings!$G$6)+(AA629*Settings!$G$7)+(AB629*Settings!$G$8)+(AC629*Settings!$G$9)+(AD629*Settings!$G$10)+(AE629*Settings!$G$11)+(AF629*Settings!$G$12)+(AG629*Settings!$G$13)+(AH629*Settings!$G$14)+(AI629*Settings!$G$15)+(AJ629*Settings!$G$16)+(AK629*Settings!$G$17)+(W629*Settings!$G$3)+(X629*Settings!$G$4)</f>
        <v>-1.4793870350010283</v>
      </c>
      <c r="E629" s="67"/>
      <c r="F629" s="67"/>
      <c r="G629" s="67"/>
      <c r="H629" s="67"/>
      <c r="I629" s="67"/>
      <c r="J629" s="67"/>
      <c r="K629" s="73"/>
      <c r="L629" s="73"/>
      <c r="M629" s="67"/>
      <c r="N629" s="67"/>
      <c r="O629" s="67"/>
      <c r="P629" s="67"/>
      <c r="Q629" s="67"/>
      <c r="R629" s="73"/>
      <c r="S629" s="73"/>
      <c r="T629" s="67"/>
      <c r="U629" s="67"/>
      <c r="V629" s="121">
        <f>(VLOOKUP($A629,Pitchers!$A1:$S251,4,FALSE)-AVERAGE(Rankings!AC2:AC651))/STDEV(Rankings!AC2:AC651)</f>
        <v>-1.1751971434344035</v>
      </c>
      <c r="W629" s="121">
        <f>(VLOOKUP($A629,Pitchers!$A1:$S251,5,FALSE)-AVERAGE(Rankings!AD2:AD651))/STDEV(Rankings!AD2:AD651)*-1</f>
        <v>0.63666327904611719</v>
      </c>
      <c r="X629" s="121">
        <f>(VLOOKUP($A629,Pitchers!$A1:$S251,6,FALSE)-AVERAGE(Rankings!AE2:AE651))/STDEV(Rankings!AE2:AE651)*-1</f>
        <v>0.20699635277198331</v>
      </c>
      <c r="Y629" s="121">
        <f>(VLOOKUP($A629,Pitchers!$A1:$S251,7,FALSE)-AVERAGE(Rankings!AF2:AF651))/STDEV(Rankings!AF2:AF651)</f>
        <v>-1.1552452903583248</v>
      </c>
      <c r="Z629" s="121">
        <f>(VLOOKUP($A629,Pitchers!$A1:$S251,8,FALSE)-AVERAGE(Rankings!AG2:AG651))/STDEV(Rankings!AG2:AG651)</f>
        <v>-1.1969505455813587</v>
      </c>
      <c r="AA629" s="121">
        <f>(VLOOKUP($A629,Pitchers!$A1:$S251,9,FALSE)-AVERAGE(Rankings!AH2:AH651))/STDEV(Rankings!AH2:AH651)</f>
        <v>2.9149169120554885E-2</v>
      </c>
      <c r="AB629" s="121">
        <f>(VLOOKUP($A629,Pitchers!$A1:$S251,10,FALSE)-AVERAGE(Rankings!AI2:AI651))/STDEV(Rankings!AI2:AI651)*-1</f>
        <v>1.1762716725872311</v>
      </c>
      <c r="AC629" s="121">
        <f>(VLOOKUP($A629,Pitchers!$A1:$S251,11,FALSE)-AVERAGE(Rankings!AJ2:AJ651))/STDEV(Rankings!AJ2:AJ651)*-1</f>
        <v>1.1047948964400256</v>
      </c>
      <c r="AD629" s="121">
        <f>(VLOOKUP($A629,Pitchers!$A1:$S251,12,FALSE)-AVERAGE(Rankings!AK2:AK651))/STDEV(Rankings!AK2:AK651)*-1</f>
        <v>1.2635651790236087</v>
      </c>
      <c r="AE629" s="121">
        <f>IFERROR((VLOOKUP($A629,Pitchers!$A1:$S251,13,FALSE)-AVERAGE(Rankings!AL2:AL651))/STDEV(Rankings!AL2:AL651)*-1,0)</f>
        <v>1.0975713903246602</v>
      </c>
      <c r="AF629" s="121">
        <f>(VLOOKUP($A629,Pitchers!$A1:$S251,14,FALSE)-AVERAGE(Rankings!AM2:AM651))/STDEV(Rankings!AM2:AM651)</f>
        <v>1.1346490863665357</v>
      </c>
      <c r="AG629" s="121">
        <f>(VLOOKUP($A629,Pitchers!$A1:$S251,15,FALSE)-AVERAGE(Rankings!AN2:AN651))/STDEV(Rankings!AN2:AN651)</f>
        <v>-1.2653418049058471</v>
      </c>
      <c r="AH629" s="121">
        <f>(VLOOKUP($A629,Pitchers!$A1:$S251,16,FALSE)-AVERAGE(Rankings!AO2:AO651))/STDEV(Rankings!AO2:AO651)*-1</f>
        <v>1.2603928327375484</v>
      </c>
      <c r="AI629" s="121">
        <f>IFERROR((VLOOKUP($A629,Pitchers!$A1:$S251,17,FALSE)-AVERAGE(Rankings!AP2:AP651))/STDEV(Rankings!AP2:AP651),0)</f>
        <v>-1.126133891603242</v>
      </c>
      <c r="AJ629" s="121">
        <f>(VLOOKUP($A629,Pitchers!$A1:$S251,18,FALSE)-AVERAGE(Rankings!AQ2:AQ651))/STDEV(Rankings!AQ2:AQ651)</f>
        <v>1.8854904335888398</v>
      </c>
      <c r="AK629" s="121">
        <f>IFERROR((VLOOKUP($A629,Pitchers!$A1:$S251,19,FALSE)-AVERAGE(Rankings!AR2:AR651))/STDEV(Rankings!AR2:AR651)*-1,0)</f>
        <v>0.47041511698728217</v>
      </c>
    </row>
    <row r="630" spans="1:37" ht="20.100000000000001" customHeight="1">
      <c r="A630" s="25" t="s">
        <v>584</v>
      </c>
      <c r="B630" s="26" t="s">
        <v>158</v>
      </c>
      <c r="C630" s="131" t="s">
        <v>34</v>
      </c>
      <c r="D630" s="67">
        <f>(V630*Settings!$G$2)+(Y630*Settings!$G$5)+(Z630*Settings!$G$6)+(AA630*Settings!$G$7)+(AB630*Settings!$G$8)+(AC630*Settings!$G$9)+(AD630*Settings!$G$10)+(AE630*Settings!$G$11)+(AF630*Settings!$G$12)+(AG630*Settings!$G$13)+(AH630*Settings!$G$14)+(AI630*Settings!$G$15)+(AJ630*Settings!$G$16)+(AK630*Settings!$G$17)+(W630*Settings!$G$3)+(X630*Settings!$G$4)</f>
        <v>-1.9335079063397491</v>
      </c>
      <c r="E630" s="67"/>
      <c r="F630" s="67"/>
      <c r="G630" s="67"/>
      <c r="H630" s="67"/>
      <c r="I630" s="67"/>
      <c r="J630" s="67"/>
      <c r="K630" s="73"/>
      <c r="L630" s="73"/>
      <c r="M630" s="67"/>
      <c r="N630" s="67"/>
      <c r="O630" s="67"/>
      <c r="P630" s="67"/>
      <c r="Q630" s="67"/>
      <c r="R630" s="73"/>
      <c r="S630" s="73"/>
      <c r="T630" s="67"/>
      <c r="U630" s="67"/>
      <c r="V630" s="121">
        <f>(VLOOKUP($A630,Pitchers!$A1:$S251,4,FALSE)-AVERAGE(Rankings!AC2:AC651))/STDEV(Rankings!AC2:AC651)</f>
        <v>-1.1049773023364382</v>
      </c>
      <c r="W630" s="121">
        <f>(VLOOKUP($A630,Pitchers!$A1:$S251,5,FALSE)-AVERAGE(Rankings!AD2:AD651))/STDEV(Rankings!AD2:AD651)*-1</f>
        <v>1.0693975207056268</v>
      </c>
      <c r="X630" s="121">
        <f>(VLOOKUP($A630,Pitchers!$A1:$S251,6,FALSE)-AVERAGE(Rankings!AE2:AE651))/STDEV(Rankings!AE2:AE651)*-1</f>
        <v>-0.53534378697272011</v>
      </c>
      <c r="Y630" s="121">
        <f>(VLOOKUP($A630,Pitchers!$A1:$S251,7,FALSE)-AVERAGE(Rankings!AF2:AF651))/STDEV(Rankings!AF2:AF651)</f>
        <v>-0.85863392384303061</v>
      </c>
      <c r="Z630" s="121">
        <f>(VLOOKUP($A630,Pitchers!$A1:$S251,8,FALSE)-AVERAGE(Rankings!AG2:AG651))/STDEV(Rankings!AG2:AG651)</f>
        <v>-1.2120505674343778</v>
      </c>
      <c r="AA630" s="121">
        <f>(VLOOKUP($A630,Pitchers!$A1:$S251,9,FALSE)-AVERAGE(Rankings!AH2:AH651))/STDEV(Rankings!AH2:AH651)</f>
        <v>-0.39687714879524705</v>
      </c>
      <c r="AB630" s="121">
        <f>(VLOOKUP($A630,Pitchers!$A1:$S251,10,FALSE)-AVERAGE(Rankings!AI2:AI651))/STDEV(Rankings!AI2:AI651)*-1</f>
        <v>1.1882849882797817</v>
      </c>
      <c r="AC630" s="121">
        <f>(VLOOKUP($A630,Pitchers!$A1:$S251,11,FALSE)-AVERAGE(Rankings!AJ2:AJ651))/STDEV(Rankings!AJ2:AJ651)*-1</f>
        <v>1.1446060032273686</v>
      </c>
      <c r="AD630" s="121">
        <f>(VLOOKUP($A630,Pitchers!$A1:$S251,12,FALSE)-AVERAGE(Rankings!AK2:AK651))/STDEV(Rankings!AK2:AK651)*-1</f>
        <v>0.51183472021181153</v>
      </c>
      <c r="AE630" s="121">
        <f>IFERROR((VLOOKUP($A630,Pitchers!$A1:$S251,13,FALSE)-AVERAGE(Rankings!AL2:AL651))/STDEV(Rankings!AL2:AL651)*-1,0)</f>
        <v>1.3635848150276801</v>
      </c>
      <c r="AF630" s="121">
        <f>(VLOOKUP($A630,Pitchers!$A1:$S251,14,FALSE)-AVERAGE(Rankings!AM2:AM651))/STDEV(Rankings!AM2:AM651)</f>
        <v>1.0376304313048244</v>
      </c>
      <c r="AG630" s="121">
        <f>(VLOOKUP($A630,Pitchers!$A1:$S251,15,FALSE)-AVERAGE(Rankings!AN2:AN651))/STDEV(Rankings!AN2:AN651)</f>
        <v>-1.2653418049058471</v>
      </c>
      <c r="AH630" s="121">
        <f>(VLOOKUP($A630,Pitchers!$A1:$S251,16,FALSE)-AVERAGE(Rankings!AO2:AO651))/STDEV(Rankings!AO2:AO651)*-1</f>
        <v>1.3104959028893033</v>
      </c>
      <c r="AI630" s="121">
        <f>IFERROR((VLOOKUP($A630,Pitchers!$A1:$S251,17,FALSE)-AVERAGE(Rankings!AP2:AP651))/STDEV(Rankings!AP2:AP651),0)</f>
        <v>-1.126133891603242</v>
      </c>
      <c r="AJ630" s="121">
        <f>(VLOOKUP($A630,Pitchers!$A1:$S251,18,FALSE)-AVERAGE(Rankings!AQ2:AQ651))/STDEV(Rankings!AQ2:AQ651)</f>
        <v>0.27913918160885409</v>
      </c>
      <c r="AK630" s="121">
        <f>IFERROR((VLOOKUP($A630,Pitchers!$A1:$S251,19,FALSE)-AVERAGE(Rankings!AR2:AR651))/STDEV(Rankings!AR2:AR651)*-1,0)</f>
        <v>0.47041511698728217</v>
      </c>
    </row>
    <row r="631" spans="1:37" ht="20.100000000000001" customHeight="1">
      <c r="A631" s="25" t="s">
        <v>612</v>
      </c>
      <c r="B631" s="26" t="s">
        <v>72</v>
      </c>
      <c r="C631" s="131" t="s">
        <v>34</v>
      </c>
      <c r="D631" s="67">
        <f>(V631*Settings!$G$2)+(Y631*Settings!$G$5)+(Z631*Settings!$G$6)+(AA631*Settings!$G$7)+(AB631*Settings!$G$8)+(AC631*Settings!$G$9)+(AD631*Settings!$G$10)+(AE631*Settings!$G$11)+(AF631*Settings!$G$12)+(AG631*Settings!$G$13)+(AH631*Settings!$G$14)+(AI631*Settings!$G$15)+(AJ631*Settings!$G$16)+(AK631*Settings!$G$17)+(W631*Settings!$G$3)+(X631*Settings!$G$4)</f>
        <v>-2.1987753190534045</v>
      </c>
      <c r="E631" s="67"/>
      <c r="F631" s="67"/>
      <c r="G631" s="67"/>
      <c r="H631" s="67"/>
      <c r="I631" s="67"/>
      <c r="J631" s="67"/>
      <c r="K631" s="73"/>
      <c r="L631" s="73"/>
      <c r="M631" s="67"/>
      <c r="N631" s="67"/>
      <c r="O631" s="67"/>
      <c r="P631" s="67"/>
      <c r="Q631" s="67"/>
      <c r="R631" s="73"/>
      <c r="S631" s="73"/>
      <c r="T631" s="67"/>
      <c r="U631" s="67"/>
      <c r="V631" s="121">
        <f>(VLOOKUP($A631,Pitchers!$A1:$S251,4,FALSE)-AVERAGE(Rankings!AC2:AC651))/STDEV(Rankings!AC2:AC651)</f>
        <v>-1.0608693619482696</v>
      </c>
      <c r="W631" s="121">
        <f>(VLOOKUP($A631,Pitchers!$A1:$S251,5,FALSE)-AVERAGE(Rankings!AD2:AD651))/STDEV(Rankings!AD2:AD651)*-1</f>
        <v>0.11751369380591506</v>
      </c>
      <c r="X631" s="121">
        <f>(VLOOKUP($A631,Pitchers!$A1:$S251,6,FALSE)-AVERAGE(Rankings!AE2:AE651))/STDEV(Rankings!AE2:AE651)*-1</f>
        <v>-0.79270186509650598</v>
      </c>
      <c r="Y631" s="121">
        <f>(VLOOKUP($A631,Pitchers!$A1:$S251,7,FALSE)-AVERAGE(Rankings!AF2:AF651))/STDEV(Rankings!AF2:AF651)</f>
        <v>-0.80236126556901488</v>
      </c>
      <c r="Z631" s="121">
        <f>(VLOOKUP($A631,Pitchers!$A1:$S251,8,FALSE)-AVERAGE(Rankings!AG2:AG651))/STDEV(Rankings!AG2:AG651)</f>
        <v>-0.39161604675367828</v>
      </c>
      <c r="AA631" s="121">
        <f>(VLOOKUP($A631,Pitchers!$A1:$S251,9,FALSE)-AVERAGE(Rankings!AH2:AH651))/STDEV(Rankings!AH2:AH651)</f>
        <v>-0.3296098354401204</v>
      </c>
      <c r="AB631" s="121">
        <f>(VLOOKUP($A631,Pitchers!$A1:$S251,10,FALSE)-AVERAGE(Rankings!AI2:AI651))/STDEV(Rankings!AI2:AI651)*-1</f>
        <v>0.99907526612211128</v>
      </c>
      <c r="AC631" s="121">
        <f>(VLOOKUP($A631,Pitchers!$A1:$S251,11,FALSE)-AVERAGE(Rankings!AJ2:AJ651))/STDEV(Rankings!AJ2:AJ651)*-1</f>
        <v>1.1083494595460384</v>
      </c>
      <c r="AD631" s="121">
        <f>(VLOOKUP($A631,Pitchers!$A1:$S251,12,FALSE)-AVERAGE(Rankings!AK2:AK651))/STDEV(Rankings!AK2:AK651)*-1</f>
        <v>0.32634278881669299</v>
      </c>
      <c r="AE631" s="121">
        <f>IFERROR((VLOOKUP($A631,Pitchers!$A1:$S251,13,FALSE)-AVERAGE(Rankings!AL2:AL651))/STDEV(Rankings!AL2:AL651)*-1,0)</f>
        <v>1.2305781026761702</v>
      </c>
      <c r="AF631" s="121">
        <f>(VLOOKUP($A631,Pitchers!$A1:$S251,14,FALSE)-AVERAGE(Rankings!AM2:AM651))/STDEV(Rankings!AM2:AM651)</f>
        <v>1.0474413065357837</v>
      </c>
      <c r="AG631" s="121">
        <f>(VLOOKUP($A631,Pitchers!$A1:$S251,15,FALSE)-AVERAGE(Rankings!AN2:AN651))/STDEV(Rankings!AN2:AN651)</f>
        <v>-1.1095087186465904</v>
      </c>
      <c r="AH631" s="121">
        <f>(VLOOKUP($A631,Pitchers!$A1:$S251,16,FALSE)-AVERAGE(Rankings!AO2:AO651))/STDEV(Rankings!AO2:AO651)*-1</f>
        <v>0.74683636368205941</v>
      </c>
      <c r="AI631" s="121">
        <f>IFERROR((VLOOKUP($A631,Pitchers!$A1:$S251,17,FALSE)-AVERAGE(Rankings!AP2:AP651))/STDEV(Rankings!AP2:AP651),0)</f>
        <v>-1.126133891603242</v>
      </c>
      <c r="AJ631" s="121">
        <f>(VLOOKUP($A631,Pitchers!$A1:$S251,18,FALSE)-AVERAGE(Rankings!AQ2:AQ651))/STDEV(Rankings!AQ2:AQ651)</f>
        <v>1.2429499327968454</v>
      </c>
      <c r="AK631" s="121">
        <f>IFERROR((VLOOKUP($A631,Pitchers!$A1:$S251,19,FALSE)-AVERAGE(Rankings!AR2:AR651))/STDEV(Rankings!AR2:AR651)*-1,0)</f>
        <v>-1.1567584843949572E-2</v>
      </c>
    </row>
    <row r="632" spans="1:37" ht="20.100000000000001" customHeight="1">
      <c r="A632" s="25" t="s">
        <v>573</v>
      </c>
      <c r="B632" s="26" t="s">
        <v>142</v>
      </c>
      <c r="C632" s="131" t="s">
        <v>34</v>
      </c>
      <c r="D632" s="67">
        <f>(V632*Settings!$G$2)+(Y632*Settings!$G$5)+(Z632*Settings!$G$6)+(AA632*Settings!$G$7)+(AB632*Settings!$G$8)+(AC632*Settings!$G$9)+(AD632*Settings!$G$10)+(AE632*Settings!$G$11)+(AF632*Settings!$G$12)+(AG632*Settings!$G$13)+(AH632*Settings!$G$14)+(AI632*Settings!$G$15)+(AJ632*Settings!$G$16)+(AK632*Settings!$G$17)+(W632*Settings!$G$3)+(X632*Settings!$G$4)</f>
        <v>-1.7764779657884477</v>
      </c>
      <c r="E632" s="67"/>
      <c r="F632" s="67"/>
      <c r="G632" s="67"/>
      <c r="H632" s="67"/>
      <c r="I632" s="67"/>
      <c r="J632" s="67"/>
      <c r="K632" s="73"/>
      <c r="L632" s="73"/>
      <c r="M632" s="67"/>
      <c r="N632" s="67"/>
      <c r="O632" s="67"/>
      <c r="P632" s="67"/>
      <c r="Q632" s="67"/>
      <c r="R632" s="73"/>
      <c r="S632" s="73"/>
      <c r="T632" s="67"/>
      <c r="U632" s="67"/>
      <c r="V632" s="121">
        <f>(VLOOKUP($A632,Pitchers!$A1:$S251,4,FALSE)-AVERAGE(Rankings!AC2:AC651))/STDEV(Rankings!AC2:AC651)</f>
        <v>-1.157553967279136</v>
      </c>
      <c r="W632" s="121">
        <f>(VLOOKUP($A632,Pitchers!$A1:$S251,5,FALSE)-AVERAGE(Rankings!AD2:AD651))/STDEV(Rankings!AD2:AD651)*-1</f>
        <v>0.53255863885478172</v>
      </c>
      <c r="X632" s="121">
        <f>(VLOOKUP($A632,Pitchers!$A1:$S251,6,FALSE)-AVERAGE(Rankings!AE2:AE651))/STDEV(Rankings!AE2:AE651)*-1</f>
        <v>-0.2183132237954486</v>
      </c>
      <c r="Y632" s="121">
        <f>(VLOOKUP($A632,Pitchers!$A1:$S251,7,FALSE)-AVERAGE(Rankings!AF2:AF651))/STDEV(Rankings!AF2:AF651)</f>
        <v>-1.073922222917167</v>
      </c>
      <c r="Z632" s="121">
        <f>(VLOOKUP($A632,Pitchers!$A1:$S251,8,FALSE)-AVERAGE(Rankings!AG2:AG651))/STDEV(Rankings!AG2:AG651)</f>
        <v>-1.0459503270511685</v>
      </c>
      <c r="AA632" s="121">
        <f>(VLOOKUP($A632,Pitchers!$A1:$S251,9,FALSE)-AVERAGE(Rankings!AH2:AH651))/STDEV(Rankings!AH2:AH651)</f>
        <v>2.9149169120554885E-2</v>
      </c>
      <c r="AB632" s="121">
        <f>(VLOOKUP($A632,Pitchers!$A1:$S251,10,FALSE)-AVERAGE(Rankings!AI2:AI651))/STDEV(Rankings!AI2:AI651)*-1</f>
        <v>1.1462383833558549</v>
      </c>
      <c r="AC632" s="121">
        <f>(VLOOKUP($A632,Pitchers!$A1:$S251,11,FALSE)-AVERAGE(Rankings!AJ2:AJ651))/STDEV(Rankings!AJ2:AJ651)*-1</f>
        <v>1.0934202945007847</v>
      </c>
      <c r="AD632" s="121">
        <f>(VLOOKUP($A632,Pitchers!$A1:$S251,12,FALSE)-AVERAGE(Rankings!AK2:AK651))/STDEV(Rankings!AK2:AK651)*-1</f>
        <v>1.0512257312423543</v>
      </c>
      <c r="AE632" s="121">
        <f>IFERROR((VLOOKUP($A632,Pitchers!$A1:$S251,13,FALSE)-AVERAGE(Rankings!AL2:AL651))/STDEV(Rankings!AL2:AL651)*-1,0)</f>
        <v>1.2305781026761702</v>
      </c>
      <c r="AF632" s="121">
        <f>(VLOOKUP($A632,Pitchers!$A1:$S251,14,FALSE)-AVERAGE(Rankings!AM2:AM651))/STDEV(Rankings!AM2:AM651)</f>
        <v>0.98421566615848854</v>
      </c>
      <c r="AG632" s="121">
        <f>(VLOOKUP($A632,Pitchers!$A1:$S251,15,FALSE)-AVERAGE(Rankings!AN2:AN651))/STDEV(Rankings!AN2:AN651)</f>
        <v>-1.2393696238626377</v>
      </c>
      <c r="AH632" s="121">
        <f>(VLOOKUP($A632,Pitchers!$A1:$S251,16,FALSE)-AVERAGE(Rankings!AO2:AO651))/STDEV(Rankings!AO2:AO651)*-1</f>
        <v>1.2478670651996095</v>
      </c>
      <c r="AI632" s="121">
        <f>IFERROR((VLOOKUP($A632,Pitchers!$A1:$S251,17,FALSE)-AVERAGE(Rankings!AP2:AP651))/STDEV(Rankings!AP2:AP651),0)</f>
        <v>-1.126133891603242</v>
      </c>
      <c r="AJ632" s="121">
        <f>(VLOOKUP($A632,Pitchers!$A1:$S251,18,FALSE)-AVERAGE(Rankings!AQ2:AQ651))/STDEV(Rankings!AQ2:AQ651)</f>
        <v>1.4839026205938433</v>
      </c>
      <c r="AK632" s="121">
        <f>IFERROR((VLOOKUP($A632,Pitchers!$A1:$S251,19,FALSE)-AVERAGE(Rankings!AR2:AR651))/STDEV(Rankings!AR2:AR651)*-1,0)</f>
        <v>0.47041511698728217</v>
      </c>
    </row>
    <row r="633" spans="1:37" ht="20.100000000000001" customHeight="1">
      <c r="A633" s="25" t="s">
        <v>658</v>
      </c>
      <c r="B633" s="26" t="s">
        <v>136</v>
      </c>
      <c r="C633" s="131" t="s">
        <v>34</v>
      </c>
      <c r="D633" s="67">
        <f>(V633*Settings!$G$2)+(Y633*Settings!$G$5)+(Z633*Settings!$G$6)+(AA633*Settings!$G$7)+(AB633*Settings!$G$8)+(AC633*Settings!$G$9)+(AD633*Settings!$G$10)+(AE633*Settings!$G$11)+(AF633*Settings!$G$12)+(AG633*Settings!$G$13)+(AH633*Settings!$G$14)+(AI633*Settings!$G$15)+(AJ633*Settings!$G$16)+(AK633*Settings!$G$17)+(W633*Settings!$G$3)+(X633*Settings!$G$4)</f>
        <v>-3.0220852137246212</v>
      </c>
      <c r="E633" s="67"/>
      <c r="F633" s="67"/>
      <c r="G633" s="67"/>
      <c r="H633" s="67"/>
      <c r="I633" s="67"/>
      <c r="J633" s="67"/>
      <c r="K633" s="73"/>
      <c r="L633" s="73"/>
      <c r="M633" s="67"/>
      <c r="N633" s="67"/>
      <c r="O633" s="67"/>
      <c r="P633" s="67"/>
      <c r="Q633" s="67"/>
      <c r="R633" s="73"/>
      <c r="S633" s="73"/>
      <c r="T633" s="67"/>
      <c r="U633" s="67"/>
      <c r="V633" s="121">
        <f>(VLOOKUP($A633,Pitchers!$A1:$S251,4,FALSE)-AVERAGE(Rankings!AC2:AC651))/STDEV(Rankings!AC2:AC651)</f>
        <v>-1.1046244388133331</v>
      </c>
      <c r="W633" s="121">
        <f>(VLOOKUP($A633,Pitchers!$A1:$S251,5,FALSE)-AVERAGE(Rankings!AD2:AD651))/STDEV(Rankings!AD2:AD651)*-1</f>
        <v>0.1427015200526848</v>
      </c>
      <c r="X633" s="121">
        <f>(VLOOKUP($A633,Pitchers!$A1:$S251,6,FALSE)-AVERAGE(Rankings!AE2:AE651))/STDEV(Rankings!AE2:AE651)*-1</f>
        <v>-2.1043325475464485</v>
      </c>
      <c r="Y633" s="121">
        <f>(VLOOKUP($A633,Pitchers!$A1:$S251,7,FALSE)-AVERAGE(Rankings!AF2:AF651))/STDEV(Rankings!AF2:AF651)</f>
        <v>-0.78130439989228651</v>
      </c>
      <c r="Z633" s="121">
        <f>(VLOOKUP($A633,Pitchers!$A1:$S251,8,FALSE)-AVERAGE(Rankings!AG2:AG651))/STDEV(Rankings!AG2:AG651)</f>
        <v>-1.0258169645804767</v>
      </c>
      <c r="AA633" s="121">
        <f>(VLOOKUP($A633,Pitchers!$A1:$S251,9,FALSE)-AVERAGE(Rankings!AH2:AH651))/STDEV(Rankings!AH2:AH651)</f>
        <v>0.74666717824190554</v>
      </c>
      <c r="AB633" s="121">
        <f>(VLOOKUP($A633,Pitchers!$A1:$S251,10,FALSE)-AVERAGE(Rankings!AI2:AI651))/STDEV(Rankings!AI2:AI651)*-1</f>
        <v>1.0411218710460379</v>
      </c>
      <c r="AC633" s="121">
        <f>(VLOOKUP($A633,Pitchers!$A1:$S251,11,FALSE)-AVERAGE(Rankings!AJ2:AJ651))/STDEV(Rankings!AJ2:AJ651)*-1</f>
        <v>1.0976857702280001</v>
      </c>
      <c r="AD633" s="121">
        <f>(VLOOKUP($A633,Pitchers!$A1:$S251,12,FALSE)-AVERAGE(Rankings!AK2:AK651))/STDEV(Rankings!AK2:AK651)*-1</f>
        <v>-1.5352874279578509E-2</v>
      </c>
      <c r="AE633" s="121">
        <f>IFERROR((VLOOKUP($A633,Pitchers!$A1:$S251,13,FALSE)-AVERAGE(Rankings!AL2:AL651))/STDEV(Rankings!AL2:AL651)*-1,0)</f>
        <v>1.3635848150276801</v>
      </c>
      <c r="AF633" s="121">
        <f>(VLOOKUP($A633,Pitchers!$A1:$S251,14,FALSE)-AVERAGE(Rankings!AM2:AM651))/STDEV(Rankings!AM2:AM651)</f>
        <v>1.6360938203933593</v>
      </c>
      <c r="AG633" s="121">
        <f>(VLOOKUP($A633,Pitchers!$A1:$S251,15,FALSE)-AVERAGE(Rankings!AN2:AN651))/STDEV(Rankings!AN2:AN651)</f>
        <v>-1.2653418049058471</v>
      </c>
      <c r="AH633" s="121">
        <f>(VLOOKUP($A633,Pitchers!$A1:$S251,16,FALSE)-AVERAGE(Rankings!AO2:AO651))/STDEV(Rankings!AO2:AO651)*-1</f>
        <v>1.0349290170546508</v>
      </c>
      <c r="AI633" s="121">
        <f>IFERROR((VLOOKUP($A633,Pitchers!$A1:$S251,17,FALSE)-AVERAGE(Rankings!AP2:AP651))/STDEV(Rankings!AP2:AP651),0)</f>
        <v>-1.126133891603242</v>
      </c>
      <c r="AJ633" s="121">
        <f>(VLOOKUP($A633,Pitchers!$A1:$S251,18,FALSE)-AVERAGE(Rankings!AQ2:AQ651))/STDEV(Rankings!AQ2:AQ651)</f>
        <v>1.4035850579948441</v>
      </c>
      <c r="AK633" s="121">
        <f>IFERROR((VLOOKUP($A633,Pitchers!$A1:$S251,19,FALSE)-AVERAGE(Rankings!AR2:AR651))/STDEV(Rankings!AR2:AR651)*-1,0)</f>
        <v>-0.4935502866751813</v>
      </c>
    </row>
    <row r="634" spans="1:37" ht="20.100000000000001" customHeight="1">
      <c r="A634" s="25" t="s">
        <v>581</v>
      </c>
      <c r="B634" s="26" t="s">
        <v>160</v>
      </c>
      <c r="C634" s="131" t="s">
        <v>34</v>
      </c>
      <c r="D634" s="67">
        <f>(V634*Settings!$G$2)+(Y634*Settings!$G$5)+(Z634*Settings!$G$6)+(AA634*Settings!$G$7)+(AB634*Settings!$G$8)+(AC634*Settings!$G$9)+(AD634*Settings!$G$10)+(AE634*Settings!$G$11)+(AF634*Settings!$G$12)+(AG634*Settings!$G$13)+(AH634*Settings!$G$14)+(AI634*Settings!$G$15)+(AJ634*Settings!$G$16)+(AK634*Settings!$G$17)+(W634*Settings!$G$3)+(X634*Settings!$G$4)</f>
        <v>-1.8717202443202354</v>
      </c>
      <c r="E634" s="67"/>
      <c r="F634" s="67"/>
      <c r="G634" s="67"/>
      <c r="H634" s="67"/>
      <c r="I634" s="67"/>
      <c r="J634" s="67"/>
      <c r="K634" s="73"/>
      <c r="L634" s="73"/>
      <c r="M634" s="67"/>
      <c r="N634" s="67"/>
      <c r="O634" s="67"/>
      <c r="P634" s="67"/>
      <c r="Q634" s="67"/>
      <c r="R634" s="73"/>
      <c r="S634" s="73"/>
      <c r="T634" s="67"/>
      <c r="U634" s="67"/>
      <c r="V634" s="121">
        <f>(VLOOKUP($A634,Pitchers!$A1:$S251,4,FALSE)-AVERAGE(Rankings!AC2:AC651))/STDEV(Rankings!AC2:AC651)</f>
        <v>-1.0827469003808012</v>
      </c>
      <c r="W634" s="121">
        <f>(VLOOKUP($A634,Pitchers!$A1:$S251,5,FALSE)-AVERAGE(Rankings!AD2:AD651))/STDEV(Rankings!AD2:AD651)*-1</f>
        <v>-0.14021697245195158</v>
      </c>
      <c r="X634" s="121">
        <f>(VLOOKUP($A634,Pitchers!$A1:$S251,6,FALSE)-AVERAGE(Rankings!AE2:AE651))/STDEV(Rankings!AE2:AE651)*-1</f>
        <v>0.52806357239096469</v>
      </c>
      <c r="Y634" s="121">
        <f>(VLOOKUP($A634,Pitchers!$A1:$S251,7,FALSE)-AVERAGE(Rankings!AF2:AF651))/STDEV(Rankings!AF2:AF651)</f>
        <v>-0.99840794600752047</v>
      </c>
      <c r="Z634" s="121">
        <f>(VLOOKUP($A634,Pitchers!$A1:$S251,8,FALSE)-AVERAGE(Rankings!AG2:AG651))/STDEV(Rankings!AG2:AG651)</f>
        <v>-1.0660836895218608</v>
      </c>
      <c r="AA634" s="121">
        <f>(VLOOKUP($A634,Pitchers!$A1:$S251,9,FALSE)-AVERAGE(Rankings!AH2:AH651))/STDEV(Rankings!AH2:AH651)</f>
        <v>-0.19507520872986717</v>
      </c>
      <c r="AB634" s="121">
        <f>(VLOOKUP($A634,Pitchers!$A1:$S251,10,FALSE)-AVERAGE(Rankings!AI2:AI651))/STDEV(Rankings!AI2:AI651)*-1</f>
        <v>0.97655029919857905</v>
      </c>
      <c r="AC634" s="121">
        <f>(VLOOKUP($A634,Pitchers!$A1:$S251,11,FALSE)-AVERAGE(Rankings!AJ2:AJ651))/STDEV(Rankings!AJ2:AJ651)*-1</f>
        <v>1.041523673152998</v>
      </c>
      <c r="AD634" s="121">
        <f>(VLOOKUP($A634,Pitchers!$A1:$S251,12,FALSE)-AVERAGE(Rankings!AK2:AK651))/STDEV(Rankings!AK2:AK651)*-1</f>
        <v>1.2415990292531343</v>
      </c>
      <c r="AE634" s="121">
        <f>IFERROR((VLOOKUP($A634,Pitchers!$A1:$S251,13,FALSE)-AVERAGE(Rankings!AL2:AL651))/STDEV(Rankings!AL2:AL651)*-1,0)</f>
        <v>0.96456467797315026</v>
      </c>
      <c r="AF634" s="121">
        <f>(VLOOKUP($A634,Pitchers!$A1:$S251,14,FALSE)-AVERAGE(Rankings!AM2:AM651))/STDEV(Rankings!AM2:AM651)</f>
        <v>0.24076934310132922</v>
      </c>
      <c r="AG634" s="121">
        <f>(VLOOKUP($A634,Pitchers!$A1:$S251,15,FALSE)-AVERAGE(Rankings!AN2:AN651))/STDEV(Rankings!AN2:AN651)</f>
        <v>-1.0056199944737525</v>
      </c>
      <c r="AH634" s="121">
        <f>(VLOOKUP($A634,Pitchers!$A1:$S251,16,FALSE)-AVERAGE(Rankings!AO2:AO651))/STDEV(Rankings!AO2:AO651)*-1</f>
        <v>0.83451673644763058</v>
      </c>
      <c r="AI634" s="121">
        <f>IFERROR((VLOOKUP($A634,Pitchers!$A1:$S251,17,FALSE)-AVERAGE(Rankings!AP2:AP651))/STDEV(Rankings!AP2:AP651),0)</f>
        <v>-1.126133891603242</v>
      </c>
      <c r="AJ634" s="121">
        <f>(VLOOKUP($A634,Pitchers!$A1:$S251,18,FALSE)-AVERAGE(Rankings!AQ2:AQ651))/STDEV(Rankings!AQ2:AQ651)</f>
        <v>0.9216796824008483</v>
      </c>
      <c r="AK634" s="121">
        <f>IFERROR((VLOOKUP($A634,Pitchers!$A1:$S251,19,FALSE)-AVERAGE(Rankings!AR2:AR651))/STDEV(Rankings!AR2:AR651)*-1,0)</f>
        <v>-1.1567584843949572E-2</v>
      </c>
    </row>
    <row r="635" spans="1:37" ht="20.100000000000001" customHeight="1">
      <c r="A635" s="25" t="s">
        <v>564</v>
      </c>
      <c r="B635" s="26" t="s">
        <v>95</v>
      </c>
      <c r="C635" s="131" t="s">
        <v>34</v>
      </c>
      <c r="D635" s="67">
        <f>(V635*Settings!$G$2)+(Y635*Settings!$G$5)+(Z635*Settings!$G$6)+(AA635*Settings!$G$7)+(AB635*Settings!$G$8)+(AC635*Settings!$G$9)+(AD635*Settings!$G$10)+(AE635*Settings!$G$11)+(AF635*Settings!$G$12)+(AG635*Settings!$G$13)+(AH635*Settings!$G$14)+(AI635*Settings!$G$15)+(AJ635*Settings!$G$16)+(AK635*Settings!$G$17)+(W635*Settings!$G$3)+(X635*Settings!$G$4)</f>
        <v>-1.5931320618027587</v>
      </c>
      <c r="E635" s="67"/>
      <c r="F635" s="67"/>
      <c r="G635" s="67"/>
      <c r="H635" s="67"/>
      <c r="I635" s="67"/>
      <c r="J635" s="67"/>
      <c r="K635" s="73"/>
      <c r="L635" s="73"/>
      <c r="M635" s="67"/>
      <c r="N635" s="67"/>
      <c r="O635" s="67"/>
      <c r="P635" s="67"/>
      <c r="Q635" s="67"/>
      <c r="R635" s="73"/>
      <c r="S635" s="73"/>
      <c r="T635" s="67"/>
      <c r="U635" s="67"/>
      <c r="V635" s="121">
        <f>(VLOOKUP($A635,Pitchers!$A1:$S251,4,FALSE)-AVERAGE(Rankings!AC2:AC651))/STDEV(Rankings!AC2:AC651)</f>
        <v>-1.0883927167504868</v>
      </c>
      <c r="W635" s="121">
        <f>(VLOOKUP($A635,Pitchers!$A1:$S251,5,FALSE)-AVERAGE(Rankings!AD2:AD651))/STDEV(Rankings!AD2:AD651)*-1</f>
        <v>-0.1045717337153758</v>
      </c>
      <c r="X635" s="121">
        <f>(VLOOKUP($A635,Pitchers!$A1:$S251,6,FALSE)-AVERAGE(Rankings!AE2:AE651))/STDEV(Rankings!AE2:AE651)*-1</f>
        <v>0.53738431222493144</v>
      </c>
      <c r="Y635" s="121">
        <f>(VLOOKUP($A635,Pitchers!$A1:$S251,7,FALSE)-AVERAGE(Rankings!AF2:AF651))/STDEV(Rankings!AF2:AF651)</f>
        <v>-1.1610540808898362</v>
      </c>
      <c r="Z635" s="121">
        <f>(VLOOKUP($A635,Pitchers!$A1:$S251,8,FALSE)-AVERAGE(Rankings!AG2:AG651))/STDEV(Rankings!AG2:AG651)</f>
        <v>-0.80434997740286429</v>
      </c>
      <c r="AA635" s="121">
        <f>(VLOOKUP($A635,Pitchers!$A1:$S251,9,FALSE)-AVERAGE(Rankings!AH2:AH651))/STDEV(Rankings!AH2:AH651)</f>
        <v>-6.0540582019613924E-2</v>
      </c>
      <c r="AB635" s="121">
        <f>(VLOOKUP($A635,Pitchers!$A1:$S251,10,FALSE)-AVERAGE(Rankings!AI2:AI651))/STDEV(Rankings!AI2:AI651)*-1</f>
        <v>0.98736228332187448</v>
      </c>
      <c r="AC635" s="121">
        <f>(VLOOKUP($A635,Pitchers!$A1:$S251,11,FALSE)-AVERAGE(Rankings!AJ2:AJ651))/STDEV(Rankings!AJ2:AJ651)*-1</f>
        <v>1.0308599838349597</v>
      </c>
      <c r="AD635" s="121">
        <f>(VLOOKUP($A635,Pitchers!$A1:$S251,12,FALSE)-AVERAGE(Rankings!AK2:AK651))/STDEV(Rankings!AK2:AK651)*-1</f>
        <v>1.3050567952567274</v>
      </c>
      <c r="AE635" s="121">
        <f>IFERROR((VLOOKUP($A635,Pitchers!$A1:$S251,13,FALSE)-AVERAGE(Rankings!AL2:AL651))/STDEV(Rankings!AL2:AL651)*-1,0)</f>
        <v>0.56554454091862039</v>
      </c>
      <c r="AF635" s="121">
        <f>(VLOOKUP($A635,Pitchers!$A1:$S251,14,FALSE)-AVERAGE(Rankings!AM2:AM651))/STDEV(Rankings!AM2:AM651)</f>
        <v>1.5052821506472311</v>
      </c>
      <c r="AG635" s="121">
        <f>(VLOOKUP($A635,Pitchers!$A1:$S251,15,FALSE)-AVERAGE(Rankings!AN2:AN651))/STDEV(Rankings!AN2:AN651)</f>
        <v>-1.2653418049058471</v>
      </c>
      <c r="AH635" s="121">
        <f>(VLOOKUP($A635,Pitchers!$A1:$S251,16,FALSE)-AVERAGE(Rankings!AO2:AO651))/STDEV(Rankings!AO2:AO651)*-1</f>
        <v>0.74683636368205941</v>
      </c>
      <c r="AI635" s="121">
        <f>IFERROR((VLOOKUP($A635,Pitchers!$A1:$S251,17,FALSE)-AVERAGE(Rankings!AP2:AP651))/STDEV(Rankings!AP2:AP651),0)</f>
        <v>-1.126133891603242</v>
      </c>
      <c r="AJ635" s="121">
        <f>(VLOOKUP($A635,Pitchers!$A1:$S251,18,FALSE)-AVERAGE(Rankings!AQ2:AQ651))/STDEV(Rankings!AQ2:AQ651)</f>
        <v>2.0461255587868381</v>
      </c>
      <c r="AK635" s="121">
        <f>IFERROR((VLOOKUP($A635,Pitchers!$A1:$S251,19,FALSE)-AVERAGE(Rankings!AR2:AR651))/STDEV(Rankings!AR2:AR651)*-1,0)</f>
        <v>-1.1567584843949572E-2</v>
      </c>
    </row>
    <row r="636" spans="1:37" ht="20.100000000000001" customHeight="1">
      <c r="A636" s="25" t="s">
        <v>571</v>
      </c>
      <c r="B636" s="26" t="s">
        <v>64</v>
      </c>
      <c r="C636" s="131" t="s">
        <v>34</v>
      </c>
      <c r="D636" s="67">
        <f>(V636*Settings!$G$2)+(Y636*Settings!$G$5)+(Z636*Settings!$G$6)+(AA636*Settings!$G$7)+(AB636*Settings!$G$8)+(AC636*Settings!$G$9)+(AD636*Settings!$G$10)+(AE636*Settings!$G$11)+(AF636*Settings!$G$12)+(AG636*Settings!$G$13)+(AH636*Settings!$G$14)+(AI636*Settings!$G$15)+(AJ636*Settings!$G$16)+(AK636*Settings!$G$17)+(W636*Settings!$G$3)+(X636*Settings!$G$4)</f>
        <v>-1.727816381729286</v>
      </c>
      <c r="E636" s="67"/>
      <c r="F636" s="67"/>
      <c r="G636" s="67"/>
      <c r="H636" s="67"/>
      <c r="I636" s="67"/>
      <c r="J636" s="67"/>
      <c r="K636" s="73"/>
      <c r="L636" s="73"/>
      <c r="M636" s="67"/>
      <c r="N636" s="67"/>
      <c r="O636" s="67"/>
      <c r="P636" s="67"/>
      <c r="Q636" s="67"/>
      <c r="R636" s="73"/>
      <c r="S636" s="73"/>
      <c r="T636" s="67"/>
      <c r="U636" s="67"/>
      <c r="V636" s="121">
        <f>(VLOOKUP($A636,Pitchers!$A1:$S251,4,FALSE)-AVERAGE(Rankings!AC2:AC651))/STDEV(Rankings!AC2:AC651)</f>
        <v>-1.0509891833013196</v>
      </c>
      <c r="W636" s="121">
        <f>(VLOOKUP($A636,Pitchers!$A1:$S251,5,FALSE)-AVERAGE(Rankings!AD2:AD651))/STDEV(Rankings!AD2:AD651)*-1</f>
        <v>0.17863748838809915</v>
      </c>
      <c r="X636" s="121">
        <f>(VLOOKUP($A636,Pitchers!$A1:$S251,6,FALSE)-AVERAGE(Rankings!AE2:AE651))/STDEV(Rankings!AE2:AE651)*-1</f>
        <v>0.44967099778293901</v>
      </c>
      <c r="Y636" s="121">
        <f>(VLOOKUP($A636,Pitchers!$A1:$S251,7,FALSE)-AVERAGE(Rankings!AF2:AF651))/STDEV(Rankings!AF2:AF651)</f>
        <v>-1.0318084915637102</v>
      </c>
      <c r="Z636" s="121">
        <f>(VLOOKUP($A636,Pitchers!$A1:$S251,8,FALSE)-AVERAGE(Rankings!AG2:AG651))/STDEV(Rankings!AG2:AG651)</f>
        <v>-0.90501678975632449</v>
      </c>
      <c r="AA636" s="121">
        <f>(VLOOKUP($A636,Pitchers!$A1:$S251,9,FALSE)-AVERAGE(Rankings!AH2:AH651))/STDEV(Rankings!AH2:AH651)</f>
        <v>-0.41929958658028921</v>
      </c>
      <c r="AB636" s="121">
        <f>(VLOOKUP($A636,Pitchers!$A1:$S251,10,FALSE)-AVERAGE(Rankings!AI2:AI651))/STDEV(Rankings!AI2:AI651)*-1</f>
        <v>1.00057693058368</v>
      </c>
      <c r="AC636" s="121">
        <f>(VLOOKUP($A636,Pitchers!$A1:$S251,11,FALSE)-AVERAGE(Rankings!AJ2:AJ651))/STDEV(Rankings!AJ2:AJ651)*-1</f>
        <v>1.1183022362428743</v>
      </c>
      <c r="AD636" s="121">
        <f>(VLOOKUP($A636,Pitchers!$A1:$S251,12,FALSE)-AVERAGE(Rankings!AK2:AK651))/STDEV(Rankings!AK2:AK651)*-1</f>
        <v>0.81447945038279479</v>
      </c>
      <c r="AE636" s="121">
        <f>IFERROR((VLOOKUP($A636,Pitchers!$A1:$S251,13,FALSE)-AVERAGE(Rankings!AL2:AL651))/STDEV(Rankings!AL2:AL651)*-1,0)</f>
        <v>0.8315579656216403</v>
      </c>
      <c r="AF636" s="121">
        <f>(VLOOKUP($A636,Pitchers!$A1:$S251,14,FALSE)-AVERAGE(Rankings!AM2:AM651))/STDEV(Rankings!AM2:AM651)</f>
        <v>1.4616782607318553</v>
      </c>
      <c r="AG636" s="121">
        <f>(VLOOKUP($A636,Pitchers!$A1:$S251,15,FALSE)-AVERAGE(Rankings!AN2:AN651))/STDEV(Rankings!AN2:AN651)</f>
        <v>-1.2393696238626377</v>
      </c>
      <c r="AH636" s="121">
        <f>(VLOOKUP($A636,Pitchers!$A1:$S251,16,FALSE)-AVERAGE(Rankings!AO2:AO651))/STDEV(Rankings!AO2:AO651)*-1</f>
        <v>1.1100836222822834</v>
      </c>
      <c r="AI636" s="121">
        <f>IFERROR((VLOOKUP($A636,Pitchers!$A1:$S251,17,FALSE)-AVERAGE(Rankings!AP2:AP651))/STDEV(Rankings!AP2:AP651),0)</f>
        <v>-1.126133891603242</v>
      </c>
      <c r="AJ636" s="121">
        <f>(VLOOKUP($A636,Pitchers!$A1:$S251,18,FALSE)-AVERAGE(Rankings!AQ2:AQ651))/STDEV(Rankings!AQ2:AQ651)</f>
        <v>0.27913918160885409</v>
      </c>
      <c r="AK636" s="121">
        <f>IFERROR((VLOOKUP($A636,Pitchers!$A1:$S251,19,FALSE)-AVERAGE(Rankings!AR2:AR651))/STDEV(Rankings!AR2:AR651)*-1,0)</f>
        <v>0.47041511698728217</v>
      </c>
    </row>
    <row r="637" spans="1:37" ht="20.100000000000001" customHeight="1">
      <c r="A637" s="25" t="s">
        <v>577</v>
      </c>
      <c r="B637" s="26" t="s">
        <v>85</v>
      </c>
      <c r="C637" s="131" t="s">
        <v>34</v>
      </c>
      <c r="D637" s="67">
        <f>(V637*Settings!$G$2)+(Y637*Settings!$G$5)+(Z637*Settings!$G$6)+(AA637*Settings!$G$7)+(AB637*Settings!$G$8)+(AC637*Settings!$G$9)+(AD637*Settings!$G$10)+(AE637*Settings!$G$11)+(AF637*Settings!$G$12)+(AG637*Settings!$G$13)+(AH637*Settings!$G$14)+(AI637*Settings!$G$15)+(AJ637*Settings!$G$16)+(AK637*Settings!$G$17)+(W637*Settings!$G$3)+(X637*Settings!$G$4)</f>
        <v>-1.8424901636348647</v>
      </c>
      <c r="E637" s="67"/>
      <c r="F637" s="67"/>
      <c r="G637" s="67"/>
      <c r="H637" s="67"/>
      <c r="I637" s="67"/>
      <c r="J637" s="67"/>
      <c r="K637" s="73"/>
      <c r="L637" s="73"/>
      <c r="M637" s="67"/>
      <c r="N637" s="67"/>
      <c r="O637" s="67"/>
      <c r="P637" s="67"/>
      <c r="Q637" s="67"/>
      <c r="R637" s="73"/>
      <c r="S637" s="73"/>
      <c r="T637" s="67"/>
      <c r="U637" s="67"/>
      <c r="V637" s="121">
        <f>(VLOOKUP($A637,Pitchers!$A1:$S251,4,FALSE)-AVERAGE(Rankings!AC2:AC651))/STDEV(Rankings!AC2:AC651)</f>
        <v>-1.099684349489858</v>
      </c>
      <c r="W637" s="121">
        <f>(VLOOKUP($A637,Pitchers!$A1:$S251,5,FALSE)-AVERAGE(Rankings!AD2:AD651))/STDEV(Rankings!AD2:AD651)*-1</f>
        <v>-3.9137725613806323E-2</v>
      </c>
      <c r="X637" s="121">
        <f>(VLOOKUP($A637,Pitchers!$A1:$S251,6,FALSE)-AVERAGE(Rankings!AE2:AE651))/STDEV(Rankings!AE2:AE651)*-1</f>
        <v>0.25074991974575306</v>
      </c>
      <c r="Y637" s="121">
        <f>(VLOOKUP($A637,Pitchers!$A1:$S251,7,FALSE)-AVERAGE(Rankings!AF2:AF651))/STDEV(Rankings!AF2:AF651)</f>
        <v>-1.249638136495383</v>
      </c>
      <c r="Z637" s="121">
        <f>(VLOOKUP($A637,Pitchers!$A1:$S251,8,FALSE)-AVERAGE(Rankings!AG2:AG651))/STDEV(Rankings!AG2:AG651)</f>
        <v>-1.2372172705227431</v>
      </c>
      <c r="AA637" s="121">
        <f>(VLOOKUP($A637,Pitchers!$A1:$S251,9,FALSE)-AVERAGE(Rankings!AH2:AH651))/STDEV(Rankings!AH2:AH651)</f>
        <v>0.43275304925131469</v>
      </c>
      <c r="AB637" s="121">
        <f>(VLOOKUP($A637,Pitchers!$A1:$S251,10,FALSE)-AVERAGE(Rankings!AI2:AI651))/STDEV(Rankings!AI2:AI651)*-1</f>
        <v>1.0079050531561358</v>
      </c>
      <c r="AC637" s="121">
        <f>(VLOOKUP($A637,Pitchers!$A1:$S251,11,FALSE)-AVERAGE(Rankings!AJ2:AJ651))/STDEV(Rankings!AJ2:AJ651)*-1</f>
        <v>1.0287272459713519</v>
      </c>
      <c r="AD637" s="121">
        <f>(VLOOKUP($A637,Pitchers!$A1:$S251,12,FALSE)-AVERAGE(Rankings!AK2:AK651))/STDEV(Rankings!AK2:AK651)*-1</f>
        <v>1.2318362960218121</v>
      </c>
      <c r="AE637" s="121">
        <f>IFERROR((VLOOKUP($A637,Pitchers!$A1:$S251,13,FALSE)-AVERAGE(Rankings!AL2:AL651))/STDEV(Rankings!AL2:AL651)*-1,0)</f>
        <v>0.8315579656216403</v>
      </c>
      <c r="AF637" s="121">
        <f>(VLOOKUP($A637,Pitchers!$A1:$S251,14,FALSE)-AVERAGE(Rankings!AM2:AM651))/STDEV(Rankings!AM2:AM651)</f>
        <v>0.91444944229388681</v>
      </c>
      <c r="AG637" s="121">
        <f>(VLOOKUP($A637,Pitchers!$A1:$S251,15,FALSE)-AVERAGE(Rankings!AN2:AN651))/STDEV(Rankings!AN2:AN651)</f>
        <v>-1.2393696238626377</v>
      </c>
      <c r="AH637" s="121">
        <f>(VLOOKUP($A637,Pitchers!$A1:$S251,16,FALSE)-AVERAGE(Rankings!AO2:AO651))/STDEV(Rankings!AO2:AO651)*-1</f>
        <v>1.3605989730410584</v>
      </c>
      <c r="AI637" s="121">
        <f>IFERROR((VLOOKUP($A637,Pitchers!$A1:$S251,17,FALSE)-AVERAGE(Rankings!AP2:AP651))/STDEV(Rankings!AP2:AP651),0)</f>
        <v>-1.126133891603242</v>
      </c>
      <c r="AJ637" s="121">
        <f>(VLOOKUP($A637,Pitchers!$A1:$S251,18,FALSE)-AVERAGE(Rankings!AQ2:AQ651))/STDEV(Rankings!AQ2:AQ651)</f>
        <v>1.0019972449998475</v>
      </c>
      <c r="AK637" s="121">
        <f>IFERROR((VLOOKUP($A637,Pitchers!$A1:$S251,19,FALSE)-AVERAGE(Rankings!AR2:AR651))/STDEV(Rankings!AR2:AR651)*-1,0)</f>
        <v>-0.4935502866751813</v>
      </c>
    </row>
    <row r="638" spans="1:37" ht="20.100000000000001" customHeight="1">
      <c r="A638" s="25" t="s">
        <v>483</v>
      </c>
      <c r="B638" s="26" t="s">
        <v>95</v>
      </c>
      <c r="C638" s="131" t="s">
        <v>34</v>
      </c>
      <c r="D638" s="67">
        <f>(V638*Settings!$G$2)+(Y638*Settings!$G$5)+(Z638*Settings!$G$6)+(AA638*Settings!$G$7)+(AB638*Settings!$G$8)+(AC638*Settings!$G$9)+(AD638*Settings!$G$10)+(AE638*Settings!$G$11)+(AF638*Settings!$G$12)+(AG638*Settings!$G$13)+(AH638*Settings!$G$14)+(AI638*Settings!$G$15)+(AJ638*Settings!$G$16)+(AK638*Settings!$G$17)+(W638*Settings!$G$3)+(X638*Settings!$G$4)</f>
        <v>-0.68061906109857495</v>
      </c>
      <c r="E638" s="67"/>
      <c r="F638" s="67"/>
      <c r="G638" s="67"/>
      <c r="H638" s="67"/>
      <c r="I638" s="67"/>
      <c r="J638" s="67"/>
      <c r="K638" s="73"/>
      <c r="L638" s="73"/>
      <c r="M638" s="67"/>
      <c r="N638" s="67"/>
      <c r="O638" s="67"/>
      <c r="P638" s="67"/>
      <c r="Q638" s="67"/>
      <c r="R638" s="73"/>
      <c r="S638" s="73"/>
      <c r="T638" s="67"/>
      <c r="U638" s="67"/>
      <c r="V638" s="121">
        <f>(VLOOKUP($A638,Pitchers!$A1:$S251,4,FALSE)-AVERAGE(Rankings!AC2:AC651))/STDEV(Rankings!AC2:AC651)</f>
        <v>-1.6134536391312502</v>
      </c>
      <c r="W638" s="121">
        <f>(VLOOKUP($A638,Pitchers!$A1:$S251,5,FALSE)-AVERAGE(Rankings!AD2:AD651))/STDEV(Rankings!AD2:AD651)*-1</f>
        <v>0.49390004632522805</v>
      </c>
      <c r="X638" s="121">
        <f>(VLOOKUP($A638,Pitchers!$A1:$S251,6,FALSE)-AVERAGE(Rankings!AE2:AE651))/STDEV(Rankings!AE2:AE651)*-1</f>
        <v>1.7493646351350962</v>
      </c>
      <c r="Y638" s="121">
        <f>(VLOOKUP($A638,Pitchers!$A1:$S251,7,FALSE)-AVERAGE(Rankings!AF2:AF651))/STDEV(Rankings!AF2:AF651)</f>
        <v>-1.5821913944244033</v>
      </c>
      <c r="Z638" s="121">
        <f>(VLOOKUP($A638,Pitchers!$A1:$S251,8,FALSE)-AVERAGE(Rankings!AG2:AG651))/STDEV(Rankings!AG2:AG651)</f>
        <v>-1.1466171394046287</v>
      </c>
      <c r="AA638" s="121">
        <f>(VLOOKUP($A638,Pitchers!$A1:$S251,9,FALSE)-AVERAGE(Rankings!AH2:AH651))/STDEV(Rankings!AH2:AH651)</f>
        <v>-0.19507520872986717</v>
      </c>
      <c r="AB638" s="121">
        <f>(VLOOKUP($A638,Pitchers!$A1:$S251,10,FALSE)-AVERAGE(Rankings!AI2:AI651))/STDEV(Rankings!AI2:AI651)*-1</f>
        <v>1.5156478409017828</v>
      </c>
      <c r="AC638" s="121">
        <f>(VLOOKUP($A638,Pitchers!$A1:$S251,11,FALSE)-AVERAGE(Rankings!AJ2:AJ651))/STDEV(Rankings!AJ2:AJ651)*-1</f>
        <v>1.5675990128428894</v>
      </c>
      <c r="AD638" s="121">
        <f>(VLOOKUP($A638,Pitchers!$A1:$S251,12,FALSE)-AVERAGE(Rankings!AK2:AK651))/STDEV(Rankings!AK2:AK651)*-1</f>
        <v>1.8932614724438801</v>
      </c>
      <c r="AE638" s="121">
        <f>IFERROR((VLOOKUP($A638,Pitchers!$A1:$S251,13,FALSE)-AVERAGE(Rankings!AL2:AL651))/STDEV(Rankings!AL2:AL651)*-1,0)</f>
        <v>1.6295982397307001</v>
      </c>
      <c r="AF638" s="121">
        <f>(VLOOKUP($A638,Pitchers!$A1:$S251,14,FALSE)-AVERAGE(Rankings!AM2:AM651))/STDEV(Rankings!AM2:AM651)</f>
        <v>-0.40892861663777247</v>
      </c>
      <c r="AG638" s="121">
        <f>(VLOOKUP($A638,Pitchers!$A1:$S251,15,FALSE)-AVERAGE(Rankings!AN2:AN651))/STDEV(Rankings!AN2:AN651)</f>
        <v>-1.2653418049058471</v>
      </c>
      <c r="AH638" s="121">
        <f>(VLOOKUP($A638,Pitchers!$A1:$S251,16,FALSE)-AVERAGE(Rankings!AO2:AO651))/STDEV(Rankings!AO2:AO651)*-1</f>
        <v>1.4107020431928134</v>
      </c>
      <c r="AI638" s="121">
        <f>IFERROR((VLOOKUP($A638,Pitchers!$A1:$S251,17,FALSE)-AVERAGE(Rankings!AP2:AP651))/STDEV(Rankings!AP2:AP651),0)</f>
        <v>-1.126133891603242</v>
      </c>
      <c r="AJ638" s="121">
        <f>(VLOOKUP($A638,Pitchers!$A1:$S251,18,FALSE)-AVERAGE(Rankings!AQ2:AQ651))/STDEV(Rankings!AQ2:AQ651)</f>
        <v>0.9216796824008483</v>
      </c>
      <c r="AK638" s="121">
        <f>IFERROR((VLOOKUP($A638,Pitchers!$A1:$S251,19,FALSE)-AVERAGE(Rankings!AR2:AR651))/STDEV(Rankings!AR2:AR651)*-1,0)</f>
        <v>0.47041511698728217</v>
      </c>
    </row>
    <row r="639" spans="1:37" ht="20.100000000000001" customHeight="1">
      <c r="A639" s="25" t="s">
        <v>511</v>
      </c>
      <c r="B639" s="26" t="s">
        <v>74</v>
      </c>
      <c r="C639" s="131" t="s">
        <v>34</v>
      </c>
      <c r="D639" s="67">
        <f>(V639*Settings!$G$2)+(Y639*Settings!$G$5)+(Z639*Settings!$G$6)+(AA639*Settings!$G$7)+(AB639*Settings!$G$8)+(AC639*Settings!$G$9)+(AD639*Settings!$G$10)+(AE639*Settings!$G$11)+(AF639*Settings!$G$12)+(AG639*Settings!$G$13)+(AH639*Settings!$G$14)+(AI639*Settings!$G$15)+(AJ639*Settings!$G$16)+(AK639*Settings!$G$17)+(W639*Settings!$G$3)+(X639*Settings!$G$4)</f>
        <v>-1.0810387775825068</v>
      </c>
      <c r="E639" s="67"/>
      <c r="F639" s="67"/>
      <c r="G639" s="67"/>
      <c r="H639" s="67"/>
      <c r="I639" s="67"/>
      <c r="J639" s="67"/>
      <c r="K639" s="73"/>
      <c r="L639" s="73"/>
      <c r="M639" s="67"/>
      <c r="N639" s="67"/>
      <c r="O639" s="67"/>
      <c r="P639" s="67"/>
      <c r="Q639" s="67"/>
      <c r="R639" s="73"/>
      <c r="S639" s="73"/>
      <c r="T639" s="67"/>
      <c r="U639" s="67"/>
      <c r="V639" s="121">
        <f>(VLOOKUP($A639,Pitchers!$A1:$S251,4,FALSE)-AVERAGE(Rankings!AC2:AC651))/STDEV(Rankings!AC2:AC651)</f>
        <v>-1.3939725277597217</v>
      </c>
      <c r="W639" s="121">
        <f>(VLOOKUP($A639,Pitchers!$A1:$S251,5,FALSE)-AVERAGE(Rankings!AD2:AD651))/STDEV(Rankings!AD2:AD651)*-1</f>
        <v>0.88921643912344217</v>
      </c>
      <c r="X639" s="121">
        <f>(VLOOKUP($A639,Pitchers!$A1:$S251,6,FALSE)-AVERAGE(Rankings!AE2:AE651))/STDEV(Rankings!AE2:AE651)*-1</f>
        <v>0.84442863119788791</v>
      </c>
      <c r="Y639" s="121">
        <f>(VLOOKUP($A639,Pitchers!$A1:$S251,7,FALSE)-AVERAGE(Rankings!AF2:AF651))/STDEV(Rankings!AF2:AF651)</f>
        <v>-1.3549224648790248</v>
      </c>
      <c r="Z639" s="121">
        <f>(VLOOKUP($A639,Pitchers!$A1:$S251,8,FALSE)-AVERAGE(Rankings!AG2:AG651))/STDEV(Rankings!AG2:AG651)</f>
        <v>-0.99561692087443865</v>
      </c>
      <c r="AA639" s="121">
        <f>(VLOOKUP($A639,Pitchers!$A1:$S251,9,FALSE)-AVERAGE(Rankings!AH2:AH651))/STDEV(Rankings!AH2:AH651)</f>
        <v>-0.46414446215037364</v>
      </c>
      <c r="AB639" s="121">
        <f>(VLOOKUP($A639,Pitchers!$A1:$S251,10,FALSE)-AVERAGE(Rankings!AI2:AI651))/STDEV(Rankings!AI2:AI651)*-1</f>
        <v>1.3835013682837272</v>
      </c>
      <c r="AC639" s="121">
        <f>(VLOOKUP($A639,Pitchers!$A1:$S251,11,FALSE)-AVERAGE(Rankings!AJ2:AJ651))/STDEV(Rankings!AJ2:AJ651)*-1</f>
        <v>1.2903430905738926</v>
      </c>
      <c r="AD639" s="121">
        <f>(VLOOKUP($A639,Pitchers!$A1:$S251,12,FALSE)-AVERAGE(Rankings!AK2:AK651))/STDEV(Rankings!AK2:AK651)*-1</f>
        <v>1.7468204739740498</v>
      </c>
      <c r="AE639" s="121">
        <f>IFERROR((VLOOKUP($A639,Pitchers!$A1:$S251,13,FALSE)-AVERAGE(Rankings!AL2:AL651))/STDEV(Rankings!AL2:AL651)*-1,0)</f>
        <v>1.0975713903246602</v>
      </c>
      <c r="AF639" s="121">
        <f>(VLOOKUP($A639,Pitchers!$A1:$S251,14,FALSE)-AVERAGE(Rankings!AM2:AM651))/STDEV(Rankings!AM2:AM651)</f>
        <v>0.26039109356324774</v>
      </c>
      <c r="AG639" s="121">
        <f>(VLOOKUP($A639,Pitchers!$A1:$S251,15,FALSE)-AVERAGE(Rankings!AN2:AN651))/STDEV(Rankings!AN2:AN651)</f>
        <v>-1.2653418049058471</v>
      </c>
      <c r="AH639" s="121">
        <f>(VLOOKUP($A639,Pitchers!$A1:$S251,16,FALSE)-AVERAGE(Rankings!AO2:AO651))/STDEV(Rankings!AO2:AO651)*-1</f>
        <v>1.5359597185722007</v>
      </c>
      <c r="AI639" s="121">
        <f>IFERROR((VLOOKUP($A639,Pitchers!$A1:$S251,17,FALSE)-AVERAGE(Rankings!AP2:AP651))/STDEV(Rankings!AP2:AP651),0)</f>
        <v>-1.126133891603242</v>
      </c>
      <c r="AJ639" s="121">
        <f>(VLOOKUP($A639,Pitchers!$A1:$S251,18,FALSE)-AVERAGE(Rankings!AQ2:AQ651))/STDEV(Rankings!AQ2:AQ651)</f>
        <v>1.0823148075988469</v>
      </c>
      <c r="AK639" s="121">
        <f>IFERROR((VLOOKUP($A639,Pitchers!$A1:$S251,19,FALSE)-AVERAGE(Rankings!AR2:AR651))/STDEV(Rankings!AR2:AR651)*-1,0)</f>
        <v>-0.4935502866751813</v>
      </c>
    </row>
    <row r="640" spans="1:37" ht="20.100000000000001" customHeight="1">
      <c r="A640" s="25" t="s">
        <v>603</v>
      </c>
      <c r="B640" s="26" t="s">
        <v>97</v>
      </c>
      <c r="C640" s="131" t="s">
        <v>34</v>
      </c>
      <c r="D640" s="67">
        <f>(V640*Settings!$G$2)+(Y640*Settings!$G$5)+(Z640*Settings!$G$6)+(AA640*Settings!$G$7)+(AB640*Settings!$G$8)+(AC640*Settings!$G$9)+(AD640*Settings!$G$10)+(AE640*Settings!$G$11)+(AF640*Settings!$G$12)+(AG640*Settings!$G$13)+(AH640*Settings!$G$14)+(AI640*Settings!$G$15)+(AJ640*Settings!$G$16)+(AK640*Settings!$G$17)+(W640*Settings!$G$3)+(X640*Settings!$G$4)</f>
        <v>-2.0508752074951557</v>
      </c>
      <c r="E640" s="67"/>
      <c r="F640" s="67"/>
      <c r="G640" s="67"/>
      <c r="H640" s="67"/>
      <c r="I640" s="67"/>
      <c r="J640" s="67"/>
      <c r="K640" s="73"/>
      <c r="L640" s="73"/>
      <c r="M640" s="67"/>
      <c r="N640" s="67"/>
      <c r="O640" s="67"/>
      <c r="P640" s="67"/>
      <c r="Q640" s="67"/>
      <c r="R640" s="73"/>
      <c r="S640" s="73"/>
      <c r="T640" s="67"/>
      <c r="U640" s="67"/>
      <c r="V640" s="121">
        <f>(VLOOKUP($A640,Pitchers!$A1:$S251,4,FALSE)-AVERAGE(Rankings!AC2:AC651))/STDEV(Rankings!AC2:AC651)</f>
        <v>-1.1928403195896711</v>
      </c>
      <c r="W640" s="121">
        <f>(VLOOKUP($A640,Pitchers!$A1:$S251,5,FALSE)-AVERAGE(Rankings!AD2:AD651))/STDEV(Rankings!AD2:AD651)*-1</f>
        <v>0.20467459822623998</v>
      </c>
      <c r="X640" s="121">
        <f>(VLOOKUP($A640,Pitchers!$A1:$S251,6,FALSE)-AVERAGE(Rankings!AE2:AE651))/STDEV(Rankings!AE2:AE651)*-1</f>
        <v>0.41731902901536261</v>
      </c>
      <c r="Y640" s="121">
        <f>(VLOOKUP($A640,Pitchers!$A1:$S251,7,FALSE)-AVERAGE(Rankings!AF2:AF651))/STDEV(Rankings!AF2:AF651)</f>
        <v>-1.0840876063473119</v>
      </c>
      <c r="Z640" s="121">
        <f>(VLOOKUP($A640,Pitchers!$A1:$S251,8,FALSE)-AVERAGE(Rankings!AG2:AG651))/STDEV(Rankings!AG2:AG651)</f>
        <v>-1.4385508952296631</v>
      </c>
      <c r="AA640" s="121">
        <f>(VLOOKUP($A640,Pitchers!$A1:$S251,9,FALSE)-AVERAGE(Rankings!AH2:AH651))/STDEV(Rankings!AH2:AH651)</f>
        <v>-0.15023033315978274</v>
      </c>
      <c r="AB640" s="121">
        <f>(VLOOKUP($A640,Pitchers!$A1:$S251,10,FALSE)-AVERAGE(Rankings!AI2:AI651))/STDEV(Rankings!AI2:AI651)*-1</f>
        <v>1.1267167453554603</v>
      </c>
      <c r="AC640" s="121">
        <f>(VLOOKUP($A640,Pitchers!$A1:$S251,11,FALSE)-AVERAGE(Rankings!AJ2:AJ651))/STDEV(Rankings!AJ2:AJ651)*-1</f>
        <v>1.1502933041969894</v>
      </c>
      <c r="AD640" s="121">
        <f>(VLOOKUP($A640,Pitchers!$A1:$S251,12,FALSE)-AVERAGE(Rankings!AK2:AK651))/STDEV(Rankings!AK2:AK651)*-1</f>
        <v>1.2660058623314392</v>
      </c>
      <c r="AE640" s="121">
        <f>IFERROR((VLOOKUP($A640,Pitchers!$A1:$S251,13,FALSE)-AVERAGE(Rankings!AL2:AL651))/STDEV(Rankings!AL2:AL651)*-1,0)</f>
        <v>1.0975713903246602</v>
      </c>
      <c r="AF640" s="121">
        <f>(VLOOKUP($A640,Pitchers!$A1:$S251,14,FALSE)-AVERAGE(Rankings!AM2:AM651))/STDEV(Rankings!AM2:AM651)</f>
        <v>1.3526685359434156</v>
      </c>
      <c r="AG640" s="121">
        <f>(VLOOKUP($A640,Pitchers!$A1:$S251,15,FALSE)-AVERAGE(Rankings!AN2:AN651))/STDEV(Rankings!AN2:AN651)</f>
        <v>-1.2653418049058471</v>
      </c>
      <c r="AH640" s="121">
        <f>(VLOOKUP($A640,Pitchers!$A1:$S251,16,FALSE)-AVERAGE(Rankings!AO2:AO651))/STDEV(Rankings!AO2:AO651)*-1</f>
        <v>1.2854443678134257</v>
      </c>
      <c r="AI640" s="121">
        <f>IFERROR((VLOOKUP($A640,Pitchers!$A1:$S251,17,FALSE)-AVERAGE(Rankings!AP2:AP651))/STDEV(Rankings!AP2:AP651),0)</f>
        <v>-1.126133891603242</v>
      </c>
      <c r="AJ640" s="121">
        <f>(VLOOKUP($A640,Pitchers!$A1:$S251,18,FALSE)-AVERAGE(Rankings!AQ2:AQ651))/STDEV(Rankings!AQ2:AQ651)</f>
        <v>2.3673958091828355</v>
      </c>
      <c r="AK640" s="121">
        <f>IFERROR((VLOOKUP($A640,Pitchers!$A1:$S251,19,FALSE)-AVERAGE(Rankings!AR2:AR651))/STDEV(Rankings!AR2:AR651)*-1,0)</f>
        <v>0.47041511698728217</v>
      </c>
    </row>
    <row r="641" spans="1:37" ht="20.100000000000001" customHeight="1">
      <c r="A641" s="25" t="s">
        <v>608</v>
      </c>
      <c r="B641" s="26" t="s">
        <v>103</v>
      </c>
      <c r="C641" s="131" t="s">
        <v>34</v>
      </c>
      <c r="D641" s="67">
        <f>(V641*Settings!$G$2)+(Y641*Settings!$G$5)+(Z641*Settings!$G$6)+(AA641*Settings!$G$7)+(AB641*Settings!$G$8)+(AC641*Settings!$G$9)+(AD641*Settings!$G$10)+(AE641*Settings!$G$11)+(AF641*Settings!$G$12)+(AG641*Settings!$G$13)+(AH641*Settings!$G$14)+(AI641*Settings!$G$15)+(AJ641*Settings!$G$16)+(AK641*Settings!$G$17)+(W641*Settings!$G$3)+(X641*Settings!$G$4)</f>
        <v>-2.1595396419776227</v>
      </c>
      <c r="E641" s="67"/>
      <c r="F641" s="67"/>
      <c r="G641" s="67"/>
      <c r="H641" s="67"/>
      <c r="I641" s="67"/>
      <c r="J641" s="67"/>
      <c r="K641" s="73"/>
      <c r="L641" s="73"/>
      <c r="M641" s="67"/>
      <c r="N641" s="67"/>
      <c r="O641" s="67"/>
      <c r="P641" s="67"/>
      <c r="Q641" s="67"/>
      <c r="R641" s="73"/>
      <c r="S641" s="73"/>
      <c r="T641" s="67"/>
      <c r="U641" s="67"/>
      <c r="V641" s="121">
        <f>(VLOOKUP($A641,Pitchers!$A1:$S251,4,FALSE)-AVERAGE(Rankings!AC2:AC651))/STDEV(Rankings!AC2:AC651)</f>
        <v>-1.2563557537486341</v>
      </c>
      <c r="W641" s="121">
        <f>(VLOOKUP($A641,Pitchers!$A1:$S251,5,FALSE)-AVERAGE(Rankings!AD2:AD651))/STDEV(Rankings!AD2:AD651)*-1</f>
        <v>0.78670811713018474</v>
      </c>
      <c r="X641" s="121">
        <f>(VLOOKUP($A641,Pitchers!$A1:$S251,6,FALSE)-AVERAGE(Rankings!AE2:AE651))/STDEV(Rankings!AE2:AE651)*-1</f>
        <v>-0.30174717158463066</v>
      </c>
      <c r="Y641" s="121">
        <f>(VLOOKUP($A641,Pitchers!$A1:$S251,7,FALSE)-AVERAGE(Rankings!AF2:AF651))/STDEV(Rankings!AF2:AF651)</f>
        <v>-0.97517278388147544</v>
      </c>
      <c r="Z641" s="121">
        <f>(VLOOKUP($A641,Pitchers!$A1:$S251,8,FALSE)-AVERAGE(Rankings!AG2:AG651))/STDEV(Rankings!AG2:AG651)</f>
        <v>-1.272450654846454</v>
      </c>
      <c r="AA641" s="121">
        <f>(VLOOKUP($A641,Pitchers!$A1:$S251,9,FALSE)-AVERAGE(Rankings!AH2:AH651))/STDEV(Rankings!AH2:AH651)</f>
        <v>-0.39687714879524705</v>
      </c>
      <c r="AB641" s="121">
        <f>(VLOOKUP($A641,Pitchers!$A1:$S251,10,FALSE)-AVERAGE(Rankings!AI2:AI651))/STDEV(Rankings!AI2:AI651)*-1</f>
        <v>1.2626173791274378</v>
      </c>
      <c r="AC641" s="121">
        <f>(VLOOKUP($A641,Pitchers!$A1:$S251,11,FALSE)-AVERAGE(Rankings!AJ2:AJ651))/STDEV(Rankings!AJ2:AJ651)*-1</f>
        <v>1.2725702750438288</v>
      </c>
      <c r="AD641" s="121">
        <f>(VLOOKUP($A641,Pitchers!$A1:$S251,12,FALSE)-AVERAGE(Rankings!AK2:AK651))/STDEV(Rankings!AK2:AK651)*-1</f>
        <v>0.82668286692194737</v>
      </c>
      <c r="AE641" s="121">
        <f>IFERROR((VLOOKUP($A641,Pitchers!$A1:$S251,13,FALSE)-AVERAGE(Rankings!AL2:AL651))/STDEV(Rankings!AL2:AL651)*-1,0)</f>
        <v>1.2305781026761702</v>
      </c>
      <c r="AF641" s="121">
        <f>(VLOOKUP($A641,Pitchers!$A1:$S251,14,FALSE)-AVERAGE(Rankings!AM2:AM651))/STDEV(Rankings!AM2:AM651)</f>
        <v>1.0637927652540498</v>
      </c>
      <c r="AG641" s="121">
        <f>(VLOOKUP($A641,Pitchers!$A1:$S251,15,FALSE)-AVERAGE(Rankings!AN2:AN651))/STDEV(Rankings!AN2:AN651)</f>
        <v>-1.2653418049058471</v>
      </c>
      <c r="AH641" s="121">
        <f>(VLOOKUP($A641,Pitchers!$A1:$S251,16,FALSE)-AVERAGE(Rankings!AO2:AO651))/STDEV(Rankings!AO2:AO651)*-1</f>
        <v>1.4044391594238439</v>
      </c>
      <c r="AI641" s="121">
        <f>IFERROR((VLOOKUP($A641,Pitchers!$A1:$S251,17,FALSE)-AVERAGE(Rankings!AP2:AP651))/STDEV(Rankings!AP2:AP651),0)</f>
        <v>-1.126133891603242</v>
      </c>
      <c r="AJ641" s="121">
        <f>(VLOOKUP($A641,Pitchers!$A1:$S251,18,FALSE)-AVERAGE(Rankings!AQ2:AQ651))/STDEV(Rankings!AQ2:AQ651)</f>
        <v>0.27913918160885409</v>
      </c>
      <c r="AK641" s="121">
        <f>IFERROR((VLOOKUP($A641,Pitchers!$A1:$S251,19,FALSE)-AVERAGE(Rankings!AR2:AR651))/STDEV(Rankings!AR2:AR651)*-1,0)</f>
        <v>0.47041511698728217</v>
      </c>
    </row>
    <row r="642" spans="1:37" ht="20.100000000000001" customHeight="1">
      <c r="A642" s="25" t="s">
        <v>604</v>
      </c>
      <c r="B642" s="26" t="s">
        <v>101</v>
      </c>
      <c r="C642" s="131" t="s">
        <v>34</v>
      </c>
      <c r="D642" s="67">
        <f>(V642*Settings!$G$2)+(Y642*Settings!$G$5)+(Z642*Settings!$G$6)+(AA642*Settings!$G$7)+(AB642*Settings!$G$8)+(AC642*Settings!$G$9)+(AD642*Settings!$G$10)+(AE642*Settings!$G$11)+(AF642*Settings!$G$12)+(AG642*Settings!$G$13)+(AH642*Settings!$G$14)+(AI642*Settings!$G$15)+(AJ642*Settings!$G$16)+(AK642*Settings!$G$17)+(W642*Settings!$G$3)+(X642*Settings!$G$4)</f>
        <v>-2.0638321360518455</v>
      </c>
      <c r="E642" s="67"/>
      <c r="F642" s="67"/>
      <c r="G642" s="67"/>
      <c r="H642" s="67"/>
      <c r="I642" s="67"/>
      <c r="J642" s="67"/>
      <c r="K642" s="73"/>
      <c r="L642" s="73"/>
      <c r="M642" s="67"/>
      <c r="N642" s="67"/>
      <c r="O642" s="67"/>
      <c r="P642" s="67"/>
      <c r="Q642" s="67"/>
      <c r="R642" s="73"/>
      <c r="S642" s="73"/>
      <c r="T642" s="67"/>
      <c r="U642" s="67"/>
      <c r="V642" s="121">
        <f>(VLOOKUP($A642,Pitchers!$A1:$S251,4,FALSE)-AVERAGE(Rankings!AC2:AC651))/STDEV(Rankings!AC2:AC651)</f>
        <v>-1.2775275651349554</v>
      </c>
      <c r="W642" s="121">
        <f>(VLOOKUP($A642,Pitchers!$A1:$S251,5,FALSE)-AVERAGE(Rankings!AD2:AD651))/STDEV(Rankings!AD2:AD651)*-1</f>
        <v>0.78018758126975751</v>
      </c>
      <c r="X642" s="121">
        <f>(VLOOKUP($A642,Pitchers!$A1:$S251,6,FALSE)-AVERAGE(Rankings!AE2:AE651))/STDEV(Rankings!AE2:AE651)*-1</f>
        <v>-0.22349693590947781</v>
      </c>
      <c r="Y642" s="121">
        <f>(VLOOKUP($A642,Pitchers!$A1:$S251,7,FALSE)-AVERAGE(Rankings!AF2:AF651))/STDEV(Rankings!AF2:AF651)</f>
        <v>-1.0198278610924683</v>
      </c>
      <c r="Z642" s="121">
        <f>(VLOOKUP($A642,Pitchers!$A1:$S251,8,FALSE)-AVERAGE(Rankings!AG2:AG651))/STDEV(Rankings!AG2:AG651)</f>
        <v>-1.1365504581692829</v>
      </c>
      <c r="AA642" s="121">
        <f>(VLOOKUP($A642,Pitchers!$A1:$S251,9,FALSE)-AVERAGE(Rankings!AH2:AH651))/STDEV(Rankings!AH2:AH651)</f>
        <v>-0.46414446215037364</v>
      </c>
      <c r="AB642" s="121">
        <f>(VLOOKUP($A642,Pitchers!$A1:$S251,10,FALSE)-AVERAGE(Rankings!AI2:AI651))/STDEV(Rankings!AI2:AI651)*-1</f>
        <v>1.2783848559739104</v>
      </c>
      <c r="AC642" s="121">
        <f>(VLOOKUP($A642,Pitchers!$A1:$S251,11,FALSE)-AVERAGE(Rankings!AJ2:AJ651))/STDEV(Rankings!AJ2:AJ651)*-1</f>
        <v>1.2917649158162978</v>
      </c>
      <c r="AD642" s="121">
        <f>(VLOOKUP($A642,Pitchers!$A1:$S251,12,FALSE)-AVERAGE(Rankings!AK2:AK651))/STDEV(Rankings!AK2:AK651)*-1</f>
        <v>0.88159824134813392</v>
      </c>
      <c r="AE642" s="121">
        <f>IFERROR((VLOOKUP($A642,Pitchers!$A1:$S251,13,FALSE)-AVERAGE(Rankings!AL2:AL651))/STDEV(Rankings!AL2:AL651)*-1,0)</f>
        <v>0.96456467797315026</v>
      </c>
      <c r="AF642" s="121">
        <f>(VLOOKUP($A642,Pitchers!$A1:$S251,14,FALSE)-AVERAGE(Rankings!AM2:AM651))/STDEV(Rankings!AM2:AM651)</f>
        <v>-4.8106427588036675E-2</v>
      </c>
      <c r="AG642" s="121">
        <f>(VLOOKUP($A642,Pitchers!$A1:$S251,15,FALSE)-AVERAGE(Rankings!AN2:AN651))/STDEV(Rankings!AN2:AN651)</f>
        <v>-1.0238005212039991</v>
      </c>
      <c r="AH642" s="121">
        <f>(VLOOKUP($A642,Pitchers!$A1:$S251,16,FALSE)-AVERAGE(Rankings!AO2:AO651))/STDEV(Rankings!AO2:AO651)*-1</f>
        <v>1.2165526463547627</v>
      </c>
      <c r="AI642" s="121">
        <f>IFERROR((VLOOKUP($A642,Pitchers!$A1:$S251,17,FALSE)-AVERAGE(Rankings!AP2:AP651))/STDEV(Rankings!AP2:AP651),0)</f>
        <v>-0.69631179557147027</v>
      </c>
      <c r="AJ642" s="121">
        <f>(VLOOKUP($A642,Pitchers!$A1:$S251,18,FALSE)-AVERAGE(Rankings!AQ2:AQ651))/STDEV(Rankings!AQ2:AQ651)</f>
        <v>-4.2131068787143025E-2</v>
      </c>
      <c r="AK642" s="121">
        <f>IFERROR((VLOOKUP($A642,Pitchers!$A1:$S251,19,FALSE)-AVERAGE(Rankings!AR2:AR651))/STDEV(Rankings!AR2:AR651)*-1,0)</f>
        <v>-1.1567584843949572E-2</v>
      </c>
    </row>
    <row r="643" spans="1:37" ht="20.100000000000001" customHeight="1">
      <c r="A643" s="25" t="s">
        <v>607</v>
      </c>
      <c r="B643" s="26" t="s">
        <v>99</v>
      </c>
      <c r="C643" s="131" t="s">
        <v>34</v>
      </c>
      <c r="D643" s="67">
        <f>(V643*Settings!$G$2)+(Y643*Settings!$G$5)+(Z643*Settings!$G$6)+(AA643*Settings!$G$7)+(AB643*Settings!$G$8)+(AC643*Settings!$G$9)+(AD643*Settings!$G$10)+(AE643*Settings!$G$11)+(AF643*Settings!$G$12)+(AG643*Settings!$G$13)+(AH643*Settings!$G$14)+(AI643*Settings!$G$15)+(AJ643*Settings!$G$16)+(AK643*Settings!$G$17)+(W643*Settings!$G$3)+(X643*Settings!$G$4)</f>
        <v>-2.1426895957712428</v>
      </c>
      <c r="E643" s="67"/>
      <c r="F643" s="67"/>
      <c r="G643" s="67"/>
      <c r="H643" s="67"/>
      <c r="I643" s="67"/>
      <c r="J643" s="67"/>
      <c r="K643" s="73"/>
      <c r="L643" s="73"/>
      <c r="M643" s="67"/>
      <c r="N643" s="67"/>
      <c r="O643" s="67"/>
      <c r="P643" s="67"/>
      <c r="Q643" s="67"/>
      <c r="R643" s="73"/>
      <c r="S643" s="73"/>
      <c r="T643" s="67"/>
      <c r="U643" s="67"/>
      <c r="V643" s="121">
        <f>(VLOOKUP($A643,Pitchers!$A1:$S251,4,FALSE)-AVERAGE(Rankings!AC2:AC651))/STDEV(Rankings!AC2:AC651)</f>
        <v>-1.2676473864880056</v>
      </c>
      <c r="W643" s="121">
        <f>(VLOOKUP($A643,Pitchers!$A1:$S251,5,FALSE)-AVERAGE(Rankings!AD2:AD651))/STDEV(Rankings!AD2:AD651)*-1</f>
        <v>7.6735808086231483E-2</v>
      </c>
      <c r="X643" s="121">
        <f>(VLOOKUP($A643,Pitchers!$A1:$S251,6,FALSE)-AVERAGE(Rankings!AE2:AE651))/STDEV(Rankings!AE2:AE651)*-1</f>
        <v>0.47813079063820602</v>
      </c>
      <c r="Y643" s="121">
        <f>(VLOOKUP($A643,Pitchers!$A1:$S251,7,FALSE)-AVERAGE(Rankings!AF2:AF651))/STDEV(Rankings!AF2:AF651)</f>
        <v>-1.1087749661062349</v>
      </c>
      <c r="Z643" s="121">
        <f>(VLOOKUP($A643,Pitchers!$A1:$S251,8,FALSE)-AVERAGE(Rankings!AG2:AG651))/STDEV(Rankings!AG2:AG651)</f>
        <v>-1.4385508952296631</v>
      </c>
      <c r="AA643" s="121">
        <f>(VLOOKUP($A643,Pitchers!$A1:$S251,9,FALSE)-AVERAGE(Rankings!AH2:AH651))/STDEV(Rankings!AH2:AH651)</f>
        <v>-0.15023033315978274</v>
      </c>
      <c r="AB643" s="121">
        <f>(VLOOKUP($A643,Pitchers!$A1:$S251,10,FALSE)-AVERAGE(Rankings!AI2:AI651))/STDEV(Rankings!AI2:AI651)*-1</f>
        <v>1.1732683436640934</v>
      </c>
      <c r="AC643" s="121">
        <f>(VLOOKUP($A643,Pitchers!$A1:$S251,11,FALSE)-AVERAGE(Rankings!AJ2:AJ651))/STDEV(Rankings!AJ2:AJ651)*-1</f>
        <v>1.2576411099985751</v>
      </c>
      <c r="AD643" s="121">
        <f>(VLOOKUP($A643,Pitchers!$A1:$S251,12,FALSE)-AVERAGE(Rankings!AK2:AK651))/STDEV(Rankings!AK2:AK651)*-1</f>
        <v>1.2245142460983205</v>
      </c>
      <c r="AE643" s="121">
        <f>IFERROR((VLOOKUP($A643,Pitchers!$A1:$S251,13,FALSE)-AVERAGE(Rankings!AL2:AL651))/STDEV(Rankings!AL2:AL651)*-1,0)</f>
        <v>0.96456467797315026</v>
      </c>
      <c r="AF643" s="121">
        <f>(VLOOKUP($A643,Pitchers!$A1:$S251,14,FALSE)-AVERAGE(Rankings!AM2:AM651))/STDEV(Rankings!AM2:AM651)</f>
        <v>1.1346490863665357</v>
      </c>
      <c r="AG643" s="121">
        <f>(VLOOKUP($A643,Pitchers!$A1:$S251,15,FALSE)-AVERAGE(Rankings!AN2:AN651))/STDEV(Rankings!AN2:AN651)</f>
        <v>-1.1874252617762189</v>
      </c>
      <c r="AH643" s="121">
        <f>(VLOOKUP($A643,Pitchers!$A1:$S251,16,FALSE)-AVERAGE(Rankings!AO2:AO651))/STDEV(Rankings!AO2:AO651)*-1</f>
        <v>1.2854443678134257</v>
      </c>
      <c r="AI643" s="121">
        <f>IFERROR((VLOOKUP($A643,Pitchers!$A1:$S251,17,FALSE)-AVERAGE(Rankings!AP2:AP651))/STDEV(Rankings!AP2:AP651),0)</f>
        <v>-1.126133891603242</v>
      </c>
      <c r="AJ643" s="121">
        <f>(VLOOKUP($A643,Pitchers!$A1:$S251,18,FALSE)-AVERAGE(Rankings!AQ2:AQ651))/STDEV(Rankings!AQ2:AQ651)</f>
        <v>1.7248553083908411</v>
      </c>
      <c r="AK643" s="121">
        <f>IFERROR((VLOOKUP($A643,Pitchers!$A1:$S251,19,FALSE)-AVERAGE(Rankings!AR2:AR651))/STDEV(Rankings!AR2:AR651)*-1,0)</f>
        <v>0.47041511698728217</v>
      </c>
    </row>
    <row r="644" spans="1:37" ht="20.100000000000001" customHeight="1">
      <c r="A644" s="25" t="s">
        <v>589</v>
      </c>
      <c r="B644" s="26" t="s">
        <v>136</v>
      </c>
      <c r="C644" s="131" t="s">
        <v>34</v>
      </c>
      <c r="D644" s="67">
        <f>(V644*Settings!$G$2)+(Y644*Settings!$G$5)+(Z644*Settings!$G$6)+(AA644*Settings!$G$7)+(AB644*Settings!$G$8)+(AC644*Settings!$G$9)+(AD644*Settings!$G$10)+(AE644*Settings!$G$11)+(AF644*Settings!$G$12)+(AG644*Settings!$G$13)+(AH644*Settings!$G$14)+(AI644*Settings!$G$15)+(AJ644*Settings!$G$16)+(AK644*Settings!$G$17)+(W644*Settings!$G$3)+(X644*Settings!$G$4)</f>
        <v>-1.9485703300640849</v>
      </c>
      <c r="E644" s="67"/>
      <c r="F644" s="67"/>
      <c r="G644" s="67"/>
      <c r="H644" s="67"/>
      <c r="I644" s="67"/>
      <c r="J644" s="67"/>
      <c r="K644" s="73"/>
      <c r="L644" s="73"/>
      <c r="M644" s="67"/>
      <c r="N644" s="67"/>
      <c r="O644" s="67"/>
      <c r="P644" s="67"/>
      <c r="Q644" s="67"/>
      <c r="R644" s="73"/>
      <c r="S644" s="73"/>
      <c r="T644" s="67"/>
      <c r="U644" s="67"/>
      <c r="V644" s="121">
        <f>(VLOOKUP($A644,Pitchers!$A1:$S251,4,FALSE)-AVERAGE(Rankings!AC2:AC651))/STDEV(Rankings!AC2:AC651)</f>
        <v>-1.2888191978743266</v>
      </c>
      <c r="W644" s="121">
        <f>(VLOOKUP($A644,Pitchers!$A1:$S251,5,FALSE)-AVERAGE(Rankings!AD2:AD651))/STDEV(Rankings!AD2:AD651)*-1</f>
        <v>0.54872642747213807</v>
      </c>
      <c r="X644" s="121">
        <f>(VLOOKUP($A644,Pitchers!$A1:$S251,6,FALSE)-AVERAGE(Rankings!AE2:AE651))/STDEV(Rankings!AE2:AE651)*-1</f>
        <v>4.8030671642168926E-2</v>
      </c>
      <c r="Y644" s="121">
        <f>(VLOOKUP($A644,Pitchers!$A1:$S251,7,FALSE)-AVERAGE(Rankings!AF2:AF651))/STDEV(Rankings!AF2:AF651)</f>
        <v>-1.1697672666871031</v>
      </c>
      <c r="Z644" s="121">
        <f>(VLOOKUP($A644,Pitchers!$A1:$S251,8,FALSE)-AVERAGE(Rankings!AG2:AG651))/STDEV(Rankings!AG2:AG651)</f>
        <v>-1.0459503270511685</v>
      </c>
      <c r="AA644" s="121">
        <f>(VLOOKUP($A644,Pitchers!$A1:$S251,9,FALSE)-AVERAGE(Rankings!AH2:AH651))/STDEV(Rankings!AH2:AH651)</f>
        <v>-0.3296098354401204</v>
      </c>
      <c r="AB644" s="121">
        <f>(VLOOKUP($A644,Pitchers!$A1:$S251,10,FALSE)-AVERAGE(Rankings!AI2:AI651))/STDEV(Rankings!AI2:AI651)*-1</f>
        <v>1.255859889050378</v>
      </c>
      <c r="AC644" s="121">
        <f>(VLOOKUP($A644,Pitchers!$A1:$S251,11,FALSE)-AVERAGE(Rankings!AJ2:AJ651))/STDEV(Rankings!AJ2:AJ651)*-1</f>
        <v>1.3031395177555385</v>
      </c>
      <c r="AD644" s="121">
        <f>(VLOOKUP($A644,Pitchers!$A1:$S251,12,FALSE)-AVERAGE(Rankings!AK2:AK651))/STDEV(Rankings!AK2:AK651)*-1</f>
        <v>0.99264933185442206</v>
      </c>
      <c r="AE644" s="121">
        <f>IFERROR((VLOOKUP($A644,Pitchers!$A1:$S251,13,FALSE)-AVERAGE(Rankings!AL2:AL651))/STDEV(Rankings!AL2:AL651)*-1,0)</f>
        <v>1.0975713903246602</v>
      </c>
      <c r="AF644" s="121">
        <f>(VLOOKUP($A644,Pitchers!$A1:$S251,14,FALSE)-AVERAGE(Rankings!AM2:AM651))/STDEV(Rankings!AM2:AM651)</f>
        <v>1.1346490863665357</v>
      </c>
      <c r="AG644" s="121">
        <f>(VLOOKUP($A644,Pitchers!$A1:$S251,15,FALSE)-AVERAGE(Rankings!AN2:AN651))/STDEV(Rankings!AN2:AN651)</f>
        <v>-1.2653418049058471</v>
      </c>
      <c r="AH644" s="121">
        <f>(VLOOKUP($A644,Pitchers!$A1:$S251,16,FALSE)-AVERAGE(Rankings!AO2:AO651))/STDEV(Rankings!AO2:AO651)*-1</f>
        <v>1.1476609248960994</v>
      </c>
      <c r="AI644" s="121">
        <f>IFERROR((VLOOKUP($A644,Pitchers!$A1:$S251,17,FALSE)-AVERAGE(Rankings!AP2:AP651))/STDEV(Rankings!AP2:AP651),0)</f>
        <v>-1.126133891603242</v>
      </c>
      <c r="AJ644" s="121">
        <f>(VLOOKUP($A644,Pitchers!$A1:$S251,18,FALSE)-AVERAGE(Rankings!AQ2:AQ651))/STDEV(Rankings!AQ2:AQ651)</f>
        <v>1.644537745791842</v>
      </c>
      <c r="AK644" s="121">
        <f>IFERROR((VLOOKUP($A644,Pitchers!$A1:$S251,19,FALSE)-AVERAGE(Rankings!AR2:AR651))/STDEV(Rankings!AR2:AR651)*-1,0)</f>
        <v>-0.4935502866751813</v>
      </c>
    </row>
    <row r="645" spans="1:37" ht="20.100000000000001" customHeight="1">
      <c r="A645" s="25" t="s">
        <v>663</v>
      </c>
      <c r="B645" s="26" t="s">
        <v>158</v>
      </c>
      <c r="C645" s="131" t="s">
        <v>34</v>
      </c>
      <c r="D645" s="67">
        <f>(V645*Settings!$G$2)+(Y645*Settings!$G$5)+(Z645*Settings!$G$6)+(AA645*Settings!$G$7)+(AB645*Settings!$G$8)+(AC645*Settings!$G$9)+(AD645*Settings!$G$10)+(AE645*Settings!$G$11)+(AF645*Settings!$G$12)+(AG645*Settings!$G$13)+(AH645*Settings!$G$14)+(AI645*Settings!$G$15)+(AJ645*Settings!$G$16)+(AK645*Settings!$G$17)+(W645*Settings!$G$3)+(X645*Settings!$G$4)</f>
        <v>-3.0716632006596778</v>
      </c>
      <c r="E645" s="67"/>
      <c r="F645" s="67"/>
      <c r="G645" s="67"/>
      <c r="H645" s="67"/>
      <c r="I645" s="67"/>
      <c r="J645" s="67"/>
      <c r="K645" s="73"/>
      <c r="L645" s="73"/>
      <c r="M645" s="67"/>
      <c r="N645" s="67"/>
      <c r="O645" s="67"/>
      <c r="P645" s="67"/>
      <c r="Q645" s="67"/>
      <c r="R645" s="73"/>
      <c r="S645" s="73"/>
      <c r="T645" s="67"/>
      <c r="U645" s="67"/>
      <c r="V645" s="121">
        <f>(VLOOKUP($A645,Pitchers!$A1:$S251,4,FALSE)-AVERAGE(Rankings!AC2:AC651))/STDEV(Rankings!AC2:AC651)</f>
        <v>-1.0107627416673095</v>
      </c>
      <c r="W645" s="121">
        <f>(VLOOKUP($A645,Pitchers!$A1:$S251,5,FALSE)-AVERAGE(Rankings!AD2:AD651))/STDEV(Rankings!AD2:AD651)*-1</f>
        <v>-0.84446042704792212</v>
      </c>
      <c r="X645" s="121">
        <f>(VLOOKUP($A645,Pitchers!$A1:$S251,6,FALSE)-AVERAGE(Rankings!AE2:AE651))/STDEV(Rankings!AE2:AE651)*-1</f>
        <v>-0.26864458941686842</v>
      </c>
      <c r="Y645" s="121">
        <f>(VLOOKUP($A645,Pitchers!$A1:$S251,7,FALSE)-AVERAGE(Rankings!AF2:AF651))/STDEV(Rankings!AF2:AF651)</f>
        <v>-0.81180055018272079</v>
      </c>
      <c r="Z645" s="121">
        <f>(VLOOKUP($A645,Pitchers!$A1:$S251,8,FALSE)-AVERAGE(Rankings!AG2:AG651))/STDEV(Rankings!AG2:AG651)</f>
        <v>-1.0862170519925527</v>
      </c>
      <c r="AA645" s="121">
        <f>(VLOOKUP($A645,Pitchers!$A1:$S251,9,FALSE)-AVERAGE(Rankings!AH2:AH651))/STDEV(Rankings!AH2:AH651)</f>
        <v>-6.0540582019613924E-2</v>
      </c>
      <c r="AB645" s="121">
        <f>(VLOOKUP($A645,Pitchers!$A1:$S251,10,FALSE)-AVERAGE(Rankings!AI2:AI651))/STDEV(Rankings!AI2:AI651)*-1</f>
        <v>0.7918455704256151</v>
      </c>
      <c r="AC645" s="121">
        <f>(VLOOKUP($A645,Pitchers!$A1:$S251,11,FALSE)-AVERAGE(Rankings!AJ2:AJ651))/STDEV(Rankings!AJ2:AJ651)*-1</f>
        <v>0.9370195178362225</v>
      </c>
      <c r="AD645" s="121">
        <f>(VLOOKUP($A645,Pitchers!$A1:$S251,12,FALSE)-AVERAGE(Rankings!AK2:AK651))/STDEV(Rankings!AK2:AK651)*-1</f>
        <v>0.93651361577432035</v>
      </c>
      <c r="AE645" s="121">
        <f>IFERROR((VLOOKUP($A645,Pitchers!$A1:$S251,13,FALSE)-AVERAGE(Rankings!AL2:AL651))/STDEV(Rankings!AL2:AL651)*-1,0)</f>
        <v>0.8315579656216403</v>
      </c>
      <c r="AF645" s="121">
        <f>(VLOOKUP($A645,Pitchers!$A1:$S251,14,FALSE)-AVERAGE(Rankings!AM2:AM651))/STDEV(Rankings!AM2:AM651)</f>
        <v>1.5052821506472311</v>
      </c>
      <c r="AG645" s="121">
        <f>(VLOOKUP($A645,Pitchers!$A1:$S251,15,FALSE)-AVERAGE(Rankings!AN2:AN651))/STDEV(Rankings!AN2:AN651)</f>
        <v>-1.2653418049058471</v>
      </c>
      <c r="AH645" s="121">
        <f>(VLOOKUP($A645,Pitchers!$A1:$S251,16,FALSE)-AVERAGE(Rankings!AO2:AO651))/STDEV(Rankings!AO2:AO651)*-1</f>
        <v>0.93472287675114074</v>
      </c>
      <c r="AI645" s="121">
        <f>IFERROR((VLOOKUP($A645,Pitchers!$A1:$S251,17,FALSE)-AVERAGE(Rankings!AP2:AP651))/STDEV(Rankings!AP2:AP651),0)</f>
        <v>-1.126133891603242</v>
      </c>
      <c r="AJ645" s="121">
        <f>(VLOOKUP($A645,Pitchers!$A1:$S251,18,FALSE)-AVERAGE(Rankings!AQ2:AQ651))/STDEV(Rankings!AQ2:AQ651)</f>
        <v>1.5642201831928426</v>
      </c>
      <c r="AK645" s="121">
        <f>IFERROR((VLOOKUP($A645,Pitchers!$A1:$S251,19,FALSE)-AVERAGE(Rankings!AR2:AR651))/STDEV(Rankings!AR2:AR651)*-1,0)</f>
        <v>-1.1567584843949572E-2</v>
      </c>
    </row>
    <row r="646" spans="1:37" ht="20.100000000000001" customHeight="1">
      <c r="A646" s="25" t="s">
        <v>600</v>
      </c>
      <c r="B646" s="26" t="s">
        <v>69</v>
      </c>
      <c r="C646" s="131" t="s">
        <v>34</v>
      </c>
      <c r="D646" s="67">
        <f>(V646*Settings!$G$2)+(Y646*Settings!$G$5)+(Z646*Settings!$G$6)+(AA646*Settings!$G$7)+(AB646*Settings!$G$8)+(AC646*Settings!$G$9)+(AD646*Settings!$G$10)+(AE646*Settings!$G$11)+(AF646*Settings!$G$12)+(AG646*Settings!$G$13)+(AH646*Settings!$G$14)+(AI646*Settings!$G$15)+(AJ646*Settings!$G$16)+(AK646*Settings!$G$17)+(W646*Settings!$G$3)+(X646*Settings!$G$4)</f>
        <v>-2.0020642089875058</v>
      </c>
      <c r="E646" s="67"/>
      <c r="F646" s="67"/>
      <c r="G646" s="67"/>
      <c r="H646" s="67"/>
      <c r="I646" s="67"/>
      <c r="J646" s="67"/>
      <c r="K646" s="73"/>
      <c r="L646" s="73"/>
      <c r="M646" s="67"/>
      <c r="N646" s="67"/>
      <c r="O646" s="67"/>
      <c r="P646" s="67"/>
      <c r="Q646" s="67"/>
      <c r="R646" s="73"/>
      <c r="S646" s="73"/>
      <c r="T646" s="67"/>
      <c r="U646" s="67"/>
      <c r="V646" s="121">
        <f>(VLOOKUP($A646,Pitchers!$A1:$S251,4,FALSE)-AVERAGE(Rankings!AC2:AC651))/STDEV(Rankings!AC2:AC651)</f>
        <v>-1.0947442601663833</v>
      </c>
      <c r="W646" s="121">
        <f>(VLOOKUP($A646,Pitchers!$A1:$S251,5,FALSE)-AVERAGE(Rankings!AD2:AD651))/STDEV(Rankings!AD2:AD651)*-1</f>
        <v>0.46779483411260325</v>
      </c>
      <c r="X646" s="121">
        <f>(VLOOKUP($A646,Pitchers!$A1:$S251,6,FALSE)-AVERAGE(Rankings!AE2:AE651))/STDEV(Rankings!AE2:AE651)*-1</f>
        <v>-0.28416163305885628</v>
      </c>
      <c r="Y646" s="121">
        <f>(VLOOKUP($A646,Pitchers!$A1:$S251,7,FALSE)-AVERAGE(Rankings!AF2:AF651))/STDEV(Rankings!AF2:AF651)</f>
        <v>-1.2750515950707448</v>
      </c>
      <c r="Z646" s="121">
        <f>(VLOOKUP($A646,Pitchers!$A1:$S251,8,FALSE)-AVERAGE(Rankings!AG2:AG651))/STDEV(Rankings!AG2:AG651)</f>
        <v>-0.89495010852097845</v>
      </c>
      <c r="AA646" s="121">
        <f>(VLOOKUP($A646,Pitchers!$A1:$S251,9,FALSE)-AVERAGE(Rankings!AH2:AH651))/STDEV(Rankings!AH2:AH651)</f>
        <v>-1.569570644952949E-2</v>
      </c>
      <c r="AB646" s="121">
        <f>(VLOOKUP($A646,Pitchers!$A1:$S251,10,FALSE)-AVERAGE(Rankings!AI2:AI651))/STDEV(Rankings!AI2:AI651)*-1</f>
        <v>1.0844899406961455</v>
      </c>
      <c r="AC646" s="121">
        <f>(VLOOKUP($A646,Pitchers!$A1:$S251,11,FALSE)-AVERAGE(Rankings!AJ2:AJ651))/STDEV(Rankings!AJ2:AJ651)*-1</f>
        <v>0.97185423627514755</v>
      </c>
      <c r="AD646" s="121">
        <f>(VLOOKUP($A646,Pitchers!$A1:$S251,12,FALSE)-AVERAGE(Rankings!AK2:AK651))/STDEV(Rankings!AK2:AK651)*-1</f>
        <v>1.1708192133260493</v>
      </c>
      <c r="AE646" s="121">
        <f>IFERROR((VLOOKUP($A646,Pitchers!$A1:$S251,13,FALSE)-AVERAGE(Rankings!AL2:AL651))/STDEV(Rankings!AL2:AL651)*-1,0)</f>
        <v>1.0975713903246602</v>
      </c>
      <c r="AF646" s="121">
        <f>(VLOOKUP($A646,Pitchers!$A1:$S251,14,FALSE)-AVERAGE(Rankings!AM2:AM651))/STDEV(Rankings!AM2:AM651)</f>
        <v>1.1782529762819116</v>
      </c>
      <c r="AG646" s="121">
        <f>(VLOOKUP($A646,Pitchers!$A1:$S251,15,FALSE)-AVERAGE(Rankings!AN2:AN651))/STDEV(Rankings!AN2:AN651)</f>
        <v>-1.2393696238626377</v>
      </c>
      <c r="AH646" s="121">
        <f>(VLOOKUP($A646,Pitchers!$A1:$S251,16,FALSE)-AVERAGE(Rankings!AO2:AO651))/STDEV(Rankings!AO2:AO651)*-1</f>
        <v>1.1351351573581607</v>
      </c>
      <c r="AI646" s="121">
        <f>IFERROR((VLOOKUP($A646,Pitchers!$A1:$S251,17,FALSE)-AVERAGE(Rankings!AP2:AP651))/STDEV(Rankings!AP2:AP651),0)</f>
        <v>-1.126133891603242</v>
      </c>
      <c r="AJ646" s="121">
        <f>(VLOOKUP($A646,Pitchers!$A1:$S251,18,FALSE)-AVERAGE(Rankings!AQ2:AQ651))/STDEV(Rankings!AQ2:AQ651)</f>
        <v>1.8051728709898405</v>
      </c>
      <c r="AK646" s="121">
        <f>IFERROR((VLOOKUP($A646,Pitchers!$A1:$S251,19,FALSE)-AVERAGE(Rankings!AR2:AR651))/STDEV(Rankings!AR2:AR651)*-1,0)</f>
        <v>0.47041511698728217</v>
      </c>
    </row>
    <row r="647" spans="1:37" ht="20.100000000000001" customHeight="1">
      <c r="A647" s="25" t="s">
        <v>636</v>
      </c>
      <c r="B647" s="26" t="s">
        <v>77</v>
      </c>
      <c r="C647" s="131" t="s">
        <v>34</v>
      </c>
      <c r="D647" s="67">
        <f>(V647*Settings!$G$2)+(Y647*Settings!$G$5)+(Z647*Settings!$G$6)+(AA647*Settings!$G$7)+(AB647*Settings!$G$8)+(AC647*Settings!$G$9)+(AD647*Settings!$G$10)+(AE647*Settings!$G$11)+(AF647*Settings!$G$12)+(AG647*Settings!$G$13)+(AH647*Settings!$G$14)+(AI647*Settings!$G$15)+(AJ647*Settings!$G$16)+(AK647*Settings!$G$17)+(W647*Settings!$G$3)+(X647*Settings!$G$4)</f>
        <v>-2.5520981322658454</v>
      </c>
      <c r="E647" s="67"/>
      <c r="F647" s="67"/>
      <c r="G647" s="67"/>
      <c r="H647" s="67"/>
      <c r="I647" s="67"/>
      <c r="J647" s="67"/>
      <c r="K647" s="73"/>
      <c r="L647" s="73"/>
      <c r="M647" s="67"/>
      <c r="N647" s="67"/>
      <c r="O647" s="67"/>
      <c r="P647" s="67"/>
      <c r="Q647" s="67"/>
      <c r="R647" s="73"/>
      <c r="S647" s="73"/>
      <c r="T647" s="67"/>
      <c r="U647" s="67"/>
      <c r="V647" s="121">
        <f>(VLOOKUP($A647,Pitchers!$A1:$S251,4,FALSE)-AVERAGE(Rankings!AC2:AC651))/STDEV(Rankings!AC2:AC651)</f>
        <v>-1.058399317286532</v>
      </c>
      <c r="W647" s="121">
        <f>(VLOOKUP($A647,Pitchers!$A1:$S251,5,FALSE)-AVERAGE(Rankings!AD2:AD651))/STDEV(Rankings!AD2:AD651)*-1</f>
        <v>0.13059398661073474</v>
      </c>
      <c r="X647" s="121">
        <f>(VLOOKUP($A647,Pitchers!$A1:$S251,6,FALSE)-AVERAGE(Rankings!AE2:AE651))/STDEV(Rankings!AE2:AE651)*-1</f>
        <v>-0.23009899253331328</v>
      </c>
      <c r="Y647" s="121">
        <f>(VLOOKUP($A647,Pitchers!$A1:$S251,7,FALSE)-AVERAGE(Rankings!AF2:AF651))/STDEV(Rankings!AF2:AF651)</f>
        <v>-0.94249833714172448</v>
      </c>
      <c r="Z647" s="121">
        <f>(VLOOKUP($A647,Pitchers!$A1:$S251,8,FALSE)-AVERAGE(Rankings!AG2:AG651))/STDEV(Rankings!AG2:AG651)</f>
        <v>-1.0459503270511687</v>
      </c>
      <c r="AA647" s="121">
        <f>(VLOOKUP($A647,Pitchers!$A1:$S251,9,FALSE)-AVERAGE(Rankings!AH2:AH651))/STDEV(Rankings!AH2:AH651)</f>
        <v>-0.46414446215037364</v>
      </c>
      <c r="AB647" s="121">
        <f>(VLOOKUP($A647,Pitchers!$A1:$S251,10,FALSE)-AVERAGE(Rankings!AI2:AI651))/STDEV(Rankings!AI2:AI651)*-1</f>
        <v>0.99907526612211106</v>
      </c>
      <c r="AC647" s="121">
        <f>(VLOOKUP($A647,Pitchers!$A1:$S251,11,FALSE)-AVERAGE(Rankings!AJ2:AJ651))/STDEV(Rankings!AJ2:AJ651)*-1</f>
        <v>1.0059780420928703</v>
      </c>
      <c r="AD647" s="121">
        <f>(VLOOKUP($A647,Pitchers!$A1:$S251,12,FALSE)-AVERAGE(Rankings!AK2:AK651))/STDEV(Rankings!AK2:AK651)*-1</f>
        <v>0.92186951592733735</v>
      </c>
      <c r="AE647" s="121">
        <f>IFERROR((VLOOKUP($A647,Pitchers!$A1:$S251,13,FALSE)-AVERAGE(Rankings!AL2:AL651))/STDEV(Rankings!AL2:AL651)*-1,0)</f>
        <v>1.0975713903246602</v>
      </c>
      <c r="AF647" s="121">
        <f>(VLOOKUP($A647,Pitchers!$A1:$S251,14,FALSE)-AVERAGE(Rankings!AM2:AM651))/STDEV(Rankings!AM2:AM651)</f>
        <v>1.1782529762819116</v>
      </c>
      <c r="AG647" s="121">
        <f>(VLOOKUP($A647,Pitchers!$A1:$S251,15,FALSE)-AVERAGE(Rankings!AN2:AN651))/STDEV(Rankings!AN2:AN651)</f>
        <v>-1.1874252617762189</v>
      </c>
      <c r="AH647" s="121">
        <f>(VLOOKUP($A647,Pitchers!$A1:$S251,16,FALSE)-AVERAGE(Rankings!AO2:AO651))/STDEV(Rankings!AO2:AO651)*-1</f>
        <v>1.2729186002754871</v>
      </c>
      <c r="AI647" s="121">
        <f>IFERROR((VLOOKUP($A647,Pitchers!$A1:$S251,17,FALSE)-AVERAGE(Rankings!AP2:AP651))/STDEV(Rankings!AP2:AP651),0)</f>
        <v>-1.126133891603242</v>
      </c>
      <c r="AJ647" s="121">
        <f>(VLOOKUP($A647,Pitchers!$A1:$S251,18,FALSE)-AVERAGE(Rankings!AQ2:AQ651))/STDEV(Rankings!AQ2:AQ651)</f>
        <v>0.27913918160885409</v>
      </c>
      <c r="AK647" s="121">
        <f>IFERROR((VLOOKUP($A647,Pitchers!$A1:$S251,19,FALSE)-AVERAGE(Rankings!AR2:AR651))/STDEV(Rankings!AR2:AR651)*-1,0)</f>
        <v>-1.1567584843949572E-2</v>
      </c>
    </row>
    <row r="648" spans="1:37" ht="20.100000000000001" customHeight="1">
      <c r="A648" s="25" t="s">
        <v>633</v>
      </c>
      <c r="B648" s="26" t="s">
        <v>85</v>
      </c>
      <c r="C648" s="131" t="s">
        <v>34</v>
      </c>
      <c r="D648" s="67">
        <f>(V648*Settings!$G$2)+(Y648*Settings!$G$5)+(Z648*Settings!$G$6)+(AA648*Settings!$G$7)+(AB648*Settings!$G$8)+(AC648*Settings!$G$9)+(AD648*Settings!$G$10)+(AE648*Settings!$G$11)+(AF648*Settings!$G$12)+(AG648*Settings!$G$13)+(AH648*Settings!$G$14)+(AI648*Settings!$G$15)+(AJ648*Settings!$G$16)+(AK648*Settings!$G$17)+(W648*Settings!$G$3)+(X648*Settings!$G$4)</f>
        <v>-2.503068556474803</v>
      </c>
      <c r="E648" s="67"/>
      <c r="F648" s="67"/>
      <c r="G648" s="67"/>
      <c r="H648" s="67"/>
      <c r="I648" s="67"/>
      <c r="J648" s="67"/>
      <c r="K648" s="73"/>
      <c r="L648" s="73"/>
      <c r="M648" s="67"/>
      <c r="N648" s="67"/>
      <c r="O648" s="67"/>
      <c r="P648" s="67"/>
      <c r="Q648" s="67"/>
      <c r="R648" s="73"/>
      <c r="S648" s="73"/>
      <c r="T648" s="67"/>
      <c r="U648" s="67"/>
      <c r="V648" s="121">
        <f>(VLOOKUP($A648,Pitchers!$A1:$S251,4,FALSE)-AVERAGE(Rankings!AC2:AC651))/STDEV(Rankings!AC2:AC651)</f>
        <v>-1.0926270790277512</v>
      </c>
      <c r="W648" s="121">
        <f>(VLOOKUP($A648,Pitchers!$A1:$S251,5,FALSE)-AVERAGE(Rankings!AD2:AD651))/STDEV(Rankings!AD2:AD651)*-1</f>
        <v>-0.43277550540735243</v>
      </c>
      <c r="X648" s="121">
        <f>(VLOOKUP($A648,Pitchers!$A1:$S251,6,FALSE)-AVERAGE(Rankings!AE2:AE651))/STDEV(Rankings!AE2:AE651)*-1</f>
        <v>-4.2564927367805837E-2</v>
      </c>
      <c r="Y648" s="121">
        <f>(VLOOKUP($A648,Pitchers!$A1:$S251,7,FALSE)-AVERAGE(Rankings!AF2:AF651))/STDEV(Rankings!AF2:AF651)</f>
        <v>-1.1646845749720307</v>
      </c>
      <c r="Z648" s="121">
        <f>(VLOOKUP($A648,Pitchers!$A1:$S251,8,FALSE)-AVERAGE(Rankings!AG2:AG651))/STDEV(Rankings!AG2:AG651)</f>
        <v>-1.1164170956985908</v>
      </c>
      <c r="AA648" s="121">
        <f>(VLOOKUP($A648,Pitchers!$A1:$S251,9,FALSE)-AVERAGE(Rankings!AH2:AH651))/STDEV(Rankings!AH2:AH651)</f>
        <v>0.25337354697097692</v>
      </c>
      <c r="AB648" s="121">
        <f>(VLOOKUP($A648,Pitchers!$A1:$S251,10,FALSE)-AVERAGE(Rankings!AI2:AI651))/STDEV(Rankings!AI2:AI651)*-1</f>
        <v>0.93864828818858215</v>
      </c>
      <c r="AC648" s="121">
        <f>(VLOOKUP($A648,Pitchers!$A1:$S251,11,FALSE)-AVERAGE(Rankings!AJ2:AJ651))/STDEV(Rankings!AJ2:AJ651)*-1</f>
        <v>1.0628510517890748</v>
      </c>
      <c r="AD648" s="121">
        <f>(VLOOKUP($A648,Pitchers!$A1:$S251,12,FALSE)-AVERAGE(Rankings!AK2:AK651))/STDEV(Rankings!AK2:AK651)*-1</f>
        <v>0.95603908223696432</v>
      </c>
      <c r="AE648" s="121">
        <f>IFERROR((VLOOKUP($A648,Pitchers!$A1:$S251,13,FALSE)-AVERAGE(Rankings!AL2:AL651))/STDEV(Rankings!AL2:AL651)*-1,0)</f>
        <v>0.96456467797315026</v>
      </c>
      <c r="AF648" s="121">
        <f>(VLOOKUP($A648,Pitchers!$A1:$S251,14,FALSE)-AVERAGE(Rankings!AM2:AM651))/STDEV(Rankings!AM2:AM651)</f>
        <v>1.5488860405626073</v>
      </c>
      <c r="AG648" s="121">
        <f>(VLOOKUP($A648,Pitchers!$A1:$S251,15,FALSE)-AVERAGE(Rankings!AN2:AN651))/STDEV(Rankings!AN2:AN651)</f>
        <v>-1.2653418049058471</v>
      </c>
      <c r="AH648" s="121">
        <f>(VLOOKUP($A648,Pitchers!$A1:$S251,16,FALSE)-AVERAGE(Rankings!AO2:AO651))/STDEV(Rankings!AO2:AO651)*-1</f>
        <v>1.0975578547443445</v>
      </c>
      <c r="AI648" s="121">
        <f>IFERROR((VLOOKUP($A648,Pitchers!$A1:$S251,17,FALSE)-AVERAGE(Rankings!AP2:AP651))/STDEV(Rankings!AP2:AP651),0)</f>
        <v>-1.126133891603242</v>
      </c>
      <c r="AJ648" s="121">
        <f>(VLOOKUP($A648,Pitchers!$A1:$S251,18,FALSE)-AVERAGE(Rankings!AQ2:AQ651))/STDEV(Rankings!AQ2:AQ651)</f>
        <v>2.2067606839848368</v>
      </c>
      <c r="AK648" s="121">
        <f>IFERROR((VLOOKUP($A648,Pitchers!$A1:$S251,19,FALSE)-AVERAGE(Rankings!AR2:AR651))/STDEV(Rankings!AR2:AR651)*-1,0)</f>
        <v>-0.4935502866751813</v>
      </c>
    </row>
    <row r="649" spans="1:37" ht="20.100000000000001" customHeight="1">
      <c r="A649" s="25" t="s">
        <v>621</v>
      </c>
      <c r="B649" s="26" t="s">
        <v>119</v>
      </c>
      <c r="C649" s="131" t="s">
        <v>34</v>
      </c>
      <c r="D649" s="67">
        <f>(V649*Settings!$G$2)+(Y649*Settings!$G$5)+(Z649*Settings!$G$6)+(AA649*Settings!$G$7)+(AB649*Settings!$G$8)+(AC649*Settings!$G$9)+(AD649*Settings!$G$10)+(AE649*Settings!$G$11)+(AF649*Settings!$G$12)+(AG649*Settings!$G$13)+(AH649*Settings!$G$14)+(AI649*Settings!$G$15)+(AJ649*Settings!$G$16)+(AK649*Settings!$G$17)+(W649*Settings!$G$3)+(X649*Settings!$G$4)</f>
        <v>-2.2612523123125845</v>
      </c>
      <c r="E649" s="67"/>
      <c r="F649" s="67"/>
      <c r="G649" s="67"/>
      <c r="H649" s="67"/>
      <c r="I649" s="67"/>
      <c r="J649" s="67"/>
      <c r="K649" s="73"/>
      <c r="L649" s="73"/>
      <c r="M649" s="67"/>
      <c r="N649" s="67"/>
      <c r="O649" s="67"/>
      <c r="P649" s="67"/>
      <c r="Q649" s="67"/>
      <c r="R649" s="73"/>
      <c r="S649" s="73"/>
      <c r="T649" s="67"/>
      <c r="U649" s="67"/>
      <c r="V649" s="121">
        <f>(VLOOKUP($A649,Pitchers!$A1:$S251,4,FALSE)-AVERAGE(Rankings!AC2:AC651))/STDEV(Rankings!AC2:AC651)</f>
        <v>-1.1843715950351428</v>
      </c>
      <c r="W649" s="121">
        <f>(VLOOKUP($A649,Pitchers!$A1:$S251,5,FALSE)-AVERAGE(Rankings!AD2:AD651))/STDEV(Rankings!AD2:AD651)*-1</f>
        <v>0.69806573812193218</v>
      </c>
      <c r="X649" s="121">
        <f>(VLOOKUP($A649,Pitchers!$A1:$S251,6,FALSE)-AVERAGE(Rankings!AE2:AE651))/STDEV(Rankings!AE2:AE651)*-1</f>
        <v>-0.46215885421162883</v>
      </c>
      <c r="Y649" s="121">
        <f>(VLOOKUP($A649,Pitchers!$A1:$S251,7,FALSE)-AVERAGE(Rankings!AF2:AF651))/STDEV(Rankings!AF2:AF651)</f>
        <v>-1.1508886974596915</v>
      </c>
      <c r="Z649" s="121">
        <f>(VLOOKUP($A649,Pitchers!$A1:$S251,8,FALSE)-AVERAGE(Rankings!AG2:AG651))/STDEV(Rankings!AG2:AG651)</f>
        <v>-1.1063504144632448</v>
      </c>
      <c r="AA649" s="121">
        <f>(VLOOKUP($A649,Pitchers!$A1:$S251,9,FALSE)-AVERAGE(Rankings!AH2:AH651))/STDEV(Rankings!AH2:AH651)</f>
        <v>-0.23992008429995157</v>
      </c>
      <c r="AB649" s="121">
        <f>(VLOOKUP($A649,Pitchers!$A1:$S251,10,FALSE)-AVERAGE(Rankings!AI2:AI651))/STDEV(Rankings!AI2:AI651)*-1</f>
        <v>1.192789981664488</v>
      </c>
      <c r="AC649" s="121">
        <f>(VLOOKUP($A649,Pitchers!$A1:$S251,11,FALSE)-AVERAGE(Rankings!AJ2:AJ651))/STDEV(Rankings!AJ2:AJ651)*-1</f>
        <v>1.2192518284536371</v>
      </c>
      <c r="AD649" s="121">
        <f>(VLOOKUP($A649,Pitchers!$A1:$S251,12,FALSE)-AVERAGE(Rankings!AK2:AK651))/STDEV(Rankings!AK2:AK651)*-1</f>
        <v>0.63386888560333687</v>
      </c>
      <c r="AE649" s="121">
        <f>IFERROR((VLOOKUP($A649,Pitchers!$A1:$S251,13,FALSE)-AVERAGE(Rankings!AL2:AL651))/STDEV(Rankings!AL2:AL651)*-1,0)</f>
        <v>1.0975713903246602</v>
      </c>
      <c r="AF649" s="121">
        <f>(VLOOKUP($A649,Pitchers!$A1:$S251,14,FALSE)-AVERAGE(Rankings!AM2:AM651))/STDEV(Rankings!AM2:AM651)</f>
        <v>1.0256393615780961</v>
      </c>
      <c r="AG649" s="121">
        <f>(VLOOKUP($A649,Pitchers!$A1:$S251,15,FALSE)-AVERAGE(Rankings!AN2:AN651))/STDEV(Rankings!AN2:AN651)</f>
        <v>-1.2653418049058471</v>
      </c>
      <c r="AH649" s="121">
        <f>(VLOOKUP($A649,Pitchers!$A1:$S251,16,FALSE)-AVERAGE(Rankings!AO2:AO651))/STDEV(Rankings!AO2:AO651)*-1</f>
        <v>1.3605989730410584</v>
      </c>
      <c r="AI649" s="121">
        <f>IFERROR((VLOOKUP($A649,Pitchers!$A1:$S251,17,FALSE)-AVERAGE(Rankings!AP2:AP651))/STDEV(Rankings!AP2:AP651),0)</f>
        <v>-1.126133891603242</v>
      </c>
      <c r="AJ649" s="121">
        <f>(VLOOKUP($A649,Pitchers!$A1:$S251,18,FALSE)-AVERAGE(Rankings!AQ2:AQ651))/STDEV(Rankings!AQ2:AQ651)</f>
        <v>1.4839026205938433</v>
      </c>
      <c r="AK649" s="121">
        <f>IFERROR((VLOOKUP($A649,Pitchers!$A1:$S251,19,FALSE)-AVERAGE(Rankings!AR2:AR651))/STDEV(Rankings!AR2:AR651)*-1,0)</f>
        <v>0.47041511698728217</v>
      </c>
    </row>
    <row r="650" spans="1:37" ht="20.100000000000001" customHeight="1">
      <c r="A650" s="25" t="s">
        <v>602</v>
      </c>
      <c r="B650" s="26" t="s">
        <v>74</v>
      </c>
      <c r="C650" s="131" t="s">
        <v>34</v>
      </c>
      <c r="D650" s="67">
        <f>(V650*Settings!$G$2)+(Y650*Settings!$G$5)+(Z650*Settings!$G$6)+(AA650*Settings!$G$7)+(AB650*Settings!$G$8)+(AC650*Settings!$G$9)+(AD650*Settings!$G$10)+(AE650*Settings!$G$11)+(AF650*Settings!$G$12)+(AG650*Settings!$G$13)+(AH650*Settings!$G$14)+(AI650*Settings!$G$15)+(AJ650*Settings!$G$16)+(AK650*Settings!$G$17)+(W650*Settings!$G$3)+(X650*Settings!$G$4)</f>
        <v>-2.0445344590806673</v>
      </c>
      <c r="E650" s="67"/>
      <c r="F650" s="67"/>
      <c r="G650" s="67"/>
      <c r="H650" s="67"/>
      <c r="I650" s="67"/>
      <c r="J650" s="67"/>
      <c r="K650" s="73"/>
      <c r="L650" s="73"/>
      <c r="M650" s="67"/>
      <c r="N650" s="67"/>
      <c r="O650" s="67"/>
      <c r="P650" s="67"/>
      <c r="Q650" s="67"/>
      <c r="R650" s="73"/>
      <c r="S650" s="73"/>
      <c r="T650" s="67"/>
      <c r="U650" s="67"/>
      <c r="V650" s="121">
        <f>(VLOOKUP($A650,Pitchers!$A1:$S251,4,FALSE)-AVERAGE(Rankings!AC2:AC651))/STDEV(Rankings!AC2:AC651)</f>
        <v>-1.5464095697412332</v>
      </c>
      <c r="W650" s="121">
        <f>(VLOOKUP($A650,Pitchers!$A1:$S251,5,FALSE)-AVERAGE(Rankings!AD2:AD651))/STDEV(Rankings!AD2:AD651)*-1</f>
        <v>0.60593206321503001</v>
      </c>
      <c r="X650" s="121">
        <f>(VLOOKUP($A650,Pitchers!$A1:$S251,6,FALSE)-AVERAGE(Rankings!AE2:AE651))/STDEV(Rankings!AE2:AE651)*-1</f>
        <v>-3.6539310839375019E-2</v>
      </c>
      <c r="Y650" s="121">
        <f>(VLOOKUP($A650,Pitchers!$A1:$S251,7,FALSE)-AVERAGE(Rankings!AF2:AF651))/STDEV(Rankings!AF2:AF651)</f>
        <v>-1.4122842713776991</v>
      </c>
      <c r="Z650" s="121">
        <f>(VLOOKUP($A650,Pitchers!$A1:$S251,8,FALSE)-AVERAGE(Rankings!AG2:AG651))/STDEV(Rankings!AG2:AG651)</f>
        <v>-1.5895511137598533</v>
      </c>
      <c r="AA650" s="121">
        <f>(VLOOKUP($A650,Pitchers!$A1:$S251,9,FALSE)-AVERAGE(Rankings!AH2:AH651))/STDEV(Rankings!AH2:AH651)</f>
        <v>0.38790817368123015</v>
      </c>
      <c r="AB650" s="121">
        <f>(VLOOKUP($A650,Pitchers!$A1:$S251,10,FALSE)-AVERAGE(Rankings!AI2:AI651))/STDEV(Rankings!AI2:AI651)*-1</f>
        <v>1.472099571516287</v>
      </c>
      <c r="AC650" s="121">
        <f>(VLOOKUP($A650,Pitchers!$A1:$S251,11,FALSE)-AVERAGE(Rankings!AJ2:AJ651))/STDEV(Rankings!AJ2:AJ651)*-1</f>
        <v>1.4403456536476318</v>
      </c>
      <c r="AD650" s="121">
        <f>(VLOOKUP($A650,Pitchers!$A1:$S251,12,FALSE)-AVERAGE(Rankings!AK2:AK651))/STDEV(Rankings!AK2:AK651)*-1</f>
        <v>1.5759726424259139</v>
      </c>
      <c r="AE650" s="121">
        <f>IFERROR((VLOOKUP($A650,Pitchers!$A1:$S251,13,FALSE)-AVERAGE(Rankings!AL2:AL651))/STDEV(Rankings!AL2:AL651)*-1,0)</f>
        <v>1.0975713903246602</v>
      </c>
      <c r="AF650" s="121">
        <f>(VLOOKUP($A650,Pitchers!$A1:$S251,14,FALSE)-AVERAGE(Rankings!AM2:AM651))/STDEV(Rankings!AM2:AM651)</f>
        <v>0.5045728770893535</v>
      </c>
      <c r="AG650" s="121">
        <f>(VLOOKUP($A650,Pitchers!$A1:$S251,15,FALSE)-AVERAGE(Rankings!AN2:AN651))/STDEV(Rankings!AN2:AN651)</f>
        <v>-1.2653418049058471</v>
      </c>
      <c r="AH650" s="121">
        <f>(VLOOKUP($A650,Pitchers!$A1:$S251,16,FALSE)-AVERAGE(Rankings!AO2:AO651))/STDEV(Rankings!AO2:AO651)*-1</f>
        <v>1.3480732055031197</v>
      </c>
      <c r="AI650" s="121">
        <f>IFERROR((VLOOKUP($A650,Pitchers!$A1:$S251,17,FALSE)-AVERAGE(Rankings!AP2:AP651))/STDEV(Rankings!AP2:AP651),0)</f>
        <v>-1.126133891603242</v>
      </c>
      <c r="AJ650" s="121">
        <f>(VLOOKUP($A650,Pitchers!$A1:$S251,18,FALSE)-AVERAGE(Rankings!AQ2:AQ651))/STDEV(Rankings!AQ2:AQ651)</f>
        <v>0.84136211980184905</v>
      </c>
      <c r="AK650" s="121">
        <f>IFERROR((VLOOKUP($A650,Pitchers!$A1:$S251,19,FALSE)-AVERAGE(Rankings!AR2:AR651))/STDEV(Rankings!AR2:AR651)*-1,0)</f>
        <v>-1.1567584843949572E-2</v>
      </c>
    </row>
    <row r="651" spans="1:37" ht="20.100000000000001" customHeight="1">
      <c r="A651" s="25" t="s">
        <v>685</v>
      </c>
      <c r="B651" s="26" t="s">
        <v>85</v>
      </c>
      <c r="C651" s="131" t="s">
        <v>34</v>
      </c>
      <c r="D651" s="67">
        <f>(V651*Settings!$G$2)+(Y651*Settings!$G$5)+(Z651*Settings!$G$6)+(AA651*Settings!$G$7)+(AB651*Settings!$G$8)+(AC651*Settings!$G$9)+(AD651*Settings!$G$10)+(AE651*Settings!$G$11)+(AF651*Settings!$G$12)+(AG651*Settings!$G$13)+(AH651*Settings!$G$14)+(AI651*Settings!$G$15)+(AJ651*Settings!$G$16)+(AK651*Settings!$G$17)+(W651*Settings!$G$3)+(X651*Settings!$G$4)</f>
        <v>-3.4678683814480449</v>
      </c>
      <c r="E651" s="67"/>
      <c r="F651" s="67"/>
      <c r="G651" s="67"/>
      <c r="H651" s="67"/>
      <c r="I651" s="67"/>
      <c r="J651" s="67"/>
      <c r="K651" s="73"/>
      <c r="L651" s="73"/>
      <c r="M651" s="67"/>
      <c r="N651" s="67"/>
      <c r="O651" s="67"/>
      <c r="P651" s="67"/>
      <c r="Q651" s="67"/>
      <c r="R651" s="73"/>
      <c r="S651" s="73"/>
      <c r="T651" s="67"/>
      <c r="U651" s="67"/>
      <c r="V651" s="121">
        <f>(VLOOKUP($A651,Pitchers!$A1:$S251,4,FALSE)-AVERAGE(Rankings!AC2:AC651))/STDEV(Rankings!AC2:AC651)</f>
        <v>-1.1194447067837578</v>
      </c>
      <c r="W651" s="121">
        <f>(VLOOKUP($A651,Pitchers!$A1:$S251,5,FALSE)-AVERAGE(Rankings!AD2:AD651))/STDEV(Rankings!AD2:AD651)*-1</f>
        <v>-0.96474612110773772</v>
      </c>
      <c r="X651" s="121">
        <f>(VLOOKUP($A651,Pitchers!$A1:$S251,6,FALSE)-AVERAGE(Rankings!AE2:AE651))/STDEV(Rankings!AE2:AE651)*-1</f>
        <v>-1.0318079694279161</v>
      </c>
      <c r="Y651" s="121">
        <f>(VLOOKUP($A651,Pitchers!$A1:$S251,7,FALSE)-AVERAGE(Rankings!AF2:AF651))/STDEV(Rankings!AF2:AF651)</f>
        <v>-1.1610540808898362</v>
      </c>
      <c r="Z651" s="121">
        <f>(VLOOKUP($A651,Pitchers!$A1:$S251,8,FALSE)-AVERAGE(Rankings!AG2:AG651))/STDEV(Rankings!AG2:AG651)</f>
        <v>-1.1466171394046287</v>
      </c>
      <c r="AA651" s="121">
        <f>(VLOOKUP($A651,Pitchers!$A1:$S251,9,FALSE)-AVERAGE(Rankings!AH2:AH651))/STDEV(Rankings!AH2:AH651)</f>
        <v>0.83635692938207429</v>
      </c>
      <c r="AB651" s="121">
        <f>(VLOOKUP($A651,Pitchers!$A1:$S251,10,FALSE)-AVERAGE(Rankings!AI2:AI651))/STDEV(Rankings!AI2:AI651)*-1</f>
        <v>0.88044377365817494</v>
      </c>
      <c r="AC651" s="121">
        <f>(VLOOKUP($A651,Pitchers!$A1:$S251,11,FALSE)-AVERAGE(Rankings!AJ2:AJ651))/STDEV(Rankings!AJ2:AJ651)*-1</f>
        <v>0.95408142074508362</v>
      </c>
      <c r="AD651" s="121">
        <f>(VLOOKUP($A651,Pitchers!$A1:$S251,12,FALSE)-AVERAGE(Rankings!AK2:AK651))/STDEV(Rankings!AK2:AK651)*-1</f>
        <v>1.0146154816248967</v>
      </c>
      <c r="AE651" s="121">
        <f>IFERROR((VLOOKUP($A651,Pitchers!$A1:$S251,13,FALSE)-AVERAGE(Rankings!AL2:AL651))/STDEV(Rankings!AL2:AL651)*-1,0)</f>
        <v>0.8315579656216403</v>
      </c>
      <c r="AF651" s="121">
        <f>(VLOOKUP($A651,Pitchers!$A1:$S251,14,FALSE)-AVERAGE(Rankings!AM2:AM651))/STDEV(Rankings!AM2:AM651)</f>
        <v>1.6142918754356708</v>
      </c>
      <c r="AG651" s="121">
        <f>(VLOOKUP($A651,Pitchers!$A1:$S251,15,FALSE)-AVERAGE(Rankings!AN2:AN651))/STDEV(Rankings!AN2:AN651)</f>
        <v>-1.2653418049058471</v>
      </c>
      <c r="AH651" s="121">
        <f>(VLOOKUP($A651,Pitchers!$A1:$S251,16,FALSE)-AVERAGE(Rankings!AO2:AO651))/STDEV(Rankings!AO2:AO651)*-1</f>
        <v>0.89714557413732443</v>
      </c>
      <c r="AI651" s="121">
        <f>IFERROR((VLOOKUP($A651,Pitchers!$A1:$S251,17,FALSE)-AVERAGE(Rankings!AP2:AP651))/STDEV(Rankings!AP2:AP651),0)</f>
        <v>-1.126133891603242</v>
      </c>
      <c r="AJ651" s="121">
        <f>(VLOOKUP($A651,Pitchers!$A1:$S251,18,FALSE)-AVERAGE(Rankings!AQ2:AQ651))/STDEV(Rankings!AQ2:AQ651)</f>
        <v>1.965807996187839</v>
      </c>
      <c r="AK651" s="121">
        <f>IFERROR((VLOOKUP($A651,Pitchers!$A1:$S251,19,FALSE)-AVERAGE(Rankings!AR2:AR651))/STDEV(Rankings!AR2:AR651)*-1,0)</f>
        <v>-3.8674291994938037</v>
      </c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401"/>
  <sheetViews>
    <sheetView showGridLines="0" workbookViewId="0"/>
  </sheetViews>
  <sheetFormatPr defaultColWidth="16.28515625" defaultRowHeight="14.1" customHeight="1"/>
  <cols>
    <col min="1" max="1" width="23.7109375" style="1" customWidth="1"/>
    <col min="2" max="18" width="7.140625" style="1" customWidth="1"/>
    <col min="19" max="19" width="16.28515625" style="1" customWidth="1"/>
    <col min="20" max="16384" width="16.28515625" style="1"/>
  </cols>
  <sheetData>
    <row r="1" spans="1:18" ht="36" customHeight="1">
      <c r="A1" s="132" t="s">
        <v>750</v>
      </c>
      <c r="B1" s="133" t="s">
        <v>751</v>
      </c>
      <c r="C1" s="133" t="s">
        <v>752</v>
      </c>
      <c r="D1" s="133" t="s">
        <v>5</v>
      </c>
      <c r="E1" s="133" t="s">
        <v>9</v>
      </c>
      <c r="F1" s="133" t="s">
        <v>13</v>
      </c>
      <c r="G1" s="133" t="s">
        <v>17</v>
      </c>
      <c r="H1" s="133" t="s">
        <v>21</v>
      </c>
      <c r="I1" s="133" t="s">
        <v>25</v>
      </c>
      <c r="J1" s="133" t="s">
        <v>29</v>
      </c>
      <c r="K1" s="133" t="s">
        <v>33</v>
      </c>
      <c r="L1" s="133" t="s">
        <v>11</v>
      </c>
      <c r="M1" s="133" t="s">
        <v>15</v>
      </c>
      <c r="N1" s="133" t="s">
        <v>36</v>
      </c>
      <c r="O1" s="133" t="s">
        <v>40</v>
      </c>
      <c r="P1" s="133" t="s">
        <v>45</v>
      </c>
      <c r="Q1" s="133" t="s">
        <v>47</v>
      </c>
      <c r="R1" s="133" t="s">
        <v>52</v>
      </c>
    </row>
    <row r="2" spans="1:18" ht="18.600000000000001" customHeight="1">
      <c r="A2" s="25" t="s">
        <v>94</v>
      </c>
      <c r="B2" s="26" t="s">
        <v>95</v>
      </c>
      <c r="C2" s="120" t="s">
        <v>7</v>
      </c>
      <c r="D2" s="30">
        <v>582.66666666666697</v>
      </c>
      <c r="E2" s="30">
        <v>100.9</v>
      </c>
      <c r="F2" s="30">
        <v>36.5</v>
      </c>
      <c r="G2" s="30">
        <v>104</v>
      </c>
      <c r="H2" s="30">
        <v>6.0333333333333297</v>
      </c>
      <c r="I2" s="32">
        <v>0.29113272311212801</v>
      </c>
      <c r="J2" s="32">
        <v>0.359697933227345</v>
      </c>
      <c r="K2" s="30">
        <v>169.63333333333301</v>
      </c>
      <c r="L2" s="30">
        <v>32.5</v>
      </c>
      <c r="M2" s="30">
        <v>0.93333333333333302</v>
      </c>
      <c r="N2" s="30">
        <v>65.6666666666667</v>
      </c>
      <c r="O2" s="30">
        <v>104.333333333333</v>
      </c>
      <c r="P2" s="32">
        <v>0.53804347826086996</v>
      </c>
      <c r="Q2" s="32">
        <v>0.89774141148821496</v>
      </c>
      <c r="R2" s="30">
        <v>0</v>
      </c>
    </row>
    <row r="3" spans="1:18" ht="18.600000000000001" customHeight="1">
      <c r="A3" s="25" t="s">
        <v>107</v>
      </c>
      <c r="B3" s="26" t="s">
        <v>82</v>
      </c>
      <c r="C3" s="120" t="s">
        <v>7</v>
      </c>
      <c r="D3" s="30">
        <v>569</v>
      </c>
      <c r="E3" s="30">
        <v>107.6</v>
      </c>
      <c r="F3" s="30">
        <v>24.6666666666667</v>
      </c>
      <c r="G3" s="30">
        <v>90.6666666666667</v>
      </c>
      <c r="H3" s="30">
        <v>9.0333333333333297</v>
      </c>
      <c r="I3" s="32">
        <v>0.30755711775043898</v>
      </c>
      <c r="J3" s="32">
        <v>0.390645248174329</v>
      </c>
      <c r="K3" s="30">
        <v>175</v>
      </c>
      <c r="L3" s="30">
        <v>38.1666666666667</v>
      </c>
      <c r="M3" s="30">
        <v>1.86666666666667</v>
      </c>
      <c r="N3" s="30">
        <v>81.233333333333306</v>
      </c>
      <c r="O3" s="30">
        <v>99.433333333333294</v>
      </c>
      <c r="P3" s="32">
        <v>0.51124780316344498</v>
      </c>
      <c r="Q3" s="32">
        <v>0.90189305133777398</v>
      </c>
      <c r="R3" s="30">
        <v>0</v>
      </c>
    </row>
    <row r="4" spans="1:18" ht="18.600000000000001" customHeight="1">
      <c r="A4" s="25" t="s">
        <v>129</v>
      </c>
      <c r="B4" s="26" t="s">
        <v>97</v>
      </c>
      <c r="C4" s="120" t="s">
        <v>7</v>
      </c>
      <c r="D4" s="30">
        <v>563.33333333333303</v>
      </c>
      <c r="E4" s="30">
        <v>88.566666666666706</v>
      </c>
      <c r="F4" s="30">
        <v>38.066666666666698</v>
      </c>
      <c r="G4" s="30">
        <v>109.26666666666701</v>
      </c>
      <c r="H4" s="30">
        <v>3.7333333333333298</v>
      </c>
      <c r="I4" s="32">
        <v>0.26372781065088802</v>
      </c>
      <c r="J4" s="32">
        <v>0.33624546076522299</v>
      </c>
      <c r="K4" s="30">
        <v>148.566666666667</v>
      </c>
      <c r="L4" s="30">
        <v>25.2</v>
      </c>
      <c r="M4" s="30">
        <v>1.0333333333333301</v>
      </c>
      <c r="N4" s="30">
        <v>64.400000000000006</v>
      </c>
      <c r="O4" s="30">
        <v>127.433333333333</v>
      </c>
      <c r="P4" s="32">
        <v>0.51485207100591701</v>
      </c>
      <c r="Q4" s="32">
        <v>0.85109753177114</v>
      </c>
      <c r="R4" s="30">
        <v>0</v>
      </c>
    </row>
    <row r="5" spans="1:18" ht="18.600000000000001" customHeight="1">
      <c r="A5" s="25" t="s">
        <v>134</v>
      </c>
      <c r="B5" s="26" t="s">
        <v>125</v>
      </c>
      <c r="C5" s="120" t="s">
        <v>7</v>
      </c>
      <c r="D5" s="30">
        <v>545.33333333333303</v>
      </c>
      <c r="E5" s="30">
        <v>93.266666666666694</v>
      </c>
      <c r="F5" s="30">
        <v>28.266666666666701</v>
      </c>
      <c r="G5" s="30">
        <v>92.933333333333294</v>
      </c>
      <c r="H5" s="30">
        <v>6.43333333333333</v>
      </c>
      <c r="I5" s="32">
        <v>0.28942542787286102</v>
      </c>
      <c r="J5" s="32">
        <v>0.36890511574123602</v>
      </c>
      <c r="K5" s="30">
        <v>157.833333333333</v>
      </c>
      <c r="L5" s="30">
        <v>32.366666666666703</v>
      </c>
      <c r="M5" s="30">
        <v>0.93333333333333302</v>
      </c>
      <c r="N5" s="30">
        <v>71.866666666666703</v>
      </c>
      <c r="O5" s="30">
        <v>133.80000000000001</v>
      </c>
      <c r="P5" s="32">
        <v>0.50770171149144205</v>
      </c>
      <c r="Q5" s="32">
        <v>0.87660682723267902</v>
      </c>
      <c r="R5" s="30">
        <v>0</v>
      </c>
    </row>
    <row r="6" spans="1:18" ht="18.600000000000001" customHeight="1">
      <c r="A6" s="25" t="s">
        <v>182</v>
      </c>
      <c r="B6" s="26" t="s">
        <v>74</v>
      </c>
      <c r="C6" s="120" t="s">
        <v>7</v>
      </c>
      <c r="D6" s="30">
        <v>567.33333333333303</v>
      </c>
      <c r="E6" s="30">
        <v>90.066666666666706</v>
      </c>
      <c r="F6" s="30">
        <v>34.133333333333297</v>
      </c>
      <c r="G6" s="30">
        <v>102.366666666667</v>
      </c>
      <c r="H6" s="30">
        <v>1.8333333333333299</v>
      </c>
      <c r="I6" s="32">
        <v>0.24911868390129299</v>
      </c>
      <c r="J6" s="32">
        <v>0.33510976937136799</v>
      </c>
      <c r="K6" s="30">
        <v>141.333333333333</v>
      </c>
      <c r="L6" s="30">
        <v>32.8333333333333</v>
      </c>
      <c r="M6" s="30">
        <v>0.5</v>
      </c>
      <c r="N6" s="30">
        <v>76.233333333333306</v>
      </c>
      <c r="O6" s="30">
        <v>148.433333333333</v>
      </c>
      <c r="P6" s="32">
        <v>0.48924794359577001</v>
      </c>
      <c r="Q6" s="32">
        <v>0.824357712967137</v>
      </c>
      <c r="R6" s="30">
        <v>0</v>
      </c>
    </row>
    <row r="7" spans="1:18" ht="18.600000000000001" customHeight="1">
      <c r="A7" s="25" t="s">
        <v>223</v>
      </c>
      <c r="B7" s="26" t="s">
        <v>79</v>
      </c>
      <c r="C7" s="120" t="s">
        <v>7</v>
      </c>
      <c r="D7" s="30">
        <v>551</v>
      </c>
      <c r="E7" s="30">
        <v>80.533333333333303</v>
      </c>
      <c r="F7" s="30">
        <v>21.966666666666701</v>
      </c>
      <c r="G7" s="30">
        <v>87.733333333333306</v>
      </c>
      <c r="H7" s="30">
        <v>0.53333333333333299</v>
      </c>
      <c r="I7" s="32">
        <v>0.28203266787658798</v>
      </c>
      <c r="J7" s="32">
        <v>0.34245340240323902</v>
      </c>
      <c r="K7" s="30">
        <v>155.4</v>
      </c>
      <c r="L7" s="30">
        <v>32.3333333333333</v>
      </c>
      <c r="M7" s="30">
        <v>0.96666666666666701</v>
      </c>
      <c r="N7" s="30">
        <v>53.5</v>
      </c>
      <c r="O7" s="30">
        <v>118.73333333333299</v>
      </c>
      <c r="P7" s="32">
        <v>0.46382335148215398</v>
      </c>
      <c r="Q7" s="32">
        <v>0.80627675388539299</v>
      </c>
      <c r="R7" s="30">
        <v>0</v>
      </c>
    </row>
    <row r="8" spans="1:18" ht="18.600000000000001" customHeight="1">
      <c r="A8" s="25" t="s">
        <v>229</v>
      </c>
      <c r="B8" s="26" t="s">
        <v>178</v>
      </c>
      <c r="C8" s="120" t="s">
        <v>7</v>
      </c>
      <c r="D8" s="30">
        <v>526.33333333333303</v>
      </c>
      <c r="E8" s="30">
        <v>77</v>
      </c>
      <c r="F8" s="30">
        <v>28.033333333333299</v>
      </c>
      <c r="G8" s="30">
        <v>93.1666666666667</v>
      </c>
      <c r="H8" s="30">
        <v>0.6</v>
      </c>
      <c r="I8" s="32">
        <v>0.260987967067764</v>
      </c>
      <c r="J8" s="32">
        <v>0.32145910188813498</v>
      </c>
      <c r="K8" s="30">
        <v>137.36666666666699</v>
      </c>
      <c r="L8" s="30">
        <v>26.5</v>
      </c>
      <c r="M8" s="30">
        <v>2.1</v>
      </c>
      <c r="N8" s="30">
        <v>49.4</v>
      </c>
      <c r="O8" s="30">
        <v>145.23333333333301</v>
      </c>
      <c r="P8" s="32">
        <v>0.47910069664344501</v>
      </c>
      <c r="Q8" s="32">
        <v>0.80055979853157999</v>
      </c>
      <c r="R8" s="30">
        <v>0</v>
      </c>
    </row>
    <row r="9" spans="1:18" ht="18.600000000000001" customHeight="1">
      <c r="A9" s="25" t="s">
        <v>235</v>
      </c>
      <c r="B9" s="26" t="s">
        <v>87</v>
      </c>
      <c r="C9" s="120" t="s">
        <v>7</v>
      </c>
      <c r="D9" s="30">
        <v>530.33333333333303</v>
      </c>
      <c r="E9" s="30">
        <v>74.1666666666667</v>
      </c>
      <c r="F9" s="30">
        <v>23.3</v>
      </c>
      <c r="G9" s="30">
        <v>76</v>
      </c>
      <c r="H9" s="30">
        <v>3.9666666666666699</v>
      </c>
      <c r="I9" s="32">
        <v>0.279761156505343</v>
      </c>
      <c r="J9" s="32">
        <v>0.34832651824928101</v>
      </c>
      <c r="K9" s="30">
        <v>148.36666666666699</v>
      </c>
      <c r="L9" s="30">
        <v>25.433333333333302</v>
      </c>
      <c r="M9" s="30">
        <v>2.5</v>
      </c>
      <c r="N9" s="30">
        <v>58.633333333333297</v>
      </c>
      <c r="O9" s="30">
        <v>140.63333333333301</v>
      </c>
      <c r="P9" s="32">
        <v>0.46895034569453198</v>
      </c>
      <c r="Q9" s="32">
        <v>0.81727686394381205</v>
      </c>
      <c r="R9" s="30">
        <v>0</v>
      </c>
    </row>
    <row r="10" spans="1:18" ht="18.600000000000001" customHeight="1">
      <c r="A10" s="25" t="s">
        <v>265</v>
      </c>
      <c r="B10" s="26" t="s">
        <v>122</v>
      </c>
      <c r="C10" s="120" t="s">
        <v>7</v>
      </c>
      <c r="D10" s="30">
        <v>544.33333333333303</v>
      </c>
      <c r="E10" s="30">
        <v>76.8</v>
      </c>
      <c r="F10" s="30">
        <v>26.266666666666701</v>
      </c>
      <c r="G10" s="30">
        <v>85.3333333333333</v>
      </c>
      <c r="H10" s="30">
        <v>2.1</v>
      </c>
      <c r="I10" s="32">
        <v>0.25064298836497201</v>
      </c>
      <c r="J10" s="32">
        <v>0.32057990389725699</v>
      </c>
      <c r="K10" s="30">
        <v>136.433333333333</v>
      </c>
      <c r="L10" s="30">
        <v>27.3</v>
      </c>
      <c r="M10" s="30">
        <v>2</v>
      </c>
      <c r="N10" s="30">
        <v>58.6</v>
      </c>
      <c r="O10" s="30">
        <v>129.96666666666701</v>
      </c>
      <c r="P10" s="32">
        <v>0.45290875688916099</v>
      </c>
      <c r="Q10" s="32">
        <v>0.77348866078641798</v>
      </c>
      <c r="R10" s="30">
        <v>0</v>
      </c>
    </row>
    <row r="11" spans="1:18" ht="18.600000000000001" customHeight="1">
      <c r="A11" s="25" t="s">
        <v>267</v>
      </c>
      <c r="B11" s="26" t="s">
        <v>92</v>
      </c>
      <c r="C11" s="120" t="s">
        <v>7</v>
      </c>
      <c r="D11" s="30">
        <v>520.33333333333303</v>
      </c>
      <c r="E11" s="30">
        <v>81.366666666666703</v>
      </c>
      <c r="F11" s="30">
        <v>28.866666666666699</v>
      </c>
      <c r="G11" s="30">
        <v>81.033333333333303</v>
      </c>
      <c r="H11" s="30">
        <v>3</v>
      </c>
      <c r="I11" s="32">
        <v>0.24093529788597101</v>
      </c>
      <c r="J11" s="32">
        <v>0.326581440615692</v>
      </c>
      <c r="K11" s="30">
        <v>125.366666666667</v>
      </c>
      <c r="L11" s="30">
        <v>29.4</v>
      </c>
      <c r="M11" s="30">
        <v>1.4666666666666699</v>
      </c>
      <c r="N11" s="30">
        <v>68.7</v>
      </c>
      <c r="O11" s="30">
        <v>147.933333333333</v>
      </c>
      <c r="P11" s="32">
        <v>0.46950672645739899</v>
      </c>
      <c r="Q11" s="32">
        <v>0.79608816707309105</v>
      </c>
      <c r="R11" s="30">
        <v>0</v>
      </c>
    </row>
    <row r="12" spans="1:18" ht="18.600000000000001" customHeight="1">
      <c r="A12" s="25" t="s">
        <v>262</v>
      </c>
      <c r="B12" s="26" t="s">
        <v>119</v>
      </c>
      <c r="C12" s="120" t="s">
        <v>7</v>
      </c>
      <c r="D12" s="30">
        <v>514</v>
      </c>
      <c r="E12" s="30">
        <v>65.533333333333303</v>
      </c>
      <c r="F12" s="30">
        <v>22.3333333333333</v>
      </c>
      <c r="G12" s="30">
        <v>72.466666666666697</v>
      </c>
      <c r="H12" s="30">
        <v>2.4666666666666699</v>
      </c>
      <c r="I12" s="32">
        <v>0.28482490272373501</v>
      </c>
      <c r="J12" s="32">
        <v>0.36149875522463099</v>
      </c>
      <c r="K12" s="30">
        <v>146.4</v>
      </c>
      <c r="L12" s="30">
        <v>26.1</v>
      </c>
      <c r="M12" s="30">
        <v>1.4</v>
      </c>
      <c r="N12" s="30">
        <v>64.633333333333297</v>
      </c>
      <c r="O12" s="30">
        <v>76.8</v>
      </c>
      <c r="P12" s="32">
        <v>0.471400778210117</v>
      </c>
      <c r="Q12" s="32">
        <v>0.83289953343474699</v>
      </c>
      <c r="R12" s="30">
        <v>0</v>
      </c>
    </row>
    <row r="13" spans="1:18" ht="18.600000000000001" customHeight="1">
      <c r="A13" s="25" t="s">
        <v>274</v>
      </c>
      <c r="B13" s="26" t="s">
        <v>101</v>
      </c>
      <c r="C13" s="120" t="s">
        <v>7</v>
      </c>
      <c r="D13" s="30">
        <v>545.66666666666697</v>
      </c>
      <c r="E13" s="30">
        <v>68.966666666666697</v>
      </c>
      <c r="F13" s="30">
        <v>24.033333333333299</v>
      </c>
      <c r="G13" s="30">
        <v>81.633333333333297</v>
      </c>
      <c r="H13" s="30">
        <v>3.7</v>
      </c>
      <c r="I13" s="32">
        <v>0.259804520464264</v>
      </c>
      <c r="J13" s="32">
        <v>0.31164696452493501</v>
      </c>
      <c r="K13" s="30">
        <v>141.76666666666699</v>
      </c>
      <c r="L13" s="30">
        <v>25.8</v>
      </c>
      <c r="M13" s="30">
        <v>1.06666666666667</v>
      </c>
      <c r="N13" s="30">
        <v>43.566666666666698</v>
      </c>
      <c r="O13" s="30">
        <v>153.36666666666699</v>
      </c>
      <c r="P13" s="32">
        <v>0.44312767257177799</v>
      </c>
      <c r="Q13" s="32">
        <v>0.754774637096712</v>
      </c>
      <c r="R13" s="30">
        <v>0</v>
      </c>
    </row>
    <row r="14" spans="1:18" ht="18.600000000000001" customHeight="1">
      <c r="A14" s="25" t="s">
        <v>287</v>
      </c>
      <c r="B14" s="26" t="s">
        <v>72</v>
      </c>
      <c r="C14" s="120" t="s">
        <v>7</v>
      </c>
      <c r="D14" s="30">
        <v>541.33333333333303</v>
      </c>
      <c r="E14" s="30">
        <v>74.933333333333294</v>
      </c>
      <c r="F14" s="30">
        <v>19.566666666666698</v>
      </c>
      <c r="G14" s="30">
        <v>76.1666666666667</v>
      </c>
      <c r="H14" s="30">
        <v>0.233333333333333</v>
      </c>
      <c r="I14" s="32">
        <v>0.27616995073891598</v>
      </c>
      <c r="J14" s="32">
        <v>0.32134803307441701</v>
      </c>
      <c r="K14" s="30">
        <v>149.5</v>
      </c>
      <c r="L14" s="30">
        <v>30.066666666666698</v>
      </c>
      <c r="M14" s="30">
        <v>1.1000000000000001</v>
      </c>
      <c r="N14" s="30">
        <v>38.6</v>
      </c>
      <c r="O14" s="30">
        <v>99.3333333333333</v>
      </c>
      <c r="P14" s="32">
        <v>0.44421182266009901</v>
      </c>
      <c r="Q14" s="32">
        <v>0.76555985573451601</v>
      </c>
      <c r="R14" s="30">
        <v>0</v>
      </c>
    </row>
    <row r="15" spans="1:18" ht="18.600000000000001" customHeight="1">
      <c r="A15" s="25" t="s">
        <v>286</v>
      </c>
      <c r="B15" s="26" t="s">
        <v>69</v>
      </c>
      <c r="C15" s="120" t="s">
        <v>7</v>
      </c>
      <c r="D15" s="30">
        <v>482</v>
      </c>
      <c r="E15" s="30">
        <v>75.633333333333297</v>
      </c>
      <c r="F15" s="30">
        <v>26.466666666666701</v>
      </c>
      <c r="G15" s="30">
        <v>73.966666666666697</v>
      </c>
      <c r="H15" s="30">
        <v>6.6</v>
      </c>
      <c r="I15" s="32">
        <v>0.240387275242047</v>
      </c>
      <c r="J15" s="32">
        <v>0.31774933176389802</v>
      </c>
      <c r="K15" s="30">
        <v>115.866666666667</v>
      </c>
      <c r="L15" s="30">
        <v>21.566666666666698</v>
      </c>
      <c r="M15" s="30">
        <v>1.43333333333333</v>
      </c>
      <c r="N15" s="30">
        <v>56.9</v>
      </c>
      <c r="O15" s="30">
        <v>97.6666666666667</v>
      </c>
      <c r="P15" s="32">
        <v>0.455809128630705</v>
      </c>
      <c r="Q15" s="32">
        <v>0.77355846039460396</v>
      </c>
      <c r="R15" s="30">
        <v>0</v>
      </c>
    </row>
    <row r="16" spans="1:18" ht="18.600000000000001" customHeight="1">
      <c r="A16" s="25" t="s">
        <v>321</v>
      </c>
      <c r="B16" s="26" t="s">
        <v>77</v>
      </c>
      <c r="C16" s="120" t="s">
        <v>7</v>
      </c>
      <c r="D16" s="30">
        <v>515</v>
      </c>
      <c r="E16" s="30">
        <v>73.933333333333294</v>
      </c>
      <c r="F16" s="30">
        <v>21.066666666666698</v>
      </c>
      <c r="G16" s="30">
        <v>78.1666666666667</v>
      </c>
      <c r="H16" s="30">
        <v>0.266666666666667</v>
      </c>
      <c r="I16" s="32">
        <v>0.260906148867314</v>
      </c>
      <c r="J16" s="32">
        <v>0.34474168435951902</v>
      </c>
      <c r="K16" s="30">
        <v>134.36666666666699</v>
      </c>
      <c r="L16" s="30">
        <v>25.466666666666701</v>
      </c>
      <c r="M16" s="30">
        <v>2</v>
      </c>
      <c r="N16" s="30">
        <v>68.599999999999994</v>
      </c>
      <c r="O16" s="30">
        <v>105</v>
      </c>
      <c r="P16" s="32">
        <v>0.44084142394822001</v>
      </c>
      <c r="Q16" s="32">
        <v>0.78558310830773903</v>
      </c>
      <c r="R16" s="30">
        <v>0</v>
      </c>
    </row>
    <row r="17" spans="1:18" ht="18.600000000000001" customHeight="1">
      <c r="A17" s="25" t="s">
        <v>331</v>
      </c>
      <c r="B17" s="26" t="s">
        <v>116</v>
      </c>
      <c r="C17" s="120" t="s">
        <v>7</v>
      </c>
      <c r="D17" s="30">
        <v>524.33333333333303</v>
      </c>
      <c r="E17" s="30">
        <v>70.433333333333294</v>
      </c>
      <c r="F17" s="30">
        <v>20.733333333333299</v>
      </c>
      <c r="G17" s="30">
        <v>73.633333333333297</v>
      </c>
      <c r="H17" s="30">
        <v>1.5</v>
      </c>
      <c r="I17" s="32">
        <v>0.26166560712015302</v>
      </c>
      <c r="J17" s="32">
        <v>0.31443830334938799</v>
      </c>
      <c r="K17" s="30">
        <v>137.19999999999999</v>
      </c>
      <c r="L17" s="30">
        <v>30.1</v>
      </c>
      <c r="M17" s="30">
        <v>1.0333333333333301</v>
      </c>
      <c r="N17" s="30">
        <v>42.766666666666701</v>
      </c>
      <c r="O17" s="30">
        <v>108.73333333333299</v>
      </c>
      <c r="P17" s="32">
        <v>0.441640178003814</v>
      </c>
      <c r="Q17" s="32">
        <v>0.75607848135320299</v>
      </c>
      <c r="R17" s="30">
        <v>0</v>
      </c>
    </row>
    <row r="18" spans="1:18" ht="18.600000000000001" customHeight="1">
      <c r="A18" s="25" t="s">
        <v>343</v>
      </c>
      <c r="B18" s="26" t="s">
        <v>99</v>
      </c>
      <c r="C18" s="120" t="s">
        <v>7</v>
      </c>
      <c r="D18" s="30">
        <v>457.33333333333297</v>
      </c>
      <c r="E18" s="30">
        <v>65.3</v>
      </c>
      <c r="F18" s="30">
        <v>27.6666666666667</v>
      </c>
      <c r="G18" s="30">
        <v>76.966666666666697</v>
      </c>
      <c r="H18" s="30">
        <v>1.7333333333333301</v>
      </c>
      <c r="I18" s="32">
        <v>0.24278425655976699</v>
      </c>
      <c r="J18" s="32">
        <v>0.31363701568837099</v>
      </c>
      <c r="K18" s="30">
        <v>111.033333333333</v>
      </c>
      <c r="L18" s="30">
        <v>21.866666666666699</v>
      </c>
      <c r="M18" s="30">
        <v>1</v>
      </c>
      <c r="N18" s="30">
        <v>49.3</v>
      </c>
      <c r="O18" s="30">
        <v>104.166666666667</v>
      </c>
      <c r="P18" s="32">
        <v>0.476457725947522</v>
      </c>
      <c r="Q18" s="32">
        <v>0.79009474163589299</v>
      </c>
      <c r="R18" s="30">
        <v>0</v>
      </c>
    </row>
    <row r="19" spans="1:18" ht="18.600000000000001" customHeight="1">
      <c r="A19" s="25" t="s">
        <v>342</v>
      </c>
      <c r="B19" s="26" t="s">
        <v>77</v>
      </c>
      <c r="C19" s="120" t="s">
        <v>7</v>
      </c>
      <c r="D19" s="30">
        <v>463.66666666666703</v>
      </c>
      <c r="E19" s="30">
        <v>59.566666666666698</v>
      </c>
      <c r="F19" s="30">
        <v>19.866666666666699</v>
      </c>
      <c r="G19" s="30">
        <v>70.6666666666667</v>
      </c>
      <c r="H19" s="30">
        <v>4.93333333333333</v>
      </c>
      <c r="I19" s="32">
        <v>0.26455787203450798</v>
      </c>
      <c r="J19" s="32">
        <v>0.31979585544571298</v>
      </c>
      <c r="K19" s="30">
        <v>122.666666666667</v>
      </c>
      <c r="L19" s="30">
        <v>28.033333333333299</v>
      </c>
      <c r="M19" s="30">
        <v>0.9</v>
      </c>
      <c r="N19" s="30">
        <v>39.8333333333333</v>
      </c>
      <c r="O19" s="30">
        <v>83.3</v>
      </c>
      <c r="P19" s="32">
        <v>0.45744069015097</v>
      </c>
      <c r="Q19" s="32">
        <v>0.77723654559668398</v>
      </c>
      <c r="R19" s="30">
        <v>0</v>
      </c>
    </row>
    <row r="20" spans="1:18" ht="18.600000000000001" customHeight="1">
      <c r="A20" s="25" t="s">
        <v>369</v>
      </c>
      <c r="B20" s="26" t="s">
        <v>82</v>
      </c>
      <c r="C20" s="120" t="s">
        <v>7</v>
      </c>
      <c r="D20" s="30">
        <v>479.33333333333297</v>
      </c>
      <c r="E20" s="30">
        <v>78.433333333333294</v>
      </c>
      <c r="F20" s="30">
        <v>25.9</v>
      </c>
      <c r="G20" s="30">
        <v>78.433333333333294</v>
      </c>
      <c r="H20" s="30">
        <v>1.9666666666666699</v>
      </c>
      <c r="I20" s="32">
        <v>0.223226703755216</v>
      </c>
      <c r="J20" s="32">
        <v>0.33595886792895802</v>
      </c>
      <c r="K20" s="30">
        <v>107</v>
      </c>
      <c r="L20" s="30">
        <v>22.3</v>
      </c>
      <c r="M20" s="30">
        <v>1.0333333333333301</v>
      </c>
      <c r="N20" s="30">
        <v>83.8</v>
      </c>
      <c r="O20" s="30">
        <v>134.03333333333299</v>
      </c>
      <c r="P20" s="32">
        <v>0.43616133518776101</v>
      </c>
      <c r="Q20" s="32">
        <v>0.77212020311671903</v>
      </c>
      <c r="R20" s="30">
        <v>0</v>
      </c>
    </row>
    <row r="21" spans="1:18" ht="18.600000000000001" customHeight="1">
      <c r="A21" s="25" t="s">
        <v>368</v>
      </c>
      <c r="B21" s="26" t="s">
        <v>158</v>
      </c>
      <c r="C21" s="120" t="s">
        <v>7</v>
      </c>
      <c r="D21" s="30">
        <v>489.66666666666703</v>
      </c>
      <c r="E21" s="30">
        <v>59.9</v>
      </c>
      <c r="F21" s="30">
        <v>17.8333333333333</v>
      </c>
      <c r="G21" s="30">
        <v>71.266666666666694</v>
      </c>
      <c r="H21" s="30">
        <v>1.7333333333333301</v>
      </c>
      <c r="I21" s="32">
        <v>0.26875425459496299</v>
      </c>
      <c r="J21" s="32">
        <v>0.31187001940103298</v>
      </c>
      <c r="K21" s="30">
        <v>131.6</v>
      </c>
      <c r="L21" s="30">
        <v>29.033333333333299</v>
      </c>
      <c r="M21" s="30">
        <v>0.53333333333333299</v>
      </c>
      <c r="N21" s="30">
        <v>32.9</v>
      </c>
      <c r="O21" s="30">
        <v>95.1</v>
      </c>
      <c r="P21" s="32">
        <v>0.43948264125255299</v>
      </c>
      <c r="Q21" s="32">
        <v>0.75135266065358497</v>
      </c>
      <c r="R21" s="30">
        <v>0</v>
      </c>
    </row>
    <row r="22" spans="1:18" ht="20.100000000000001" customHeight="1">
      <c r="A22" s="25" t="s">
        <v>374</v>
      </c>
      <c r="B22" s="26" t="s">
        <v>82</v>
      </c>
      <c r="C22" s="120" t="s">
        <v>7</v>
      </c>
      <c r="D22" s="30">
        <v>444.33333333333297</v>
      </c>
      <c r="E22" s="30">
        <v>61.8</v>
      </c>
      <c r="F22" s="30">
        <v>15.4</v>
      </c>
      <c r="G22" s="30">
        <v>63.8</v>
      </c>
      <c r="H22" s="30">
        <v>8.1333333333333293</v>
      </c>
      <c r="I22" s="32">
        <v>0.25941485371342798</v>
      </c>
      <c r="J22" s="32">
        <v>0.32090570340656899</v>
      </c>
      <c r="K22" s="30">
        <v>115.26666666666701</v>
      </c>
      <c r="L22" s="30">
        <v>26</v>
      </c>
      <c r="M22" s="30">
        <v>2.06666666666667</v>
      </c>
      <c r="N22" s="30">
        <v>42.3333333333333</v>
      </c>
      <c r="O22" s="30">
        <v>90.266666666666694</v>
      </c>
      <c r="P22" s="32">
        <v>0.43120780195048802</v>
      </c>
      <c r="Q22" s="32">
        <v>0.75211350535705601</v>
      </c>
      <c r="R22" s="30">
        <v>0</v>
      </c>
    </row>
    <row r="23" spans="1:18" ht="20.100000000000001" customHeight="1">
      <c r="A23" s="25" t="s">
        <v>379</v>
      </c>
      <c r="B23" s="26" t="s">
        <v>225</v>
      </c>
      <c r="C23" s="120" t="s">
        <v>7</v>
      </c>
      <c r="D23" s="30">
        <v>455.33333333333297</v>
      </c>
      <c r="E23" s="30">
        <v>59.6</v>
      </c>
      <c r="F23" s="30">
        <v>18.366666666666699</v>
      </c>
      <c r="G23" s="30">
        <v>68.766666666666694</v>
      </c>
      <c r="H23" s="30">
        <v>5.7666666666666702</v>
      </c>
      <c r="I23" s="32">
        <v>0.25497803806734998</v>
      </c>
      <c r="J23" s="32">
        <v>0.31854161986441698</v>
      </c>
      <c r="K23" s="30">
        <v>116.1</v>
      </c>
      <c r="L23" s="30">
        <v>27.633333333333301</v>
      </c>
      <c r="M23" s="30">
        <v>1.36666666666667</v>
      </c>
      <c r="N23" s="30">
        <v>44.6</v>
      </c>
      <c r="O23" s="30">
        <v>143.53333333333299</v>
      </c>
      <c r="P23" s="32">
        <v>0.44267935578330903</v>
      </c>
      <c r="Q23" s="32">
        <v>0.76122097564772595</v>
      </c>
      <c r="R23" s="30">
        <v>0</v>
      </c>
    </row>
    <row r="24" spans="1:18" ht="18.600000000000001" customHeight="1">
      <c r="A24" s="25" t="s">
        <v>402</v>
      </c>
      <c r="B24" s="26" t="s">
        <v>309</v>
      </c>
      <c r="C24" s="120" t="s">
        <v>7</v>
      </c>
      <c r="D24" s="30">
        <v>406</v>
      </c>
      <c r="E24" s="30">
        <v>53.8</v>
      </c>
      <c r="F24" s="30">
        <v>18.8</v>
      </c>
      <c r="G24" s="30">
        <v>59.3</v>
      </c>
      <c r="H24" s="30">
        <v>1.43333333333333</v>
      </c>
      <c r="I24" s="32">
        <v>0.27594417077175698</v>
      </c>
      <c r="J24" s="32">
        <v>0.31971878138600601</v>
      </c>
      <c r="K24" s="30">
        <v>112.033333333333</v>
      </c>
      <c r="L24" s="30">
        <v>22.566666666666698</v>
      </c>
      <c r="M24" s="30">
        <v>0.73333333333333295</v>
      </c>
      <c r="N24" s="30">
        <v>28.033333333333299</v>
      </c>
      <c r="O24" s="30">
        <v>99.8</v>
      </c>
      <c r="P24" s="32">
        <v>0.47405582922824302</v>
      </c>
      <c r="Q24" s="32">
        <v>0.79377461061424903</v>
      </c>
      <c r="R24" s="30">
        <v>0</v>
      </c>
    </row>
    <row r="25" spans="1:18" ht="18.600000000000001" customHeight="1">
      <c r="A25" s="25" t="s">
        <v>440</v>
      </c>
      <c r="B25" s="26" t="s">
        <v>85</v>
      </c>
      <c r="C25" s="120" t="s">
        <v>7</v>
      </c>
      <c r="D25" s="30">
        <v>435</v>
      </c>
      <c r="E25" s="30">
        <v>55.7</v>
      </c>
      <c r="F25" s="30">
        <v>20.6</v>
      </c>
      <c r="G25" s="30">
        <v>65.266666666666694</v>
      </c>
      <c r="H25" s="30">
        <v>2.1333333333333302</v>
      </c>
      <c r="I25" s="32">
        <v>0.245593869731801</v>
      </c>
      <c r="J25" s="32">
        <v>0.29880856148736501</v>
      </c>
      <c r="K25" s="30">
        <v>106.833333333333</v>
      </c>
      <c r="L25" s="30">
        <v>22.266666666666701</v>
      </c>
      <c r="M25" s="30">
        <v>1.5</v>
      </c>
      <c r="N25" s="30">
        <v>34.866666666666703</v>
      </c>
      <c r="O25" s="30">
        <v>129.4</v>
      </c>
      <c r="P25" s="32">
        <v>0.44574712643678199</v>
      </c>
      <c r="Q25" s="32">
        <v>0.74455568792414695</v>
      </c>
      <c r="R25" s="30">
        <v>0</v>
      </c>
    </row>
    <row r="26" spans="1:18" ht="18.600000000000001" customHeight="1">
      <c r="A26" s="25" t="s">
        <v>478</v>
      </c>
      <c r="B26" s="26" t="s">
        <v>105</v>
      </c>
      <c r="C26" s="120" t="s">
        <v>7</v>
      </c>
      <c r="D26" s="30">
        <v>407.66666666666703</v>
      </c>
      <c r="E26" s="30">
        <v>58.4</v>
      </c>
      <c r="F26" s="30">
        <v>18.3</v>
      </c>
      <c r="G26" s="30">
        <v>60.6</v>
      </c>
      <c r="H26" s="30">
        <v>3.06666666666667</v>
      </c>
      <c r="I26" s="32">
        <v>0.241782502044154</v>
      </c>
      <c r="J26" s="32">
        <v>0.34184920807268498</v>
      </c>
      <c r="K26" s="30">
        <v>98.566666666666706</v>
      </c>
      <c r="L26" s="30">
        <v>20.9</v>
      </c>
      <c r="M26" s="30">
        <v>1.6666666666666701</v>
      </c>
      <c r="N26" s="30">
        <v>64.099999999999994</v>
      </c>
      <c r="O26" s="30">
        <v>113.26666666666701</v>
      </c>
      <c r="P26" s="32">
        <v>0.43589533932951802</v>
      </c>
      <c r="Q26" s="32">
        <v>0.777744547402202</v>
      </c>
      <c r="R26" s="30">
        <v>0</v>
      </c>
    </row>
    <row r="27" spans="1:18" ht="18.600000000000001" customHeight="1">
      <c r="A27" s="25" t="s">
        <v>490</v>
      </c>
      <c r="B27" s="26" t="s">
        <v>160</v>
      </c>
      <c r="C27" s="120" t="s">
        <v>7</v>
      </c>
      <c r="D27" s="30">
        <v>440.66666666666703</v>
      </c>
      <c r="E27" s="30">
        <v>57.433333333333302</v>
      </c>
      <c r="F27" s="30">
        <v>16.933333333333302</v>
      </c>
      <c r="G27" s="30">
        <v>57.933333333333302</v>
      </c>
      <c r="H27" s="30">
        <v>0.56666666666666698</v>
      </c>
      <c r="I27" s="32">
        <v>0.25340393343419099</v>
      </c>
      <c r="J27" s="32">
        <v>0.31768445754202101</v>
      </c>
      <c r="K27" s="30">
        <v>111.666666666667</v>
      </c>
      <c r="L27" s="30">
        <v>22.466666666666701</v>
      </c>
      <c r="M27" s="30">
        <v>1</v>
      </c>
      <c r="N27" s="30">
        <v>43.566666666666698</v>
      </c>
      <c r="O27" s="30">
        <v>113.8</v>
      </c>
      <c r="P27" s="32">
        <v>0.424205748865356</v>
      </c>
      <c r="Q27" s="32">
        <v>0.74189020640737702</v>
      </c>
      <c r="R27" s="30">
        <v>0</v>
      </c>
    </row>
    <row r="28" spans="1:18" ht="18.600000000000001" customHeight="1">
      <c r="A28" s="25" t="s">
        <v>495</v>
      </c>
      <c r="B28" s="26" t="s">
        <v>219</v>
      </c>
      <c r="C28" s="120" t="s">
        <v>7</v>
      </c>
      <c r="D28" s="30">
        <v>436.66666666666703</v>
      </c>
      <c r="E28" s="30">
        <v>59.1666666666667</v>
      </c>
      <c r="F28" s="30">
        <v>16.899999999999999</v>
      </c>
      <c r="G28" s="30">
        <v>58.6</v>
      </c>
      <c r="H28" s="30">
        <v>1</v>
      </c>
      <c r="I28" s="32">
        <v>0.248625954198473</v>
      </c>
      <c r="J28" s="32">
        <v>0.31351090921605101</v>
      </c>
      <c r="K28" s="30">
        <v>108.566666666667</v>
      </c>
      <c r="L28" s="30">
        <v>21</v>
      </c>
      <c r="M28" s="30">
        <v>1.06666666666667</v>
      </c>
      <c r="N28" s="30">
        <v>43.266666666666701</v>
      </c>
      <c r="O28" s="30">
        <v>79.599999999999994</v>
      </c>
      <c r="P28" s="32">
        <v>0.41770992366412202</v>
      </c>
      <c r="Q28" s="32">
        <v>0.73122083288017303</v>
      </c>
      <c r="R28" s="30">
        <v>0</v>
      </c>
    </row>
    <row r="29" spans="1:18" ht="20.100000000000001" customHeight="1">
      <c r="A29" s="25" t="s">
        <v>473</v>
      </c>
      <c r="B29" s="26" t="s">
        <v>142</v>
      </c>
      <c r="C29" s="120" t="s">
        <v>7</v>
      </c>
      <c r="D29" s="30">
        <v>418</v>
      </c>
      <c r="E29" s="30">
        <v>52.9</v>
      </c>
      <c r="F29" s="30">
        <v>20.5</v>
      </c>
      <c r="G29" s="30">
        <v>59.3</v>
      </c>
      <c r="H29" s="30">
        <v>7.5333333333333297</v>
      </c>
      <c r="I29" s="32">
        <v>0.22950558213716099</v>
      </c>
      <c r="J29" s="32">
        <v>0.29212231672742001</v>
      </c>
      <c r="K29" s="30">
        <v>95.933333333333294</v>
      </c>
      <c r="L29" s="30">
        <v>22.066666666666698</v>
      </c>
      <c r="M29" s="30">
        <v>2.0333333333333301</v>
      </c>
      <c r="N29" s="30">
        <v>38.700000000000003</v>
      </c>
      <c r="O29" s="30">
        <v>124.833333333333</v>
      </c>
      <c r="P29" s="32">
        <v>0.43915470494417902</v>
      </c>
      <c r="Q29" s="32">
        <v>0.73127702167159903</v>
      </c>
      <c r="R29" s="30">
        <v>0</v>
      </c>
    </row>
    <row r="30" spans="1:18" ht="18.600000000000001" customHeight="1">
      <c r="A30" s="25" t="s">
        <v>505</v>
      </c>
      <c r="B30" s="26" t="s">
        <v>136</v>
      </c>
      <c r="C30" s="120" t="s">
        <v>7</v>
      </c>
      <c r="D30" s="30">
        <v>435</v>
      </c>
      <c r="E30" s="30">
        <v>52.933333333333302</v>
      </c>
      <c r="F30" s="30">
        <v>13.1</v>
      </c>
      <c r="G30" s="30">
        <v>58.5</v>
      </c>
      <c r="H30" s="30">
        <v>0.66666666666666696</v>
      </c>
      <c r="I30" s="32">
        <v>0.26268199233716499</v>
      </c>
      <c r="J30" s="32">
        <v>0.32864075999036202</v>
      </c>
      <c r="K30" s="30">
        <v>114.26666666666701</v>
      </c>
      <c r="L30" s="30">
        <v>25.9</v>
      </c>
      <c r="M30" s="30">
        <v>1.8333333333333299</v>
      </c>
      <c r="N30" s="30">
        <v>44.866666666666703</v>
      </c>
      <c r="O30" s="30">
        <v>124.73333333333299</v>
      </c>
      <c r="P30" s="32">
        <v>0.42099616858237598</v>
      </c>
      <c r="Q30" s="32">
        <v>0.749636928572738</v>
      </c>
      <c r="R30" s="30">
        <v>0</v>
      </c>
    </row>
    <row r="31" spans="1:18" ht="18.600000000000001" customHeight="1">
      <c r="A31" s="25" t="s">
        <v>525</v>
      </c>
      <c r="B31" s="26" t="s">
        <v>103</v>
      </c>
      <c r="C31" s="120" t="s">
        <v>7</v>
      </c>
      <c r="D31" s="30">
        <v>393.5</v>
      </c>
      <c r="E31" s="30">
        <v>56.55</v>
      </c>
      <c r="F31" s="30">
        <v>18.3</v>
      </c>
      <c r="G31" s="30">
        <v>57.25</v>
      </c>
      <c r="H31" s="30">
        <v>1.75</v>
      </c>
      <c r="I31" s="32">
        <v>0.23888182973316399</v>
      </c>
      <c r="J31" s="32">
        <v>0.32289377085030202</v>
      </c>
      <c r="K31" s="30">
        <v>94</v>
      </c>
      <c r="L31" s="30">
        <v>19.3</v>
      </c>
      <c r="M31" s="30">
        <v>1.1000000000000001</v>
      </c>
      <c r="N31" s="30">
        <v>50.7</v>
      </c>
      <c r="O31" s="30">
        <v>77</v>
      </c>
      <c r="P31" s="32">
        <v>0.43303684879288401</v>
      </c>
      <c r="Q31" s="32">
        <v>0.75593061964318597</v>
      </c>
      <c r="R31" s="30">
        <v>0</v>
      </c>
    </row>
    <row r="32" spans="1:18" ht="18.600000000000001" customHeight="1">
      <c r="A32" s="25" t="s">
        <v>513</v>
      </c>
      <c r="B32" s="26" t="s">
        <v>160</v>
      </c>
      <c r="C32" s="120" t="s">
        <v>7</v>
      </c>
      <c r="D32" s="30">
        <v>387</v>
      </c>
      <c r="E32" s="30">
        <v>45.1666666666667</v>
      </c>
      <c r="F32" s="30">
        <v>11.0666666666667</v>
      </c>
      <c r="G32" s="30">
        <v>50.1</v>
      </c>
      <c r="H32" s="30">
        <v>2.9</v>
      </c>
      <c r="I32" s="32">
        <v>0.27338501291989697</v>
      </c>
      <c r="J32" s="32">
        <v>0.329777979796397</v>
      </c>
      <c r="K32" s="30">
        <v>105.8</v>
      </c>
      <c r="L32" s="30">
        <v>18.3333333333333</v>
      </c>
      <c r="M32" s="30">
        <v>0.5</v>
      </c>
      <c r="N32" s="30">
        <v>34.466666666666697</v>
      </c>
      <c r="O32" s="30">
        <v>72.466666666666697</v>
      </c>
      <c r="P32" s="32">
        <v>0.40913006029285098</v>
      </c>
      <c r="Q32" s="32">
        <v>0.73890804008924804</v>
      </c>
      <c r="R32" s="30">
        <v>0</v>
      </c>
    </row>
    <row r="33" spans="1:18" ht="18.600000000000001" customHeight="1">
      <c r="A33" s="25" t="s">
        <v>593</v>
      </c>
      <c r="B33" s="26" t="s">
        <v>139</v>
      </c>
      <c r="C33" s="120" t="s">
        <v>7</v>
      </c>
      <c r="D33" s="30">
        <v>451</v>
      </c>
      <c r="E33" s="30">
        <v>59.133333333333297</v>
      </c>
      <c r="F33" s="30">
        <v>17.633333333333301</v>
      </c>
      <c r="G33" s="30">
        <v>62.066666666666698</v>
      </c>
      <c r="H33" s="30">
        <v>1.0333333333333301</v>
      </c>
      <c r="I33" s="32">
        <v>0.22025129342202501</v>
      </c>
      <c r="J33" s="32">
        <v>0.32594639263703101</v>
      </c>
      <c r="K33" s="30">
        <v>99.3333333333333</v>
      </c>
      <c r="L33" s="30">
        <v>17.8</v>
      </c>
      <c r="M33" s="30">
        <v>0.5</v>
      </c>
      <c r="N33" s="30">
        <v>72.900000000000006</v>
      </c>
      <c r="O33" s="30">
        <v>90.2</v>
      </c>
      <c r="P33" s="32">
        <v>0.379231337767923</v>
      </c>
      <c r="Q33" s="32">
        <v>0.70517773040495402</v>
      </c>
      <c r="R33" s="30">
        <v>0</v>
      </c>
    </row>
    <row r="34" spans="1:18" ht="18.600000000000001" customHeight="1">
      <c r="A34" s="25" t="s">
        <v>587</v>
      </c>
      <c r="B34" s="26" t="s">
        <v>142</v>
      </c>
      <c r="C34" s="120" t="s">
        <v>7</v>
      </c>
      <c r="D34" s="30">
        <v>393.33333333333297</v>
      </c>
      <c r="E34" s="30">
        <v>44.9</v>
      </c>
      <c r="F34" s="30">
        <v>15.8333333333333</v>
      </c>
      <c r="G34" s="30">
        <v>55.866666666666703</v>
      </c>
      <c r="H34" s="30">
        <v>0.93333333333333302</v>
      </c>
      <c r="I34" s="32">
        <v>0.24466101694915299</v>
      </c>
      <c r="J34" s="32">
        <v>0.30111437857916701</v>
      </c>
      <c r="K34" s="30">
        <v>96.233333333333306</v>
      </c>
      <c r="L34" s="30">
        <v>18.533333333333299</v>
      </c>
      <c r="M34" s="30">
        <v>0.133333333333333</v>
      </c>
      <c r="N34" s="30">
        <v>33.466666666666697</v>
      </c>
      <c r="O34" s="30">
        <v>93.6666666666667</v>
      </c>
      <c r="P34" s="32">
        <v>0.41322033898305099</v>
      </c>
      <c r="Q34" s="32">
        <v>0.714334717562218</v>
      </c>
      <c r="R34" s="30">
        <v>0</v>
      </c>
    </row>
    <row r="35" spans="1:18" ht="18.600000000000001" customHeight="1">
      <c r="A35" s="25" t="s">
        <v>610</v>
      </c>
      <c r="B35" s="26" t="s">
        <v>225</v>
      </c>
      <c r="C35" s="120" t="s">
        <v>7</v>
      </c>
      <c r="D35" s="30">
        <v>370.66666666666703</v>
      </c>
      <c r="E35" s="30">
        <v>50.466666666666697</v>
      </c>
      <c r="F35" s="30">
        <v>17.2</v>
      </c>
      <c r="G35" s="30">
        <v>55.4</v>
      </c>
      <c r="H35" s="30">
        <v>0.63333333333333297</v>
      </c>
      <c r="I35" s="32">
        <v>0.23237410071942399</v>
      </c>
      <c r="J35" s="32">
        <v>0.325607150099047</v>
      </c>
      <c r="K35" s="30">
        <v>86.133333333333297</v>
      </c>
      <c r="L35" s="30">
        <v>18.066666666666698</v>
      </c>
      <c r="M35" s="30">
        <v>1.4</v>
      </c>
      <c r="N35" s="30">
        <v>53.033333333333303</v>
      </c>
      <c r="O35" s="30">
        <v>106.73333333333299</v>
      </c>
      <c r="P35" s="32">
        <v>0.42787769784172702</v>
      </c>
      <c r="Q35" s="32">
        <v>0.75348484794077397</v>
      </c>
      <c r="R35" s="30">
        <v>0</v>
      </c>
    </row>
    <row r="36" spans="1:18" ht="18.600000000000001" customHeight="1">
      <c r="A36" s="25" t="s">
        <v>619</v>
      </c>
      <c r="B36" s="26" t="s">
        <v>260</v>
      </c>
      <c r="C36" s="120" t="s">
        <v>7</v>
      </c>
      <c r="D36" s="30">
        <v>488.74666666666701</v>
      </c>
      <c r="E36" s="30">
        <v>58.584000000000003</v>
      </c>
      <c r="F36" s="30">
        <v>16.7</v>
      </c>
      <c r="G36" s="30">
        <v>54.558666666666703</v>
      </c>
      <c r="H36" s="30">
        <v>1.63466666666667</v>
      </c>
      <c r="I36" s="32">
        <v>0.22239196857267601</v>
      </c>
      <c r="J36" s="32">
        <v>0.29899214167708299</v>
      </c>
      <c r="K36" s="30">
        <v>108.693333333333</v>
      </c>
      <c r="L36" s="30">
        <v>22.611999999999998</v>
      </c>
      <c r="M36" s="30">
        <v>1.6160000000000001</v>
      </c>
      <c r="N36" s="30">
        <v>55.490666666666698</v>
      </c>
      <c r="O36" s="30">
        <v>133.19866666666701</v>
      </c>
      <c r="P36" s="32">
        <v>0.37777717154081197</v>
      </c>
      <c r="Q36" s="32">
        <v>0.67676931321789502</v>
      </c>
      <c r="R36" s="30">
        <v>0</v>
      </c>
    </row>
    <row r="37" spans="1:18" ht="18.600000000000001" customHeight="1">
      <c r="A37" s="25" t="s">
        <v>622</v>
      </c>
      <c r="B37" s="26" t="s">
        <v>95</v>
      </c>
      <c r="C37" s="120" t="s">
        <v>7</v>
      </c>
      <c r="D37" s="30">
        <v>318.66666666666703</v>
      </c>
      <c r="E37" s="30">
        <v>46.1666666666667</v>
      </c>
      <c r="F37" s="30">
        <v>16.566666666666698</v>
      </c>
      <c r="G37" s="30">
        <v>46.933333333333302</v>
      </c>
      <c r="H37" s="30">
        <v>2</v>
      </c>
      <c r="I37" s="32">
        <v>0.239644351464435</v>
      </c>
      <c r="J37" s="32">
        <v>0.33125692388718397</v>
      </c>
      <c r="K37" s="30">
        <v>76.366666666666703</v>
      </c>
      <c r="L37" s="30">
        <v>14.4</v>
      </c>
      <c r="M37" s="30">
        <v>1.4</v>
      </c>
      <c r="N37" s="30">
        <v>45.233333333333299</v>
      </c>
      <c r="O37" s="30">
        <v>97.3</v>
      </c>
      <c r="P37" s="32">
        <v>0.449581589958159</v>
      </c>
      <c r="Q37" s="32">
        <v>0.78083851384534297</v>
      </c>
      <c r="R37" s="30">
        <v>0</v>
      </c>
    </row>
    <row r="38" spans="1:18" ht="18.600000000000001" customHeight="1">
      <c r="A38" s="25" t="s">
        <v>630</v>
      </c>
      <c r="B38" s="26" t="s">
        <v>309</v>
      </c>
      <c r="C38" s="120" t="s">
        <v>7</v>
      </c>
      <c r="D38" s="30">
        <v>363</v>
      </c>
      <c r="E38" s="30">
        <v>42.766666666666701</v>
      </c>
      <c r="F38" s="30">
        <v>10.266666666666699</v>
      </c>
      <c r="G38" s="30">
        <v>50.133333333333297</v>
      </c>
      <c r="H38" s="30">
        <v>2.1333333333333302</v>
      </c>
      <c r="I38" s="32">
        <v>0.252066115702479</v>
      </c>
      <c r="J38" s="32">
        <v>0.30440168887315799</v>
      </c>
      <c r="K38" s="30">
        <v>91.5</v>
      </c>
      <c r="L38" s="30">
        <v>23.733333333333299</v>
      </c>
      <c r="M38" s="30">
        <v>1.0333333333333301</v>
      </c>
      <c r="N38" s="30">
        <v>28.9</v>
      </c>
      <c r="O38" s="30">
        <v>88.3333333333333</v>
      </c>
      <c r="P38" s="32">
        <v>0.407988980716253</v>
      </c>
      <c r="Q38" s="32">
        <v>0.712390669589411</v>
      </c>
      <c r="R38" s="30">
        <v>0</v>
      </c>
    </row>
    <row r="39" spans="1:18" ht="18.600000000000001" customHeight="1">
      <c r="A39" s="25" t="s">
        <v>641</v>
      </c>
      <c r="B39" s="26"/>
      <c r="C39" s="120" t="s">
        <v>7</v>
      </c>
      <c r="D39" s="30">
        <v>320.33333333333297</v>
      </c>
      <c r="E39" s="30">
        <v>42.566666666666698</v>
      </c>
      <c r="F39" s="30">
        <v>16.866666666666699</v>
      </c>
      <c r="G39" s="30">
        <v>49.7</v>
      </c>
      <c r="H39" s="30">
        <v>0.83333333333333304</v>
      </c>
      <c r="I39" s="32">
        <v>0.23631633714880301</v>
      </c>
      <c r="J39" s="32">
        <v>0.30617482106363297</v>
      </c>
      <c r="K39" s="30">
        <v>75.7</v>
      </c>
      <c r="L39" s="30">
        <v>13</v>
      </c>
      <c r="M39" s="30">
        <v>0.43333333333333302</v>
      </c>
      <c r="N39" s="30">
        <v>33.6666666666667</v>
      </c>
      <c r="O39" s="30">
        <v>108.1</v>
      </c>
      <c r="P39" s="32">
        <v>0.43756503642039601</v>
      </c>
      <c r="Q39" s="32">
        <v>0.74373985748402904</v>
      </c>
      <c r="R39" s="30">
        <v>0</v>
      </c>
    </row>
    <row r="40" spans="1:18" ht="18.600000000000001" customHeight="1">
      <c r="A40" s="25" t="s">
        <v>656</v>
      </c>
      <c r="B40" s="26" t="s">
        <v>139</v>
      </c>
      <c r="C40" s="120" t="s">
        <v>7</v>
      </c>
      <c r="D40" s="30">
        <v>374.33333333333297</v>
      </c>
      <c r="E40" s="30">
        <v>47.733333333333299</v>
      </c>
      <c r="F40" s="30">
        <v>13.033333333333299</v>
      </c>
      <c r="G40" s="30">
        <v>53.466666666666697</v>
      </c>
      <c r="H40" s="30">
        <v>0.2</v>
      </c>
      <c r="I40" s="32">
        <v>0.233659839715049</v>
      </c>
      <c r="J40" s="32">
        <v>0.33520660652875101</v>
      </c>
      <c r="K40" s="30">
        <v>87.466666666666697</v>
      </c>
      <c r="L40" s="30">
        <v>22.3333333333333</v>
      </c>
      <c r="M40" s="30">
        <v>0.5</v>
      </c>
      <c r="N40" s="30">
        <v>59.066666666666698</v>
      </c>
      <c r="O40" s="30">
        <v>118.966666666667</v>
      </c>
      <c r="P40" s="32">
        <v>0.40044523597506698</v>
      </c>
      <c r="Q40" s="32">
        <v>0.73565184250381799</v>
      </c>
      <c r="R40" s="30">
        <v>0</v>
      </c>
    </row>
    <row r="41" spans="1:18" ht="18.600000000000001" customHeight="1">
      <c r="A41" s="25" t="s">
        <v>683</v>
      </c>
      <c r="B41" s="26"/>
      <c r="C41" s="120" t="s">
        <v>7</v>
      </c>
      <c r="D41" s="30">
        <v>271.33333333333297</v>
      </c>
      <c r="E41" s="30">
        <v>29.8333333333333</v>
      </c>
      <c r="F41" s="30">
        <v>4.9000000000000004</v>
      </c>
      <c r="G41" s="30">
        <v>30.4</v>
      </c>
      <c r="H41" s="30">
        <v>0.9</v>
      </c>
      <c r="I41" s="32">
        <v>0.28194103194103198</v>
      </c>
      <c r="J41" s="32">
        <v>0.32350120999041099</v>
      </c>
      <c r="K41" s="30">
        <v>76.5</v>
      </c>
      <c r="L41" s="30">
        <v>15.6</v>
      </c>
      <c r="M41" s="30">
        <v>0.133333333333333</v>
      </c>
      <c r="N41" s="30">
        <v>17.966666666666701</v>
      </c>
      <c r="O41" s="30">
        <v>56.8333333333333</v>
      </c>
      <c r="P41" s="32">
        <v>0.39459459459459501</v>
      </c>
      <c r="Q41" s="32">
        <v>0.71809580458500599</v>
      </c>
      <c r="R41" s="30">
        <v>0</v>
      </c>
    </row>
    <row r="42" spans="1:18" ht="18.600000000000001" customHeight="1">
      <c r="A42" s="25" t="s">
        <v>698</v>
      </c>
      <c r="B42" s="26" t="s">
        <v>219</v>
      </c>
      <c r="C42" s="120" t="s">
        <v>7</v>
      </c>
      <c r="D42" s="30">
        <v>292</v>
      </c>
      <c r="E42" s="30">
        <v>40.366666666666703</v>
      </c>
      <c r="F42" s="30">
        <v>11.4</v>
      </c>
      <c r="G42" s="30">
        <v>36.5</v>
      </c>
      <c r="H42" s="30">
        <v>3.3666666666666698</v>
      </c>
      <c r="I42" s="32">
        <v>0.23150684931506901</v>
      </c>
      <c r="J42" s="32">
        <v>0.31154094653529302</v>
      </c>
      <c r="K42" s="30">
        <v>67.599999999999994</v>
      </c>
      <c r="L42" s="30">
        <v>12.466666666666701</v>
      </c>
      <c r="M42" s="30">
        <v>1.5</v>
      </c>
      <c r="N42" s="30">
        <v>35.266666666666701</v>
      </c>
      <c r="O42" s="30">
        <v>72.633333333333297</v>
      </c>
      <c r="P42" s="32">
        <v>0.40159817351598198</v>
      </c>
      <c r="Q42" s="32">
        <v>0.713139120051275</v>
      </c>
      <c r="R42" s="30">
        <v>0</v>
      </c>
    </row>
    <row r="43" spans="1:18" ht="20.100000000000001" customHeight="1">
      <c r="A43" s="25" t="s">
        <v>699</v>
      </c>
      <c r="B43" s="26" t="s">
        <v>160</v>
      </c>
      <c r="C43" s="120" t="s">
        <v>7</v>
      </c>
      <c r="D43" s="30">
        <v>243.666666666667</v>
      </c>
      <c r="E43" s="30">
        <v>32</v>
      </c>
      <c r="F43" s="30">
        <v>10.633333333333301</v>
      </c>
      <c r="G43" s="30">
        <v>34.200000000000003</v>
      </c>
      <c r="H43" s="30">
        <v>0.9</v>
      </c>
      <c r="I43" s="32">
        <v>0.25020519835841298</v>
      </c>
      <c r="J43" s="32">
        <v>0.30348252467363102</v>
      </c>
      <c r="K43" s="30">
        <v>60.966666666666697</v>
      </c>
      <c r="L43" s="30">
        <v>11.533333333333299</v>
      </c>
      <c r="M43" s="30">
        <v>0.83333333333333304</v>
      </c>
      <c r="N43" s="30">
        <v>19.7</v>
      </c>
      <c r="O43" s="30">
        <v>58.966666666666697</v>
      </c>
      <c r="P43" s="32">
        <v>0.435294117647059</v>
      </c>
      <c r="Q43" s="32">
        <v>0.73877664232068996</v>
      </c>
      <c r="R43" s="30">
        <v>0</v>
      </c>
    </row>
    <row r="44" spans="1:18" ht="18.600000000000001" customHeight="1">
      <c r="A44" s="25" t="s">
        <v>716</v>
      </c>
      <c r="B44" s="26" t="s">
        <v>99</v>
      </c>
      <c r="C44" s="120" t="s">
        <v>7</v>
      </c>
      <c r="D44" s="30">
        <v>256.33333333333297</v>
      </c>
      <c r="E44" s="30">
        <v>34.200000000000003</v>
      </c>
      <c r="F44" s="30">
        <v>12.7</v>
      </c>
      <c r="G44" s="30">
        <v>36.200000000000003</v>
      </c>
      <c r="H44" s="30">
        <v>4.3333333333333304</v>
      </c>
      <c r="I44" s="32">
        <v>0.217945383615085</v>
      </c>
      <c r="J44" s="32">
        <v>0.281216441071998</v>
      </c>
      <c r="K44" s="30">
        <v>55.866666666666703</v>
      </c>
      <c r="L44" s="30">
        <v>10.233333333333301</v>
      </c>
      <c r="M44" s="30">
        <v>0.96666666666666701</v>
      </c>
      <c r="N44" s="30">
        <v>23.566666666666698</v>
      </c>
      <c r="O44" s="30">
        <v>105.76666666666701</v>
      </c>
      <c r="P44" s="32">
        <v>0.414044213263979</v>
      </c>
      <c r="Q44" s="32">
        <v>0.69526065433597695</v>
      </c>
      <c r="R44" s="30">
        <v>0</v>
      </c>
    </row>
    <row r="45" spans="1:18" ht="18.600000000000001" customHeight="1">
      <c r="A45" s="25" t="s">
        <v>724</v>
      </c>
      <c r="B45" s="26" t="s">
        <v>139</v>
      </c>
      <c r="C45" s="120" t="s">
        <v>7</v>
      </c>
      <c r="D45" s="30">
        <v>239.333333333333</v>
      </c>
      <c r="E45" s="30">
        <v>32.299999999999997</v>
      </c>
      <c r="F45" s="30">
        <v>6.0333333333333297</v>
      </c>
      <c r="G45" s="30">
        <v>25.033333333333299</v>
      </c>
      <c r="H45" s="30">
        <v>2.9</v>
      </c>
      <c r="I45" s="32">
        <v>0.241225626740947</v>
      </c>
      <c r="J45" s="32">
        <v>0.33034891056437099</v>
      </c>
      <c r="K45" s="30">
        <v>57.733333333333299</v>
      </c>
      <c r="L45" s="30">
        <v>11.5666666666667</v>
      </c>
      <c r="M45" s="30">
        <v>1.36666666666667</v>
      </c>
      <c r="N45" s="30">
        <v>33.033333333333303</v>
      </c>
      <c r="O45" s="30">
        <v>59.2</v>
      </c>
      <c r="P45" s="32">
        <v>0.37660167130919198</v>
      </c>
      <c r="Q45" s="32">
        <v>0.70695058187356297</v>
      </c>
      <c r="R45" s="30">
        <v>0</v>
      </c>
    </row>
    <row r="46" spans="1:18" ht="18.600000000000001" customHeight="1">
      <c r="A46" s="25" t="s">
        <v>728</v>
      </c>
      <c r="B46" s="26" t="s">
        <v>105</v>
      </c>
      <c r="C46" s="120" t="s">
        <v>7</v>
      </c>
      <c r="D46" s="30">
        <v>210</v>
      </c>
      <c r="E46" s="30">
        <v>27.2</v>
      </c>
      <c r="F46" s="30">
        <v>10.6</v>
      </c>
      <c r="G46" s="30">
        <v>31.466666666666701</v>
      </c>
      <c r="H46" s="30">
        <v>1.7333333333333301</v>
      </c>
      <c r="I46" s="32">
        <v>0.22809523809523799</v>
      </c>
      <c r="J46" s="32">
        <v>0.28567285382830598</v>
      </c>
      <c r="K46" s="30">
        <v>47.9</v>
      </c>
      <c r="L46" s="30">
        <v>8.43333333333333</v>
      </c>
      <c r="M46" s="30">
        <v>1.7</v>
      </c>
      <c r="N46" s="30">
        <v>17.766666666666701</v>
      </c>
      <c r="O46" s="30">
        <v>77.3</v>
      </c>
      <c r="P46" s="32">
        <v>0.43587301587301602</v>
      </c>
      <c r="Q46" s="32">
        <v>0.72154586970132195</v>
      </c>
      <c r="R46" s="30">
        <v>0</v>
      </c>
    </row>
    <row r="47" spans="1:18" ht="18.600000000000001" customHeight="1">
      <c r="A47" s="25" t="s">
        <v>729</v>
      </c>
      <c r="B47" s="26" t="s">
        <v>95</v>
      </c>
      <c r="C47" s="120" t="s">
        <v>7</v>
      </c>
      <c r="D47" s="30">
        <v>245.666666666667</v>
      </c>
      <c r="E47" s="30">
        <v>36.366666666666703</v>
      </c>
      <c r="F47" s="30">
        <v>7.4</v>
      </c>
      <c r="G47" s="30">
        <v>28.3</v>
      </c>
      <c r="H47" s="30">
        <v>3.4666666666666699</v>
      </c>
      <c r="I47" s="32">
        <v>0.222930800542741</v>
      </c>
      <c r="J47" s="32">
        <v>0.323825288213832</v>
      </c>
      <c r="K47" s="30">
        <v>54.766666666666701</v>
      </c>
      <c r="L47" s="30">
        <v>14.0666666666667</v>
      </c>
      <c r="M47" s="30">
        <v>0.86666666666666703</v>
      </c>
      <c r="N47" s="30">
        <v>37.8333333333333</v>
      </c>
      <c r="O47" s="30">
        <v>75.266666666666694</v>
      </c>
      <c r="P47" s="32">
        <v>0.37761194029850798</v>
      </c>
      <c r="Q47" s="32">
        <v>0.70143722851234003</v>
      </c>
      <c r="R47" s="30">
        <v>0</v>
      </c>
    </row>
    <row r="48" spans="1:18" ht="18.600000000000001" customHeight="1">
      <c r="A48" s="25" t="s">
        <v>733</v>
      </c>
      <c r="B48" s="26" t="s">
        <v>72</v>
      </c>
      <c r="C48" s="120" t="s">
        <v>7</v>
      </c>
      <c r="D48" s="30">
        <v>157.333333333333</v>
      </c>
      <c r="E48" s="30">
        <v>18.1666666666667</v>
      </c>
      <c r="F48" s="30">
        <v>6.6333333333333302</v>
      </c>
      <c r="G48" s="30">
        <v>24.1</v>
      </c>
      <c r="H48" s="30">
        <v>6.6666666666666693E-2</v>
      </c>
      <c r="I48" s="32">
        <v>0.24597457627118599</v>
      </c>
      <c r="J48" s="32">
        <v>0.31755043336739702</v>
      </c>
      <c r="K48" s="30">
        <v>38.700000000000003</v>
      </c>
      <c r="L48" s="30">
        <v>6.7333333333333298</v>
      </c>
      <c r="M48" s="30">
        <v>3.3333333333333298E-2</v>
      </c>
      <c r="N48" s="30">
        <v>17.233333333333299</v>
      </c>
      <c r="O48" s="30">
        <v>43.933333333333302</v>
      </c>
      <c r="P48" s="32">
        <v>0.415677966101695</v>
      </c>
      <c r="Q48" s="32">
        <v>0.73322839946909202</v>
      </c>
      <c r="R48" s="30">
        <v>0</v>
      </c>
    </row>
    <row r="49" spans="1:18" ht="18.600000000000001" customHeight="1">
      <c r="A49" s="25" t="s">
        <v>737</v>
      </c>
      <c r="B49" s="26" t="s">
        <v>142</v>
      </c>
      <c r="C49" s="120" t="s">
        <v>7</v>
      </c>
      <c r="D49" s="30">
        <v>200</v>
      </c>
      <c r="E49" s="30">
        <v>25.6</v>
      </c>
      <c r="F49" s="30">
        <v>8.25</v>
      </c>
      <c r="G49" s="30">
        <v>25.2</v>
      </c>
      <c r="H49" s="30">
        <v>3</v>
      </c>
      <c r="I49" s="32">
        <v>0.2145</v>
      </c>
      <c r="J49" s="32">
        <v>0.30554343081623703</v>
      </c>
      <c r="K49" s="30">
        <v>42.9</v>
      </c>
      <c r="L49" s="30">
        <v>9.25</v>
      </c>
      <c r="M49" s="30">
        <v>0.7</v>
      </c>
      <c r="N49" s="30">
        <v>27.1</v>
      </c>
      <c r="O49" s="30">
        <v>71.2</v>
      </c>
      <c r="P49" s="32">
        <v>0.39150000000000001</v>
      </c>
      <c r="Q49" s="32">
        <v>0.69704343081623699</v>
      </c>
      <c r="R49" s="30">
        <v>0</v>
      </c>
    </row>
    <row r="50" spans="1:18" ht="18.600000000000001" customHeight="1">
      <c r="A50" s="25" t="s">
        <v>739</v>
      </c>
      <c r="B50" s="26" t="s">
        <v>119</v>
      </c>
      <c r="C50" s="120" t="s">
        <v>7</v>
      </c>
      <c r="D50" s="30">
        <v>194.666666666667</v>
      </c>
      <c r="E50" s="30">
        <v>25.233333333333299</v>
      </c>
      <c r="F50" s="30">
        <v>8.9</v>
      </c>
      <c r="G50" s="30">
        <v>26.766666666666701</v>
      </c>
      <c r="H50" s="30">
        <v>1.8</v>
      </c>
      <c r="I50" s="32">
        <v>0.21198630136986299</v>
      </c>
      <c r="J50" s="32">
        <v>0.29669201979958998</v>
      </c>
      <c r="K50" s="30">
        <v>41.266666666666701</v>
      </c>
      <c r="L50" s="30">
        <v>9.2666666666666693</v>
      </c>
      <c r="M50" s="30">
        <v>1.5333333333333301</v>
      </c>
      <c r="N50" s="30">
        <v>24.266666666666701</v>
      </c>
      <c r="O50" s="30">
        <v>72.033333333333303</v>
      </c>
      <c r="P50" s="32">
        <v>0.41249999999999998</v>
      </c>
      <c r="Q50" s="32">
        <v>0.70919201979959001</v>
      </c>
      <c r="R50" s="30">
        <v>0</v>
      </c>
    </row>
    <row r="51" spans="1:18" ht="18.600000000000001" customHeight="1">
      <c r="A51" s="25" t="s">
        <v>147</v>
      </c>
      <c r="B51" s="26" t="s">
        <v>79</v>
      </c>
      <c r="C51" s="122" t="s">
        <v>11</v>
      </c>
      <c r="D51" s="30">
        <v>562.33333333333303</v>
      </c>
      <c r="E51" s="30">
        <v>102.166666666667</v>
      </c>
      <c r="F51" s="30">
        <v>25.3333333333333</v>
      </c>
      <c r="G51" s="30">
        <v>68.866666666666703</v>
      </c>
      <c r="H51" s="30">
        <v>11.8</v>
      </c>
      <c r="I51" s="32">
        <v>0.277534084173088</v>
      </c>
      <c r="J51" s="32">
        <v>0.34674899686503802</v>
      </c>
      <c r="K51" s="30">
        <v>156.066666666667</v>
      </c>
      <c r="L51" s="30">
        <v>32.799999999999997</v>
      </c>
      <c r="M51" s="30">
        <v>0.56666666666666698</v>
      </c>
      <c r="N51" s="30">
        <v>62.566666666666698</v>
      </c>
      <c r="O51" s="30">
        <v>94.2</v>
      </c>
      <c r="P51" s="32">
        <v>0.47302904564315401</v>
      </c>
      <c r="Q51" s="32">
        <v>0.81977804250819197</v>
      </c>
      <c r="R51" s="30">
        <v>0</v>
      </c>
    </row>
    <row r="52" spans="1:18" ht="18.600000000000001" customHeight="1">
      <c r="A52" s="25" t="s">
        <v>150</v>
      </c>
      <c r="B52" s="26" t="s">
        <v>87</v>
      </c>
      <c r="C52" s="122" t="s">
        <v>11</v>
      </c>
      <c r="D52" s="30">
        <v>602.33333333333303</v>
      </c>
      <c r="E52" s="30">
        <v>93.7</v>
      </c>
      <c r="F52" s="30">
        <v>26.466666666666701</v>
      </c>
      <c r="G52" s="30">
        <v>74.8333333333333</v>
      </c>
      <c r="H52" s="30">
        <v>18.433333333333302</v>
      </c>
      <c r="I52" s="32">
        <v>0.25102379634753702</v>
      </c>
      <c r="J52" s="32">
        <v>0.31270828426385799</v>
      </c>
      <c r="K52" s="30">
        <v>151.19999999999999</v>
      </c>
      <c r="L52" s="30">
        <v>29.8333333333333</v>
      </c>
      <c r="M52" s="30">
        <v>3.3666666666666698</v>
      </c>
      <c r="N52" s="30">
        <v>56.8</v>
      </c>
      <c r="O52" s="30">
        <v>120.966666666667</v>
      </c>
      <c r="P52" s="32">
        <v>0.44355285002766998</v>
      </c>
      <c r="Q52" s="32">
        <v>0.75626113429152797</v>
      </c>
      <c r="R52" s="30">
        <v>0</v>
      </c>
    </row>
    <row r="53" spans="1:18" ht="18.600000000000001" customHeight="1">
      <c r="A53" s="25" t="s">
        <v>162</v>
      </c>
      <c r="B53" s="26" t="s">
        <v>136</v>
      </c>
      <c r="C53" s="122" t="s">
        <v>11</v>
      </c>
      <c r="D53" s="30">
        <v>498</v>
      </c>
      <c r="E53" s="30">
        <v>77.3</v>
      </c>
      <c r="F53" s="30">
        <v>24.566666666666698</v>
      </c>
      <c r="G53" s="30">
        <v>71.633333333333297</v>
      </c>
      <c r="H53" s="30">
        <v>25.066666666666698</v>
      </c>
      <c r="I53" s="32">
        <v>0.24672021419009399</v>
      </c>
      <c r="J53" s="32">
        <v>0.30473008401721802</v>
      </c>
      <c r="K53" s="30">
        <v>122.866666666667</v>
      </c>
      <c r="L53" s="30">
        <v>21.133333333333301</v>
      </c>
      <c r="M53" s="30">
        <v>5.2333333333333298</v>
      </c>
      <c r="N53" s="30">
        <v>43.733333333333299</v>
      </c>
      <c r="O53" s="30">
        <v>146.63333333333301</v>
      </c>
      <c r="P53" s="32">
        <v>0.45816599732262397</v>
      </c>
      <c r="Q53" s="32">
        <v>0.76289608133984199</v>
      </c>
      <c r="R53" s="30">
        <v>0</v>
      </c>
    </row>
    <row r="54" spans="1:18" ht="18.600000000000001" customHeight="1">
      <c r="A54" s="25" t="s">
        <v>198</v>
      </c>
      <c r="B54" s="26" t="s">
        <v>74</v>
      </c>
      <c r="C54" s="122" t="s">
        <v>11</v>
      </c>
      <c r="D54" s="30">
        <v>535</v>
      </c>
      <c r="E54" s="30">
        <v>80.3333333333333</v>
      </c>
      <c r="F54" s="30">
        <v>21.433333333333302</v>
      </c>
      <c r="G54" s="30">
        <v>78.400000000000006</v>
      </c>
      <c r="H54" s="30">
        <v>14.1</v>
      </c>
      <c r="I54" s="32">
        <v>0.26056074766355097</v>
      </c>
      <c r="J54" s="32">
        <v>0.30633488077045101</v>
      </c>
      <c r="K54" s="30">
        <v>139.4</v>
      </c>
      <c r="L54" s="30">
        <v>31.966666666666701</v>
      </c>
      <c r="M54" s="30">
        <v>3.2333333333333298</v>
      </c>
      <c r="N54" s="30">
        <v>37.6666666666667</v>
      </c>
      <c r="O54" s="30">
        <v>106.6</v>
      </c>
      <c r="P54" s="32">
        <v>0.45258566978193099</v>
      </c>
      <c r="Q54" s="32">
        <v>0.75892055055238195</v>
      </c>
      <c r="R54" s="30">
        <v>0</v>
      </c>
    </row>
    <row r="55" spans="1:18" ht="18.600000000000001" customHeight="1">
      <c r="A55" s="25" t="s">
        <v>188</v>
      </c>
      <c r="B55" s="26" t="s">
        <v>77</v>
      </c>
      <c r="C55" s="122" t="s">
        <v>11</v>
      </c>
      <c r="D55" s="30">
        <v>504.33333333333297</v>
      </c>
      <c r="E55" s="30">
        <v>70.3</v>
      </c>
      <c r="F55" s="30">
        <v>16.8333333333333</v>
      </c>
      <c r="G55" s="30">
        <v>67.3</v>
      </c>
      <c r="H55" s="30">
        <v>21.733333333333299</v>
      </c>
      <c r="I55" s="32">
        <v>0.275479180436219</v>
      </c>
      <c r="J55" s="32">
        <v>0.31854945027991899</v>
      </c>
      <c r="K55" s="30">
        <v>138.933333333333</v>
      </c>
      <c r="L55" s="30">
        <v>27.5</v>
      </c>
      <c r="M55" s="30">
        <v>2.9</v>
      </c>
      <c r="N55" s="30">
        <v>34.233333333333299</v>
      </c>
      <c r="O55" s="30">
        <v>115.433333333333</v>
      </c>
      <c r="P55" s="32">
        <v>0.44163912756113699</v>
      </c>
      <c r="Q55" s="32">
        <v>0.76018857784105598</v>
      </c>
      <c r="R55" s="30">
        <v>0</v>
      </c>
    </row>
    <row r="56" spans="1:18" ht="18.600000000000001" customHeight="1">
      <c r="A56" s="25" t="s">
        <v>201</v>
      </c>
      <c r="B56" s="26" t="s">
        <v>74</v>
      </c>
      <c r="C56" s="122" t="s">
        <v>11</v>
      </c>
      <c r="D56" s="30">
        <v>525</v>
      </c>
      <c r="E56" s="30">
        <v>79.066666666666706</v>
      </c>
      <c r="F56" s="30">
        <v>16.266666666666701</v>
      </c>
      <c r="G56" s="30">
        <v>65.266666666666694</v>
      </c>
      <c r="H56" s="30">
        <v>16.3333333333333</v>
      </c>
      <c r="I56" s="32">
        <v>0.27758730158730199</v>
      </c>
      <c r="J56" s="32">
        <v>0.32664973878527898</v>
      </c>
      <c r="K56" s="30">
        <v>145.73333333333301</v>
      </c>
      <c r="L56" s="30">
        <v>24.6</v>
      </c>
      <c r="M56" s="30">
        <v>1.7333333333333301</v>
      </c>
      <c r="N56" s="30">
        <v>40.799999999999997</v>
      </c>
      <c r="O56" s="30">
        <v>106.8</v>
      </c>
      <c r="P56" s="32">
        <v>0.42399999999999999</v>
      </c>
      <c r="Q56" s="32">
        <v>0.75064973878527896</v>
      </c>
      <c r="R56" s="30">
        <v>0</v>
      </c>
    </row>
    <row r="57" spans="1:18" ht="18.600000000000001" customHeight="1">
      <c r="A57" s="25" t="s">
        <v>194</v>
      </c>
      <c r="B57" s="26" t="s">
        <v>125</v>
      </c>
      <c r="C57" s="122" t="s">
        <v>11</v>
      </c>
      <c r="D57" s="30">
        <v>570</v>
      </c>
      <c r="E57" s="30">
        <v>84.066666666666706</v>
      </c>
      <c r="F57" s="30">
        <v>11.9</v>
      </c>
      <c r="G57" s="30">
        <v>58.433333333333302</v>
      </c>
      <c r="H57" s="30">
        <v>26.466666666666701</v>
      </c>
      <c r="I57" s="32">
        <v>0.26374269005848</v>
      </c>
      <c r="J57" s="32">
        <v>0.31073782002808698</v>
      </c>
      <c r="K57" s="30">
        <v>150.333333333333</v>
      </c>
      <c r="L57" s="30">
        <v>31.733333333333299</v>
      </c>
      <c r="M57" s="30">
        <v>3.2333333333333298</v>
      </c>
      <c r="N57" s="30">
        <v>41.433333333333302</v>
      </c>
      <c r="O57" s="30">
        <v>103.166666666667</v>
      </c>
      <c r="P57" s="32">
        <v>0.39339181286549701</v>
      </c>
      <c r="Q57" s="32">
        <v>0.70412963289358399</v>
      </c>
      <c r="R57" s="30">
        <v>0</v>
      </c>
    </row>
    <row r="58" spans="1:18" ht="18.600000000000001" customHeight="1">
      <c r="A58" s="25" t="s">
        <v>241</v>
      </c>
      <c r="B58" s="26" t="s">
        <v>69</v>
      </c>
      <c r="C58" s="122" t="s">
        <v>11</v>
      </c>
      <c r="D58" s="30">
        <v>512.66666666666697</v>
      </c>
      <c r="E58" s="30">
        <v>72</v>
      </c>
      <c r="F58" s="30">
        <v>19.866666666666699</v>
      </c>
      <c r="G58" s="30">
        <v>69.266666666666694</v>
      </c>
      <c r="H58" s="30">
        <v>12.266666666666699</v>
      </c>
      <c r="I58" s="32">
        <v>0.26105331599479797</v>
      </c>
      <c r="J58" s="32">
        <v>0.32113768431971201</v>
      </c>
      <c r="K58" s="30">
        <v>133.833333333333</v>
      </c>
      <c r="L58" s="30">
        <v>25.233333333333299</v>
      </c>
      <c r="M58" s="30">
        <v>1.36666666666667</v>
      </c>
      <c r="N58" s="30">
        <v>47.8</v>
      </c>
      <c r="O58" s="30">
        <v>119.26666666666701</v>
      </c>
      <c r="P58" s="32">
        <v>0.43185955786736002</v>
      </c>
      <c r="Q58" s="32">
        <v>0.75299724218707198</v>
      </c>
      <c r="R58" s="30">
        <v>0</v>
      </c>
    </row>
    <row r="59" spans="1:18" ht="18.600000000000001" customHeight="1">
      <c r="A59" s="25" t="s">
        <v>264</v>
      </c>
      <c r="B59" s="26" t="s">
        <v>225</v>
      </c>
      <c r="C59" s="122" t="s">
        <v>11</v>
      </c>
      <c r="D59" s="30">
        <v>535.33333333333303</v>
      </c>
      <c r="E59" s="30">
        <v>85.133333333333297</v>
      </c>
      <c r="F59" s="30">
        <v>17.5</v>
      </c>
      <c r="G59" s="30">
        <v>64.099999999999994</v>
      </c>
      <c r="H59" s="30">
        <v>8.9</v>
      </c>
      <c r="I59" s="32">
        <v>0.259464508094645</v>
      </c>
      <c r="J59" s="32">
        <v>0.32862489974155601</v>
      </c>
      <c r="K59" s="30">
        <v>138.9</v>
      </c>
      <c r="L59" s="30">
        <v>30.766666666666701</v>
      </c>
      <c r="M59" s="30">
        <v>2.4666666666666699</v>
      </c>
      <c r="N59" s="30">
        <v>57.766666666666701</v>
      </c>
      <c r="O59" s="30">
        <v>133.76666666666699</v>
      </c>
      <c r="P59" s="32">
        <v>0.42422166874221701</v>
      </c>
      <c r="Q59" s="32">
        <v>0.75284656848377296</v>
      </c>
      <c r="R59" s="30">
        <v>0</v>
      </c>
    </row>
    <row r="60" spans="1:18" ht="18.600000000000001" customHeight="1">
      <c r="A60" s="25" t="s">
        <v>268</v>
      </c>
      <c r="B60" s="26" t="s">
        <v>158</v>
      </c>
      <c r="C60" s="122" t="s">
        <v>11</v>
      </c>
      <c r="D60" s="30">
        <v>504.33333333333297</v>
      </c>
      <c r="E60" s="30">
        <v>73.3333333333333</v>
      </c>
      <c r="F60" s="30">
        <v>20.966666666666701</v>
      </c>
      <c r="G60" s="30">
        <v>72.366666666666703</v>
      </c>
      <c r="H60" s="30">
        <v>7.3666666666666698</v>
      </c>
      <c r="I60" s="32">
        <v>0.257171183079974</v>
      </c>
      <c r="J60" s="32">
        <v>0.32873063300389599</v>
      </c>
      <c r="K60" s="30">
        <v>129.69999999999999</v>
      </c>
      <c r="L60" s="30">
        <v>25.8</v>
      </c>
      <c r="M60" s="30">
        <v>1.0333333333333301</v>
      </c>
      <c r="N60" s="30">
        <v>56.233333333333299</v>
      </c>
      <c r="O60" s="30">
        <v>111.6</v>
      </c>
      <c r="P60" s="32">
        <v>0.437144745538665</v>
      </c>
      <c r="Q60" s="32">
        <v>0.76587537854256005</v>
      </c>
      <c r="R60" s="30">
        <v>0</v>
      </c>
    </row>
    <row r="61" spans="1:18" ht="18.600000000000001" customHeight="1">
      <c r="A61" s="25" t="s">
        <v>302</v>
      </c>
      <c r="B61" s="26" t="s">
        <v>103</v>
      </c>
      <c r="C61" s="122" t="s">
        <v>11</v>
      </c>
      <c r="D61" s="30">
        <v>471.66666666666703</v>
      </c>
      <c r="E61" s="30">
        <v>72.400000000000006</v>
      </c>
      <c r="F61" s="30">
        <v>25.2</v>
      </c>
      <c r="G61" s="30">
        <v>73.466666666666697</v>
      </c>
      <c r="H61" s="30">
        <v>4.5999999999999996</v>
      </c>
      <c r="I61" s="32">
        <v>0.24190812720848101</v>
      </c>
      <c r="J61" s="32">
        <v>0.31685470945032801</v>
      </c>
      <c r="K61" s="30">
        <v>114.1</v>
      </c>
      <c r="L61" s="30">
        <v>23.4</v>
      </c>
      <c r="M61" s="30">
        <v>2.06666666666667</v>
      </c>
      <c r="N61" s="30">
        <v>53.933333333333302</v>
      </c>
      <c r="O61" s="30">
        <v>132.73333333333301</v>
      </c>
      <c r="P61" s="32">
        <v>0.46056537102473499</v>
      </c>
      <c r="Q61" s="32">
        <v>0.77742008047506395</v>
      </c>
      <c r="R61" s="30">
        <v>0</v>
      </c>
    </row>
    <row r="62" spans="1:18" ht="18.600000000000001" customHeight="1">
      <c r="A62" s="25" t="s">
        <v>278</v>
      </c>
      <c r="B62" s="26" t="s">
        <v>95</v>
      </c>
      <c r="C62" s="122" t="s">
        <v>11</v>
      </c>
      <c r="D62" s="30">
        <v>482</v>
      </c>
      <c r="E62" s="30">
        <v>66.433333333333294</v>
      </c>
      <c r="F62" s="30">
        <v>10.766666666666699</v>
      </c>
      <c r="G62" s="30">
        <v>54.633333333333297</v>
      </c>
      <c r="H62" s="30">
        <v>19.933333333333302</v>
      </c>
      <c r="I62" s="32">
        <v>0.26424619640387298</v>
      </c>
      <c r="J62" s="32">
        <v>0.306904220174052</v>
      </c>
      <c r="K62" s="30">
        <v>127.366666666667</v>
      </c>
      <c r="L62" s="30">
        <v>27.8333333333333</v>
      </c>
      <c r="M62" s="30">
        <v>1.36666666666667</v>
      </c>
      <c r="N62" s="30">
        <v>31.8</v>
      </c>
      <c r="O62" s="30">
        <v>81.266666666666694</v>
      </c>
      <c r="P62" s="32">
        <v>0.39467496542185299</v>
      </c>
      <c r="Q62" s="32">
        <v>0.70157918559590504</v>
      </c>
      <c r="R62" s="30">
        <v>0</v>
      </c>
    </row>
    <row r="63" spans="1:18" ht="18.600000000000001" customHeight="1">
      <c r="A63" s="25" t="s">
        <v>313</v>
      </c>
      <c r="B63" s="26" t="s">
        <v>136</v>
      </c>
      <c r="C63" s="122" t="s">
        <v>11</v>
      </c>
      <c r="D63" s="30">
        <v>516</v>
      </c>
      <c r="E63" s="30">
        <v>74.7</v>
      </c>
      <c r="F63" s="30">
        <v>6.3666666666666698</v>
      </c>
      <c r="G63" s="30">
        <v>51</v>
      </c>
      <c r="H63" s="30">
        <v>4.8</v>
      </c>
      <c r="I63" s="32">
        <v>0.30568475452196398</v>
      </c>
      <c r="J63" s="32">
        <v>0.36195414272170801</v>
      </c>
      <c r="K63" s="30">
        <v>157.73333333333301</v>
      </c>
      <c r="L63" s="30">
        <v>27.1666666666667</v>
      </c>
      <c r="M63" s="30">
        <v>2.8666666666666698</v>
      </c>
      <c r="N63" s="30">
        <v>48.433333333333302</v>
      </c>
      <c r="O63" s="30">
        <v>49.7</v>
      </c>
      <c r="P63" s="32">
        <v>0.40645994832041299</v>
      </c>
      <c r="Q63" s="32">
        <v>0.76841409104212099</v>
      </c>
      <c r="R63" s="30">
        <v>0</v>
      </c>
    </row>
    <row r="64" spans="1:18" ht="18.600000000000001" customHeight="1">
      <c r="A64" s="25" t="s">
        <v>325</v>
      </c>
      <c r="B64" s="26" t="s">
        <v>122</v>
      </c>
      <c r="C64" s="122" t="s">
        <v>11</v>
      </c>
      <c r="D64" s="30">
        <v>523.66666666666697</v>
      </c>
      <c r="E64" s="30">
        <v>74.033333333333303</v>
      </c>
      <c r="F64" s="30">
        <v>15</v>
      </c>
      <c r="G64" s="30">
        <v>63.033333333333303</v>
      </c>
      <c r="H64" s="30">
        <v>4.56666666666667</v>
      </c>
      <c r="I64" s="32">
        <v>0.27014640356460901</v>
      </c>
      <c r="J64" s="32">
        <v>0.33070176953950498</v>
      </c>
      <c r="K64" s="30">
        <v>141.46666666666701</v>
      </c>
      <c r="L64" s="30">
        <v>37</v>
      </c>
      <c r="M64" s="30">
        <v>2.3333333333333299</v>
      </c>
      <c r="N64" s="30">
        <v>49.966666666666697</v>
      </c>
      <c r="O64" s="30">
        <v>99.4</v>
      </c>
      <c r="P64" s="32">
        <v>0.43564608529599003</v>
      </c>
      <c r="Q64" s="32">
        <v>0.76634785483549495</v>
      </c>
      <c r="R64" s="30">
        <v>0</v>
      </c>
    </row>
    <row r="65" spans="1:18" ht="18.600000000000001" customHeight="1">
      <c r="A65" s="25" t="s">
        <v>341</v>
      </c>
      <c r="B65" s="26" t="s">
        <v>64</v>
      </c>
      <c r="C65" s="122" t="s">
        <v>11</v>
      </c>
      <c r="D65" s="30">
        <v>535.66666666666697</v>
      </c>
      <c r="E65" s="30">
        <v>78.6666666666667</v>
      </c>
      <c r="F65" s="30">
        <v>15.733333333333301</v>
      </c>
      <c r="G65" s="30">
        <v>71.966666666666697</v>
      </c>
      <c r="H65" s="30">
        <v>3.8</v>
      </c>
      <c r="I65" s="32">
        <v>0.25457373988798998</v>
      </c>
      <c r="J65" s="32">
        <v>0.324848309576379</v>
      </c>
      <c r="K65" s="30">
        <v>136.36666666666699</v>
      </c>
      <c r="L65" s="30">
        <v>30.766666666666701</v>
      </c>
      <c r="M65" s="30">
        <v>4.2666666666666702</v>
      </c>
      <c r="N65" s="30">
        <v>58.3333333333333</v>
      </c>
      <c r="O65" s="30">
        <v>106.26666666666701</v>
      </c>
      <c r="P65" s="32">
        <v>0.41605476042314898</v>
      </c>
      <c r="Q65" s="32">
        <v>0.74090306999952804</v>
      </c>
      <c r="R65" s="30">
        <v>0</v>
      </c>
    </row>
    <row r="66" spans="1:18" ht="18.600000000000001" customHeight="1">
      <c r="A66" s="25" t="s">
        <v>333</v>
      </c>
      <c r="B66" s="26" t="s">
        <v>178</v>
      </c>
      <c r="C66" s="122" t="s">
        <v>11</v>
      </c>
      <c r="D66" s="30">
        <v>514</v>
      </c>
      <c r="E66" s="30">
        <v>68.5</v>
      </c>
      <c r="F66" s="30">
        <v>16</v>
      </c>
      <c r="G66" s="30">
        <v>67.900000000000006</v>
      </c>
      <c r="H66" s="30">
        <v>0.7</v>
      </c>
      <c r="I66" s="32">
        <v>0.27795071335927402</v>
      </c>
      <c r="J66" s="32">
        <v>0.32511867608901002</v>
      </c>
      <c r="K66" s="30">
        <v>142.86666666666699</v>
      </c>
      <c r="L66" s="30">
        <v>29.1666666666667</v>
      </c>
      <c r="M66" s="30">
        <v>3</v>
      </c>
      <c r="N66" s="30">
        <v>38.4</v>
      </c>
      <c r="O66" s="30">
        <v>102.8</v>
      </c>
      <c r="P66" s="32">
        <v>0.43975356679636801</v>
      </c>
      <c r="Q66" s="32">
        <v>0.76487224288537803</v>
      </c>
      <c r="R66" s="30">
        <v>0</v>
      </c>
    </row>
    <row r="67" spans="1:18" ht="18.600000000000001" customHeight="1">
      <c r="A67" s="25" t="s">
        <v>327</v>
      </c>
      <c r="B67" s="26" t="s">
        <v>97</v>
      </c>
      <c r="C67" s="122" t="s">
        <v>11</v>
      </c>
      <c r="D67" s="30">
        <v>505</v>
      </c>
      <c r="E67" s="30">
        <v>65.466666666666697</v>
      </c>
      <c r="F67" s="30">
        <v>9.9666666666666703</v>
      </c>
      <c r="G67" s="30">
        <v>60.733333333333299</v>
      </c>
      <c r="H67" s="30">
        <v>3.3333333333333299</v>
      </c>
      <c r="I67" s="32">
        <v>0.29617161716171603</v>
      </c>
      <c r="J67" s="32">
        <v>0.34391967725301098</v>
      </c>
      <c r="K67" s="30">
        <v>149.566666666667</v>
      </c>
      <c r="L67" s="30">
        <v>32.966666666666697</v>
      </c>
      <c r="M67" s="30">
        <v>1.4</v>
      </c>
      <c r="N67" s="30">
        <v>39.4</v>
      </c>
      <c r="O67" s="30">
        <v>66.966666666666697</v>
      </c>
      <c r="P67" s="32">
        <v>0.42620462046204599</v>
      </c>
      <c r="Q67" s="32">
        <v>0.77012429771505697</v>
      </c>
      <c r="R67" s="30">
        <v>0</v>
      </c>
    </row>
    <row r="68" spans="1:18" ht="18.600000000000001" customHeight="1">
      <c r="A68" s="25" t="s">
        <v>310</v>
      </c>
      <c r="B68" s="26" t="s">
        <v>136</v>
      </c>
      <c r="C68" s="122" t="s">
        <v>11</v>
      </c>
      <c r="D68" s="30">
        <v>490.33333333333297</v>
      </c>
      <c r="E68" s="30">
        <v>65.533333333333303</v>
      </c>
      <c r="F68" s="30">
        <v>11.966666666666701</v>
      </c>
      <c r="G68" s="30">
        <v>52.1666666666667</v>
      </c>
      <c r="H68" s="30">
        <v>12.1</v>
      </c>
      <c r="I68" s="32">
        <v>0.27715839564921801</v>
      </c>
      <c r="J68" s="32">
        <v>0.32553134248049498</v>
      </c>
      <c r="K68" s="30">
        <v>135.9</v>
      </c>
      <c r="L68" s="30">
        <v>20.066666666666698</v>
      </c>
      <c r="M68" s="30">
        <v>1.9666666666666699</v>
      </c>
      <c r="N68" s="30">
        <v>37.533333333333303</v>
      </c>
      <c r="O68" s="30">
        <v>83.766666666666694</v>
      </c>
      <c r="P68" s="32">
        <v>0.39932019034670302</v>
      </c>
      <c r="Q68" s="32">
        <v>0.72485153282719805</v>
      </c>
      <c r="R68" s="30">
        <v>0</v>
      </c>
    </row>
    <row r="69" spans="1:18" ht="18.600000000000001" customHeight="1">
      <c r="A69" s="25" t="s">
        <v>317</v>
      </c>
      <c r="B69" s="26" t="s">
        <v>219</v>
      </c>
      <c r="C69" s="122" t="s">
        <v>11</v>
      </c>
      <c r="D69" s="30">
        <v>451.66666666666703</v>
      </c>
      <c r="E69" s="30">
        <v>62.5</v>
      </c>
      <c r="F69" s="30">
        <v>14.033333333333299</v>
      </c>
      <c r="G69" s="30">
        <v>53.866666666666703</v>
      </c>
      <c r="H69" s="30">
        <v>15.866666666666699</v>
      </c>
      <c r="I69" s="32">
        <v>0.259483394833948</v>
      </c>
      <c r="J69" s="32">
        <v>0.30419759844001198</v>
      </c>
      <c r="K69" s="30">
        <v>117.2</v>
      </c>
      <c r="L69" s="30">
        <v>19.600000000000001</v>
      </c>
      <c r="M69" s="30">
        <v>1.7333333333333301</v>
      </c>
      <c r="N69" s="30">
        <v>31</v>
      </c>
      <c r="O69" s="30">
        <v>86.4</v>
      </c>
      <c r="P69" s="32">
        <v>0.40376383763837598</v>
      </c>
      <c r="Q69" s="32">
        <v>0.70796143607838902</v>
      </c>
      <c r="R69" s="30">
        <v>0</v>
      </c>
    </row>
    <row r="70" spans="1:18" ht="18.600000000000001" customHeight="1">
      <c r="A70" s="25" t="s">
        <v>384</v>
      </c>
      <c r="B70" s="26" t="s">
        <v>122</v>
      </c>
      <c r="C70" s="122" t="s">
        <v>11</v>
      </c>
      <c r="D70" s="30">
        <v>442.33333333333297</v>
      </c>
      <c r="E70" s="30">
        <v>61.033333333333303</v>
      </c>
      <c r="F70" s="30">
        <v>9.56666666666667</v>
      </c>
      <c r="G70" s="30">
        <v>48.8333333333333</v>
      </c>
      <c r="H70" s="30">
        <v>15.633333333333301</v>
      </c>
      <c r="I70" s="32">
        <v>0.25817633760361702</v>
      </c>
      <c r="J70" s="32">
        <v>0.33451843353322203</v>
      </c>
      <c r="K70" s="30">
        <v>114.2</v>
      </c>
      <c r="L70" s="30">
        <v>23.733333333333299</v>
      </c>
      <c r="M70" s="30">
        <v>1.93333333333333</v>
      </c>
      <c r="N70" s="30">
        <v>52.966666666666697</v>
      </c>
      <c r="O70" s="30">
        <v>107.666666666667</v>
      </c>
      <c r="P70" s="32">
        <v>0.38545591559909598</v>
      </c>
      <c r="Q70" s="32">
        <v>0.71997434913231695</v>
      </c>
      <c r="R70" s="30">
        <v>0</v>
      </c>
    </row>
    <row r="71" spans="1:18" ht="18.600000000000001" customHeight="1">
      <c r="A71" s="25" t="s">
        <v>393</v>
      </c>
      <c r="B71" s="26" t="s">
        <v>72</v>
      </c>
      <c r="C71" s="122" t="s">
        <v>11</v>
      </c>
      <c r="D71" s="30">
        <v>439.66666666666703</v>
      </c>
      <c r="E71" s="30">
        <v>60.966666666666697</v>
      </c>
      <c r="F71" s="30">
        <v>12.033333333333299</v>
      </c>
      <c r="G71" s="30">
        <v>48.3</v>
      </c>
      <c r="H71" s="30">
        <v>13.9333333333333</v>
      </c>
      <c r="I71" s="32">
        <v>0.25617892342683901</v>
      </c>
      <c r="J71" s="32">
        <v>0.31456166111720102</v>
      </c>
      <c r="K71" s="30">
        <v>112.633333333333</v>
      </c>
      <c r="L71" s="30">
        <v>24.533333333333299</v>
      </c>
      <c r="M71" s="30">
        <v>3</v>
      </c>
      <c r="N71" s="30">
        <v>39.466666666666697</v>
      </c>
      <c r="O71" s="30">
        <v>86.633333333333297</v>
      </c>
      <c r="P71" s="32">
        <v>0.40773313115997001</v>
      </c>
      <c r="Q71" s="32">
        <v>0.72229479227716997</v>
      </c>
      <c r="R71" s="30">
        <v>0</v>
      </c>
    </row>
    <row r="72" spans="1:18" ht="18.600000000000001" customHeight="1">
      <c r="A72" s="25" t="s">
        <v>417</v>
      </c>
      <c r="B72" s="26" t="s">
        <v>99</v>
      </c>
      <c r="C72" s="122" t="s">
        <v>11</v>
      </c>
      <c r="D72" s="30">
        <v>476</v>
      </c>
      <c r="E72" s="30">
        <v>65.033333333333303</v>
      </c>
      <c r="F72" s="30">
        <v>17.966666666666701</v>
      </c>
      <c r="G72" s="30">
        <v>61.9</v>
      </c>
      <c r="H72" s="30">
        <v>3.6666666666666701</v>
      </c>
      <c r="I72" s="32">
        <v>0.245028011204482</v>
      </c>
      <c r="J72" s="32">
        <v>0.32178955472222898</v>
      </c>
      <c r="K72" s="30">
        <v>116.633333333333</v>
      </c>
      <c r="L72" s="30">
        <v>22.5</v>
      </c>
      <c r="M72" s="30">
        <v>1.5</v>
      </c>
      <c r="N72" s="30">
        <v>56.133333333333297</v>
      </c>
      <c r="O72" s="30">
        <v>113.933333333333</v>
      </c>
      <c r="P72" s="32">
        <v>0.41183473389355701</v>
      </c>
      <c r="Q72" s="32">
        <v>0.73362428861578599</v>
      </c>
      <c r="R72" s="30">
        <v>0</v>
      </c>
    </row>
    <row r="73" spans="1:18" ht="18.600000000000001" customHeight="1">
      <c r="A73" s="25" t="s">
        <v>408</v>
      </c>
      <c r="B73" s="26" t="s">
        <v>160</v>
      </c>
      <c r="C73" s="122" t="s">
        <v>11</v>
      </c>
      <c r="D73" s="30">
        <v>435.33333333333297</v>
      </c>
      <c r="E73" s="30">
        <v>60.8</v>
      </c>
      <c r="F73" s="30">
        <v>18.366666666666699</v>
      </c>
      <c r="G73" s="30">
        <v>54.866666666666703</v>
      </c>
      <c r="H73" s="30">
        <v>11.7</v>
      </c>
      <c r="I73" s="32">
        <v>0.23583460949464</v>
      </c>
      <c r="J73" s="32">
        <v>0.29902382206938599</v>
      </c>
      <c r="K73" s="30">
        <v>102.666666666667</v>
      </c>
      <c r="L73" s="30">
        <v>20.3333333333333</v>
      </c>
      <c r="M73" s="30">
        <v>3.8666666666666698</v>
      </c>
      <c r="N73" s="30">
        <v>41.1</v>
      </c>
      <c r="O73" s="30">
        <v>145.1</v>
      </c>
      <c r="P73" s="32">
        <v>0.42687595712097998</v>
      </c>
      <c r="Q73" s="32">
        <v>0.72589977919036597</v>
      </c>
      <c r="R73" s="30">
        <v>0</v>
      </c>
    </row>
    <row r="74" spans="1:18" ht="18.600000000000001" customHeight="1">
      <c r="A74" s="25" t="s">
        <v>425</v>
      </c>
      <c r="B74" s="26" t="s">
        <v>82</v>
      </c>
      <c r="C74" s="122" t="s">
        <v>11</v>
      </c>
      <c r="D74" s="30">
        <v>441</v>
      </c>
      <c r="E74" s="30">
        <v>62.6666666666667</v>
      </c>
      <c r="F74" s="30">
        <v>9.8333333333333304</v>
      </c>
      <c r="G74" s="30">
        <v>52.8333333333333</v>
      </c>
      <c r="H74" s="30">
        <v>6.8333333333333304</v>
      </c>
      <c r="I74" s="32">
        <v>0.26266061980347699</v>
      </c>
      <c r="J74" s="32">
        <v>0.33312424542873098</v>
      </c>
      <c r="K74" s="30">
        <v>115.833333333333</v>
      </c>
      <c r="L74" s="30">
        <v>21.6666666666667</v>
      </c>
      <c r="M74" s="30">
        <v>5.2666666666666702</v>
      </c>
      <c r="N74" s="30">
        <v>48.8</v>
      </c>
      <c r="O74" s="30">
        <v>100.633333333333</v>
      </c>
      <c r="P74" s="32">
        <v>0.40256991685563098</v>
      </c>
      <c r="Q74" s="32">
        <v>0.73569416228436202</v>
      </c>
      <c r="R74" s="30">
        <v>0</v>
      </c>
    </row>
    <row r="75" spans="1:18" ht="18.600000000000001" customHeight="1">
      <c r="A75" s="25" t="s">
        <v>426</v>
      </c>
      <c r="B75" s="26" t="s">
        <v>69</v>
      </c>
      <c r="C75" s="122" t="s">
        <v>11</v>
      </c>
      <c r="D75" s="30">
        <v>407</v>
      </c>
      <c r="E75" s="30">
        <v>62.533333333333303</v>
      </c>
      <c r="F75" s="30">
        <v>10.1</v>
      </c>
      <c r="G75" s="30">
        <v>44.433333333333302</v>
      </c>
      <c r="H75" s="30">
        <v>4.0333333333333297</v>
      </c>
      <c r="I75" s="32">
        <v>0.278542178542179</v>
      </c>
      <c r="J75" s="32">
        <v>0.35240118627230599</v>
      </c>
      <c r="K75" s="30">
        <v>113.366666666667</v>
      </c>
      <c r="L75" s="30">
        <v>17.433333333333302</v>
      </c>
      <c r="M75" s="30">
        <v>0.93333333333333302</v>
      </c>
      <c r="N75" s="30">
        <v>48.633333333333297</v>
      </c>
      <c r="O75" s="30">
        <v>62.6</v>
      </c>
      <c r="P75" s="32">
        <v>0.40040950040950002</v>
      </c>
      <c r="Q75" s="32">
        <v>0.75281068668180695</v>
      </c>
      <c r="R75" s="30">
        <v>0</v>
      </c>
    </row>
    <row r="76" spans="1:18" ht="18.600000000000001" customHeight="1">
      <c r="A76" s="25" t="s">
        <v>424</v>
      </c>
      <c r="B76" s="26" t="s">
        <v>82</v>
      </c>
      <c r="C76" s="122" t="s">
        <v>11</v>
      </c>
      <c r="D76" s="30">
        <v>464</v>
      </c>
      <c r="E76" s="30">
        <v>63.533333333333303</v>
      </c>
      <c r="F76" s="30">
        <v>14.5</v>
      </c>
      <c r="G76" s="30">
        <v>58.4</v>
      </c>
      <c r="H76" s="30">
        <v>9.7666666666666693</v>
      </c>
      <c r="I76" s="32">
        <v>0.23591954022988501</v>
      </c>
      <c r="J76" s="32">
        <v>0.30982180602349402</v>
      </c>
      <c r="K76" s="30">
        <v>109.466666666667</v>
      </c>
      <c r="L76" s="30">
        <v>26.133333333333301</v>
      </c>
      <c r="M76" s="30">
        <v>3.2</v>
      </c>
      <c r="N76" s="30">
        <v>51.766666666666701</v>
      </c>
      <c r="O76" s="30">
        <v>161.433333333333</v>
      </c>
      <c r="P76" s="32">
        <v>0.399784482758621</v>
      </c>
      <c r="Q76" s="32">
        <v>0.70960628878211496</v>
      </c>
      <c r="R76" s="30">
        <v>0</v>
      </c>
    </row>
    <row r="77" spans="1:18" ht="18.600000000000001" customHeight="1">
      <c r="A77" s="25" t="s">
        <v>481</v>
      </c>
      <c r="B77" s="26" t="s">
        <v>260</v>
      </c>
      <c r="C77" s="122" t="s">
        <v>11</v>
      </c>
      <c r="D77" s="30">
        <v>505</v>
      </c>
      <c r="E77" s="30">
        <v>58.566666666666698</v>
      </c>
      <c r="F77" s="30">
        <v>15.4333333333333</v>
      </c>
      <c r="G77" s="30">
        <v>58.733333333333299</v>
      </c>
      <c r="H77" s="30">
        <v>2.93333333333333</v>
      </c>
      <c r="I77" s="32">
        <v>0.244884488448845</v>
      </c>
      <c r="J77" s="32">
        <v>0.27906832104984902</v>
      </c>
      <c r="K77" s="30">
        <v>123.666666666667</v>
      </c>
      <c r="L77" s="30">
        <v>22.8</v>
      </c>
      <c r="M77" s="30">
        <v>1.8</v>
      </c>
      <c r="N77" s="30">
        <v>25.9</v>
      </c>
      <c r="O77" s="30">
        <v>110.73333333333299</v>
      </c>
      <c r="P77" s="32">
        <v>0.38884488448844901</v>
      </c>
      <c r="Q77" s="32">
        <v>0.66791320553829803</v>
      </c>
      <c r="R77" s="30">
        <v>0</v>
      </c>
    </row>
    <row r="78" spans="1:18" ht="18.600000000000001" customHeight="1">
      <c r="A78" s="25" t="s">
        <v>470</v>
      </c>
      <c r="B78" s="26" t="s">
        <v>119</v>
      </c>
      <c r="C78" s="122" t="s">
        <v>11</v>
      </c>
      <c r="D78" s="30">
        <v>461</v>
      </c>
      <c r="E78" s="30">
        <v>52.066666666666698</v>
      </c>
      <c r="F78" s="30">
        <v>13</v>
      </c>
      <c r="G78" s="30">
        <v>51.6666666666667</v>
      </c>
      <c r="H78" s="30">
        <v>7.5333333333333297</v>
      </c>
      <c r="I78" s="32">
        <v>0.25249457700650801</v>
      </c>
      <c r="J78" s="32">
        <v>0.29186916582737898</v>
      </c>
      <c r="K78" s="30">
        <v>116.4</v>
      </c>
      <c r="L78" s="30">
        <v>25.4</v>
      </c>
      <c r="M78" s="30">
        <v>1.6666666666666701</v>
      </c>
      <c r="N78" s="30">
        <v>27.533333333333299</v>
      </c>
      <c r="O78" s="30">
        <v>113.2</v>
      </c>
      <c r="P78" s="32">
        <v>0.39942154736080998</v>
      </c>
      <c r="Q78" s="32">
        <v>0.69129071318818902</v>
      </c>
      <c r="R78" s="30">
        <v>0</v>
      </c>
    </row>
    <row r="79" spans="1:18" ht="18.600000000000001" customHeight="1">
      <c r="A79" s="25" t="s">
        <v>351</v>
      </c>
      <c r="B79" s="26" t="s">
        <v>309</v>
      </c>
      <c r="C79" s="122" t="s">
        <v>11</v>
      </c>
      <c r="D79" s="30">
        <v>410.33333333333297</v>
      </c>
      <c r="E79" s="30">
        <v>47.466666666666697</v>
      </c>
      <c r="F79" s="30">
        <v>11.1</v>
      </c>
      <c r="G79" s="30">
        <v>49.966666666666697</v>
      </c>
      <c r="H79" s="30">
        <v>4.0999999999999996</v>
      </c>
      <c r="I79" s="32">
        <v>0.26856214459788802</v>
      </c>
      <c r="J79" s="32">
        <v>0.29905307539301601</v>
      </c>
      <c r="K79" s="30">
        <v>110.2</v>
      </c>
      <c r="L79" s="30">
        <v>24.066666666666698</v>
      </c>
      <c r="M79" s="30">
        <v>2.7</v>
      </c>
      <c r="N79" s="30">
        <v>19.600000000000001</v>
      </c>
      <c r="O79" s="30">
        <v>87.066666666666706</v>
      </c>
      <c r="P79" s="32">
        <v>0.421527213647441</v>
      </c>
      <c r="Q79" s="32">
        <v>0.72058028904045701</v>
      </c>
      <c r="R79" s="30">
        <v>0</v>
      </c>
    </row>
    <row r="80" spans="1:18" ht="18.600000000000001" customHeight="1">
      <c r="A80" s="25" t="s">
        <v>520</v>
      </c>
      <c r="B80" s="26" t="s">
        <v>101</v>
      </c>
      <c r="C80" s="122" t="s">
        <v>11</v>
      </c>
      <c r="D80" s="30">
        <v>456</v>
      </c>
      <c r="E80" s="30">
        <v>54.433333333333302</v>
      </c>
      <c r="F80" s="30">
        <v>5.0333333333333297</v>
      </c>
      <c r="G80" s="30">
        <v>40.866666666666703</v>
      </c>
      <c r="H80" s="30">
        <v>8.5</v>
      </c>
      <c r="I80" s="32">
        <v>0.26461988304093598</v>
      </c>
      <c r="J80" s="32">
        <v>0.31669659849358001</v>
      </c>
      <c r="K80" s="30">
        <v>120.666666666667</v>
      </c>
      <c r="L80" s="30">
        <v>23.133333333333301</v>
      </c>
      <c r="M80" s="30">
        <v>3.2333333333333298</v>
      </c>
      <c r="N80" s="30">
        <v>36.866666666666703</v>
      </c>
      <c r="O80" s="30">
        <v>61.766666666666701</v>
      </c>
      <c r="P80" s="32">
        <v>0.36264619883040899</v>
      </c>
      <c r="Q80" s="32">
        <v>0.67934279732399006</v>
      </c>
      <c r="R80" s="30">
        <v>0</v>
      </c>
    </row>
    <row r="81" spans="1:18" ht="18.600000000000001" customHeight="1">
      <c r="A81" s="25" t="s">
        <v>548</v>
      </c>
      <c r="B81" s="26" t="s">
        <v>101</v>
      </c>
      <c r="C81" s="122" t="s">
        <v>11</v>
      </c>
      <c r="D81" s="30">
        <v>400</v>
      </c>
      <c r="E81" s="30">
        <v>49.5</v>
      </c>
      <c r="F81" s="30">
        <v>13.7</v>
      </c>
      <c r="G81" s="30">
        <v>50.133333333333297</v>
      </c>
      <c r="H81" s="30">
        <v>2</v>
      </c>
      <c r="I81" s="32">
        <v>0.253</v>
      </c>
      <c r="J81" s="32">
        <v>0.308991328160657</v>
      </c>
      <c r="K81" s="30">
        <v>101.2</v>
      </c>
      <c r="L81" s="30">
        <v>19.266666666666701</v>
      </c>
      <c r="M81" s="30">
        <v>1.06666666666667</v>
      </c>
      <c r="N81" s="30">
        <v>34.200000000000003</v>
      </c>
      <c r="O81" s="30">
        <v>103.433333333333</v>
      </c>
      <c r="P81" s="32">
        <v>0.40925</v>
      </c>
      <c r="Q81" s="32">
        <v>0.718241328160657</v>
      </c>
      <c r="R81" s="30">
        <v>0</v>
      </c>
    </row>
    <row r="82" spans="1:18" ht="18.600000000000001" customHeight="1">
      <c r="A82" s="25" t="s">
        <v>550</v>
      </c>
      <c r="B82" s="26" t="s">
        <v>142</v>
      </c>
      <c r="C82" s="122" t="s">
        <v>11</v>
      </c>
      <c r="D82" s="30">
        <v>435.66666666666703</v>
      </c>
      <c r="E82" s="30">
        <v>57.866666666666703</v>
      </c>
      <c r="F82" s="30">
        <v>6.8</v>
      </c>
      <c r="G82" s="30">
        <v>39.633333333333297</v>
      </c>
      <c r="H82" s="30">
        <v>9.5</v>
      </c>
      <c r="I82" s="32">
        <v>0.249579188982402</v>
      </c>
      <c r="J82" s="32">
        <v>0.320323879994803</v>
      </c>
      <c r="K82" s="30">
        <v>108.73333333333299</v>
      </c>
      <c r="L82" s="30">
        <v>22.8333333333333</v>
      </c>
      <c r="M82" s="30">
        <v>2</v>
      </c>
      <c r="N82" s="30">
        <v>47.4</v>
      </c>
      <c r="O82" s="30">
        <v>64.900000000000006</v>
      </c>
      <c r="P82" s="32">
        <v>0.35799540933435298</v>
      </c>
      <c r="Q82" s="32">
        <v>0.67831928932915597</v>
      </c>
      <c r="R82" s="30">
        <v>0</v>
      </c>
    </row>
    <row r="83" spans="1:18" ht="18.600000000000001" customHeight="1">
      <c r="A83" s="25" t="s">
        <v>553</v>
      </c>
      <c r="B83" s="26" t="s">
        <v>95</v>
      </c>
      <c r="C83" s="122" t="s">
        <v>11</v>
      </c>
      <c r="D83" s="30">
        <v>362</v>
      </c>
      <c r="E83" s="30">
        <v>45.466666666666697</v>
      </c>
      <c r="F83" s="30">
        <v>6.1666666666666696</v>
      </c>
      <c r="G83" s="30">
        <v>40.033333333333303</v>
      </c>
      <c r="H83" s="30">
        <v>6.7</v>
      </c>
      <c r="I83" s="32">
        <v>0.27044198895027599</v>
      </c>
      <c r="J83" s="32">
        <v>0.32374585319030702</v>
      </c>
      <c r="K83" s="30">
        <v>97.9</v>
      </c>
      <c r="L83" s="30">
        <v>20.8</v>
      </c>
      <c r="M83" s="30">
        <v>0.53333333333333299</v>
      </c>
      <c r="N83" s="30">
        <v>30.266666666666701</v>
      </c>
      <c r="O83" s="30">
        <v>58.1</v>
      </c>
      <c r="P83" s="32">
        <v>0.38195211786372002</v>
      </c>
      <c r="Q83" s="32">
        <v>0.70569797105402698</v>
      </c>
      <c r="R83" s="30">
        <v>0</v>
      </c>
    </row>
    <row r="84" spans="1:18" ht="18.600000000000001" customHeight="1">
      <c r="A84" s="25" t="s">
        <v>563</v>
      </c>
      <c r="B84" s="26" t="s">
        <v>105</v>
      </c>
      <c r="C84" s="122" t="s">
        <v>11</v>
      </c>
      <c r="D84" s="30">
        <v>273</v>
      </c>
      <c r="E84" s="30">
        <v>40.133333333333297</v>
      </c>
      <c r="F84" s="30">
        <v>11.9</v>
      </c>
      <c r="G84" s="30">
        <v>39.633333333333297</v>
      </c>
      <c r="H84" s="30">
        <v>10.466666666666701</v>
      </c>
      <c r="I84" s="32">
        <v>0.24688644688644701</v>
      </c>
      <c r="J84" s="32">
        <v>0.30893751589469098</v>
      </c>
      <c r="K84" s="30">
        <v>67.400000000000006</v>
      </c>
      <c r="L84" s="30">
        <v>15.7</v>
      </c>
      <c r="M84" s="30">
        <v>1.3</v>
      </c>
      <c r="N84" s="30">
        <v>25.733333333333299</v>
      </c>
      <c r="O84" s="30">
        <v>82.133333333333297</v>
      </c>
      <c r="P84" s="32">
        <v>0.444688644688645</v>
      </c>
      <c r="Q84" s="32">
        <v>0.75362616058333598</v>
      </c>
      <c r="R84" s="30">
        <v>0</v>
      </c>
    </row>
    <row r="85" spans="1:18" ht="18.600000000000001" customHeight="1">
      <c r="A85" s="25" t="s">
        <v>594</v>
      </c>
      <c r="B85" s="26" t="s">
        <v>105</v>
      </c>
      <c r="C85" s="122" t="s">
        <v>11</v>
      </c>
      <c r="D85" s="30">
        <v>302.66666666666703</v>
      </c>
      <c r="E85" s="30">
        <v>37.366666666666703</v>
      </c>
      <c r="F85" s="30">
        <v>8.9666666666666703</v>
      </c>
      <c r="G85" s="30">
        <v>38.9</v>
      </c>
      <c r="H85" s="30">
        <v>4.2333333333333298</v>
      </c>
      <c r="I85" s="32">
        <v>0.26916299559471402</v>
      </c>
      <c r="J85" s="32">
        <v>0.30499648716783101</v>
      </c>
      <c r="K85" s="30">
        <v>81.466666666666697</v>
      </c>
      <c r="L85" s="30">
        <v>17.100000000000001</v>
      </c>
      <c r="M85" s="30">
        <v>1.36666666666667</v>
      </c>
      <c r="N85" s="30">
        <v>16.933333333333302</v>
      </c>
      <c r="O85" s="30">
        <v>62.866666666666703</v>
      </c>
      <c r="P85" s="32">
        <v>0.42356828193832602</v>
      </c>
      <c r="Q85" s="32">
        <v>0.72856476910615697</v>
      </c>
      <c r="R85" s="30">
        <v>0</v>
      </c>
    </row>
    <row r="86" spans="1:18" ht="18.600000000000001" customHeight="1">
      <c r="A86" s="25" t="s">
        <v>549</v>
      </c>
      <c r="B86" s="26" t="s">
        <v>136</v>
      </c>
      <c r="C86" s="122" t="s">
        <v>11</v>
      </c>
      <c r="D86" s="30">
        <v>285</v>
      </c>
      <c r="E86" s="30">
        <v>38.633333333333297</v>
      </c>
      <c r="F86" s="30">
        <v>4.4000000000000004</v>
      </c>
      <c r="G86" s="30">
        <v>25.3</v>
      </c>
      <c r="H86" s="30">
        <v>24.3333333333333</v>
      </c>
      <c r="I86" s="32">
        <v>0.24163742690058501</v>
      </c>
      <c r="J86" s="32">
        <v>0.32094681895705202</v>
      </c>
      <c r="K86" s="30">
        <v>68.866666666666703</v>
      </c>
      <c r="L86" s="30">
        <v>13.1</v>
      </c>
      <c r="M86" s="30">
        <v>1.7333333333333301</v>
      </c>
      <c r="N86" s="30">
        <v>34.633333333333297</v>
      </c>
      <c r="O86" s="30">
        <v>73.400000000000006</v>
      </c>
      <c r="P86" s="32">
        <v>0.34608187134502899</v>
      </c>
      <c r="Q86" s="32">
        <v>0.66702869030208101</v>
      </c>
      <c r="R86" s="30">
        <v>0</v>
      </c>
    </row>
    <row r="87" spans="1:18" ht="18.600000000000001" customHeight="1">
      <c r="A87" s="25" t="s">
        <v>624</v>
      </c>
      <c r="B87" s="26" t="s">
        <v>125</v>
      </c>
      <c r="C87" s="122" t="s">
        <v>11</v>
      </c>
      <c r="D87" s="30">
        <v>335.33333333333297</v>
      </c>
      <c r="E87" s="30">
        <v>47.933333333333302</v>
      </c>
      <c r="F87" s="30">
        <v>16.3333333333333</v>
      </c>
      <c r="G87" s="30">
        <v>45.533333333333303</v>
      </c>
      <c r="H87" s="30">
        <v>1.9666666666666699</v>
      </c>
      <c r="I87" s="32">
        <v>0.234095427435388</v>
      </c>
      <c r="J87" s="32">
        <v>0.29332947055841202</v>
      </c>
      <c r="K87" s="30">
        <v>78.5</v>
      </c>
      <c r="L87" s="30">
        <v>15.6666666666667</v>
      </c>
      <c r="M87" s="30">
        <v>0.5</v>
      </c>
      <c r="N87" s="30">
        <v>29.5</v>
      </c>
      <c r="O87" s="30">
        <v>112.4</v>
      </c>
      <c r="P87" s="32">
        <v>0.42992047713717702</v>
      </c>
      <c r="Q87" s="32">
        <v>0.72324994769558903</v>
      </c>
      <c r="R87" s="30">
        <v>0</v>
      </c>
    </row>
    <row r="88" spans="1:18" ht="18.600000000000001" customHeight="1">
      <c r="A88" s="25" t="s">
        <v>643</v>
      </c>
      <c r="B88" s="26" t="s">
        <v>103</v>
      </c>
      <c r="C88" s="122" t="s">
        <v>11</v>
      </c>
      <c r="D88" s="30">
        <v>314.5</v>
      </c>
      <c r="E88" s="30">
        <v>40.549999999999997</v>
      </c>
      <c r="F88" s="30">
        <v>9.9</v>
      </c>
      <c r="G88" s="30">
        <v>39.65</v>
      </c>
      <c r="H88" s="30">
        <v>2.4</v>
      </c>
      <c r="I88" s="32">
        <v>0.25468998410174898</v>
      </c>
      <c r="J88" s="32">
        <v>0.31393955147366698</v>
      </c>
      <c r="K88" s="30">
        <v>80.099999999999994</v>
      </c>
      <c r="L88" s="30">
        <v>16.2</v>
      </c>
      <c r="M88" s="30">
        <v>1.05</v>
      </c>
      <c r="N88" s="30">
        <v>28.6</v>
      </c>
      <c r="O88" s="30">
        <v>80.2</v>
      </c>
      <c r="P88" s="32">
        <v>0.40731319554848999</v>
      </c>
      <c r="Q88" s="32">
        <v>0.72125274702215703</v>
      </c>
      <c r="R88" s="30">
        <v>0</v>
      </c>
    </row>
    <row r="89" spans="1:18" ht="18.600000000000001" customHeight="1">
      <c r="A89" s="25" t="s">
        <v>647</v>
      </c>
      <c r="B89" s="26" t="s">
        <v>142</v>
      </c>
      <c r="C89" s="122" t="s">
        <v>11</v>
      </c>
      <c r="D89" s="30">
        <v>353.33333333333297</v>
      </c>
      <c r="E89" s="30">
        <v>39.633333333333297</v>
      </c>
      <c r="F89" s="30">
        <v>11.633333333333301</v>
      </c>
      <c r="G89" s="30">
        <v>44.6</v>
      </c>
      <c r="H89" s="30">
        <v>1.7333333333333301</v>
      </c>
      <c r="I89" s="32">
        <v>0.24698113207547201</v>
      </c>
      <c r="J89" s="32">
        <v>0.28852920478536198</v>
      </c>
      <c r="K89" s="30">
        <v>87.266666666666694</v>
      </c>
      <c r="L89" s="30">
        <v>18.966666666666701</v>
      </c>
      <c r="M89" s="30">
        <v>0.56666666666666698</v>
      </c>
      <c r="N89" s="30">
        <v>22.066666666666698</v>
      </c>
      <c r="O89" s="30">
        <v>67.933333333333294</v>
      </c>
      <c r="P89" s="32">
        <v>0.40264150943396199</v>
      </c>
      <c r="Q89" s="32">
        <v>0.69117071421932497</v>
      </c>
      <c r="R89" s="30">
        <v>0</v>
      </c>
    </row>
    <row r="90" spans="1:18" ht="18.600000000000001" customHeight="1">
      <c r="A90" s="25" t="s">
        <v>629</v>
      </c>
      <c r="B90" s="26" t="s">
        <v>72</v>
      </c>
      <c r="C90" s="122" t="s">
        <v>11</v>
      </c>
      <c r="D90" s="30">
        <v>279.33333333333297</v>
      </c>
      <c r="E90" s="30">
        <v>40.866666666666703</v>
      </c>
      <c r="F90" s="30">
        <v>9.5333333333333297</v>
      </c>
      <c r="G90" s="30">
        <v>32.733333333333299</v>
      </c>
      <c r="H90" s="30">
        <v>20.3</v>
      </c>
      <c r="I90" s="32">
        <v>0.21169451073985701</v>
      </c>
      <c r="J90" s="32">
        <v>0.29520217450852299</v>
      </c>
      <c r="K90" s="30">
        <v>59.133333333333297</v>
      </c>
      <c r="L90" s="30">
        <v>13.4</v>
      </c>
      <c r="M90" s="30">
        <v>1.5</v>
      </c>
      <c r="N90" s="30">
        <v>34.266666666666701</v>
      </c>
      <c r="O90" s="30">
        <v>92.7</v>
      </c>
      <c r="P90" s="32">
        <v>0.37279236276849598</v>
      </c>
      <c r="Q90" s="32">
        <v>0.66799453727701996</v>
      </c>
      <c r="R90" s="30">
        <v>0</v>
      </c>
    </row>
    <row r="91" spans="1:18" ht="18.600000000000001" customHeight="1">
      <c r="A91" s="25" t="s">
        <v>674</v>
      </c>
      <c r="B91" s="26" t="s">
        <v>85</v>
      </c>
      <c r="C91" s="122" t="s">
        <v>11</v>
      </c>
      <c r="D91" s="30">
        <v>311.66666666666703</v>
      </c>
      <c r="E91" s="30">
        <v>37.066666666666698</v>
      </c>
      <c r="F91" s="30">
        <v>2.2000000000000002</v>
      </c>
      <c r="G91" s="30">
        <v>26.566666666666698</v>
      </c>
      <c r="H91" s="30">
        <v>5.0999999999999996</v>
      </c>
      <c r="I91" s="32">
        <v>0.26919786096256698</v>
      </c>
      <c r="J91" s="32">
        <v>0.30495208469218799</v>
      </c>
      <c r="K91" s="30">
        <v>83.9</v>
      </c>
      <c r="L91" s="30">
        <v>15.533333333333299</v>
      </c>
      <c r="M91" s="30">
        <v>1.06666666666667</v>
      </c>
      <c r="N91" s="30">
        <v>17.399999999999999</v>
      </c>
      <c r="O91" s="30">
        <v>31.6666666666667</v>
      </c>
      <c r="P91" s="32">
        <v>0.34705882352941197</v>
      </c>
      <c r="Q91" s="32">
        <v>0.65201090822160002</v>
      </c>
      <c r="R91" s="30">
        <v>0</v>
      </c>
    </row>
    <row r="92" spans="1:18" ht="18.600000000000001" customHeight="1">
      <c r="A92" s="25" t="s">
        <v>702</v>
      </c>
      <c r="B92" s="26" t="s">
        <v>74</v>
      </c>
      <c r="C92" s="122" t="s">
        <v>11</v>
      </c>
      <c r="D92" s="30">
        <v>246.333333333333</v>
      </c>
      <c r="E92" s="30">
        <v>32.233333333333299</v>
      </c>
      <c r="F92" s="30">
        <v>8.43333333333333</v>
      </c>
      <c r="G92" s="30">
        <v>32.533333333333303</v>
      </c>
      <c r="H92" s="30">
        <v>1.7</v>
      </c>
      <c r="I92" s="32">
        <v>0.24803788903924201</v>
      </c>
      <c r="J92" s="32">
        <v>0.30687231502111101</v>
      </c>
      <c r="K92" s="30">
        <v>61.1</v>
      </c>
      <c r="L92" s="30">
        <v>11.266666666666699</v>
      </c>
      <c r="M92" s="30">
        <v>0.5</v>
      </c>
      <c r="N92" s="30">
        <v>22</v>
      </c>
      <c r="O92" s="30">
        <v>53.3333333333333</v>
      </c>
      <c r="P92" s="32">
        <v>0.400541271989175</v>
      </c>
      <c r="Q92" s="32">
        <v>0.70741358701028501</v>
      </c>
      <c r="R92" s="30">
        <v>0</v>
      </c>
    </row>
    <row r="93" spans="1:18" ht="18.600000000000001" customHeight="1">
      <c r="A93" s="25" t="s">
        <v>720</v>
      </c>
      <c r="B93" s="26" t="s">
        <v>116</v>
      </c>
      <c r="C93" s="122" t="s">
        <v>11</v>
      </c>
      <c r="D93" s="30">
        <v>239</v>
      </c>
      <c r="E93" s="30">
        <v>30.233333333333299</v>
      </c>
      <c r="F93" s="30">
        <v>6.3333333333333304</v>
      </c>
      <c r="G93" s="30">
        <v>26</v>
      </c>
      <c r="H93" s="30">
        <v>3.8333333333333299</v>
      </c>
      <c r="I93" s="32">
        <v>0.23765690376568999</v>
      </c>
      <c r="J93" s="32">
        <v>0.274571963792132</v>
      </c>
      <c r="K93" s="30">
        <v>56.8</v>
      </c>
      <c r="L93" s="30">
        <v>12.5</v>
      </c>
      <c r="M93" s="30">
        <v>1.2333333333333301</v>
      </c>
      <c r="N93" s="30">
        <v>13.0666666666667</v>
      </c>
      <c r="O93" s="30">
        <v>80.366666666666703</v>
      </c>
      <c r="P93" s="32">
        <v>0.37977684797768502</v>
      </c>
      <c r="Q93" s="32">
        <v>0.65434881176981696</v>
      </c>
      <c r="R93" s="30">
        <v>0</v>
      </c>
    </row>
    <row r="94" spans="1:18" ht="18.600000000000001" customHeight="1">
      <c r="A94" s="25" t="s">
        <v>722</v>
      </c>
      <c r="B94" s="26" t="s">
        <v>92</v>
      </c>
      <c r="C94" s="122" t="s">
        <v>11</v>
      </c>
      <c r="D94" s="30">
        <v>197.333333333333</v>
      </c>
      <c r="E94" s="30">
        <v>25.7</v>
      </c>
      <c r="F94" s="30">
        <v>4.2666666666666702</v>
      </c>
      <c r="G94" s="30">
        <v>21.2</v>
      </c>
      <c r="H94" s="30">
        <v>4.7333333333333298</v>
      </c>
      <c r="I94" s="32">
        <v>0.24881756756756801</v>
      </c>
      <c r="J94" s="32">
        <v>0.280642380511478</v>
      </c>
      <c r="K94" s="30">
        <v>49.1</v>
      </c>
      <c r="L94" s="30">
        <v>8.6</v>
      </c>
      <c r="M94" s="30">
        <v>2.3333333333333299</v>
      </c>
      <c r="N94" s="30">
        <v>9.5</v>
      </c>
      <c r="O94" s="30">
        <v>49.133333333333297</v>
      </c>
      <c r="P94" s="32">
        <v>0.380912162162162</v>
      </c>
      <c r="Q94" s="32">
        <v>0.66155454267364</v>
      </c>
      <c r="R94" s="30">
        <v>0</v>
      </c>
    </row>
    <row r="95" spans="1:18" ht="18.600000000000001" customHeight="1">
      <c r="A95" s="25" t="s">
        <v>723</v>
      </c>
      <c r="B95" s="26" t="s">
        <v>260</v>
      </c>
      <c r="C95" s="122" t="s">
        <v>11</v>
      </c>
      <c r="D95" s="30">
        <v>246.333333333333</v>
      </c>
      <c r="E95" s="30">
        <v>30.733333333333299</v>
      </c>
      <c r="F95" s="30">
        <v>3.5333333333333301</v>
      </c>
      <c r="G95" s="30">
        <v>20.5</v>
      </c>
      <c r="H95" s="30">
        <v>3.1</v>
      </c>
      <c r="I95" s="32">
        <v>0.24736129905277399</v>
      </c>
      <c r="J95" s="32">
        <v>0.30505924857273198</v>
      </c>
      <c r="K95" s="30">
        <v>60.933333333333302</v>
      </c>
      <c r="L95" s="30">
        <v>11.1</v>
      </c>
      <c r="M95" s="30">
        <v>1.4</v>
      </c>
      <c r="N95" s="30">
        <v>21.533333333333299</v>
      </c>
      <c r="O95" s="30">
        <v>55</v>
      </c>
      <c r="P95" s="32">
        <v>0.34682002706359899</v>
      </c>
      <c r="Q95" s="32">
        <v>0.65187927563633197</v>
      </c>
      <c r="R95" s="30">
        <v>0</v>
      </c>
    </row>
    <row r="96" spans="1:18" ht="18.600000000000001" customHeight="1">
      <c r="A96" s="25" t="s">
        <v>727</v>
      </c>
      <c r="B96" s="26" t="s">
        <v>116</v>
      </c>
      <c r="C96" s="122" t="s">
        <v>11</v>
      </c>
      <c r="D96" s="30">
        <v>164</v>
      </c>
      <c r="E96" s="30">
        <v>18.399999999999999</v>
      </c>
      <c r="F96" s="30">
        <v>2.7333333333333298</v>
      </c>
      <c r="G96" s="30">
        <v>17.133333333333301</v>
      </c>
      <c r="H96" s="30">
        <v>1.7333333333333301</v>
      </c>
      <c r="I96" s="32">
        <v>0.26483739837398401</v>
      </c>
      <c r="J96" s="32">
        <v>0.283693485991169</v>
      </c>
      <c r="K96" s="30">
        <v>43.433333333333302</v>
      </c>
      <c r="L96" s="30">
        <v>10.0666666666667</v>
      </c>
      <c r="M96" s="30">
        <v>1.0333333333333301</v>
      </c>
      <c r="N96" s="30">
        <v>4.9666666666666703</v>
      </c>
      <c r="O96" s="30">
        <v>24.366666666666699</v>
      </c>
      <c r="P96" s="32">
        <v>0.38882113821138198</v>
      </c>
      <c r="Q96" s="32">
        <v>0.67251462420255104</v>
      </c>
      <c r="R96" s="30">
        <v>0</v>
      </c>
    </row>
    <row r="97" spans="1:18" ht="20.100000000000001" customHeight="1">
      <c r="A97" s="25" t="s">
        <v>732</v>
      </c>
      <c r="B97" s="26" t="s">
        <v>116</v>
      </c>
      <c r="C97" s="122" t="s">
        <v>11</v>
      </c>
      <c r="D97" s="30">
        <v>187.333333333333</v>
      </c>
      <c r="E97" s="30">
        <v>22.8333333333333</v>
      </c>
      <c r="F97" s="30">
        <v>2.6333333333333302</v>
      </c>
      <c r="G97" s="30">
        <v>18.8</v>
      </c>
      <c r="H97" s="30">
        <v>1.7666666666666699</v>
      </c>
      <c r="I97" s="32">
        <v>0.24857651245551601</v>
      </c>
      <c r="J97" s="32">
        <v>0.28658597579273798</v>
      </c>
      <c r="K97" s="30">
        <v>46.566666666666698</v>
      </c>
      <c r="L97" s="30">
        <v>7.8666666666666698</v>
      </c>
      <c r="M97" s="30">
        <v>0.83333333333333304</v>
      </c>
      <c r="N97" s="30">
        <v>10.733333333333301</v>
      </c>
      <c r="O97" s="30">
        <v>41.266666666666701</v>
      </c>
      <c r="P97" s="32">
        <v>0.34163701067615698</v>
      </c>
      <c r="Q97" s="32">
        <v>0.62822298646889396</v>
      </c>
      <c r="R97" s="30">
        <v>0</v>
      </c>
    </row>
    <row r="98" spans="1:18" ht="18.600000000000001" customHeight="1">
      <c r="A98" s="25" t="s">
        <v>738</v>
      </c>
      <c r="B98" s="26" t="s">
        <v>116</v>
      </c>
      <c r="C98" s="122" t="s">
        <v>11</v>
      </c>
      <c r="D98" s="30">
        <v>146.666666666667</v>
      </c>
      <c r="E98" s="30">
        <v>17.233333333333299</v>
      </c>
      <c r="F98" s="30">
        <v>4.6333333333333302</v>
      </c>
      <c r="G98" s="30">
        <v>16</v>
      </c>
      <c r="H98" s="30">
        <v>1.13333333333333</v>
      </c>
      <c r="I98" s="32">
        <v>0.23954545454545501</v>
      </c>
      <c r="J98" s="32">
        <v>0.27331189710610898</v>
      </c>
      <c r="K98" s="30">
        <v>35.133333333333297</v>
      </c>
      <c r="L98" s="30">
        <v>7.1333333333333302</v>
      </c>
      <c r="M98" s="30">
        <v>0.5</v>
      </c>
      <c r="N98" s="30">
        <v>7.3666666666666698</v>
      </c>
      <c r="O98" s="30">
        <v>31.8333333333333</v>
      </c>
      <c r="P98" s="32">
        <v>0.38977272727272699</v>
      </c>
      <c r="Q98" s="32">
        <v>0.66308462437883697</v>
      </c>
      <c r="R98" s="30">
        <v>0</v>
      </c>
    </row>
    <row r="99" spans="1:18" ht="18.600000000000001" customHeight="1">
      <c r="A99" s="25" t="s">
        <v>740</v>
      </c>
      <c r="B99" s="26" t="s">
        <v>99</v>
      </c>
      <c r="C99" s="122" t="s">
        <v>11</v>
      </c>
      <c r="D99" s="30">
        <v>182.333333333333</v>
      </c>
      <c r="E99" s="30">
        <v>22.8333333333333</v>
      </c>
      <c r="F99" s="30">
        <v>5.9666666666666703</v>
      </c>
      <c r="G99" s="30">
        <v>22.133333333333301</v>
      </c>
      <c r="H99" s="30">
        <v>2.3666666666666698</v>
      </c>
      <c r="I99" s="32">
        <v>0.217733089579525</v>
      </c>
      <c r="J99" s="32">
        <v>0.27246629845384202</v>
      </c>
      <c r="K99" s="30">
        <v>39.700000000000003</v>
      </c>
      <c r="L99" s="30">
        <v>7.7666666666666702</v>
      </c>
      <c r="M99" s="30">
        <v>0.76666666666666705</v>
      </c>
      <c r="N99" s="30">
        <v>14.4</v>
      </c>
      <c r="O99" s="30">
        <v>35.733333333333299</v>
      </c>
      <c r="P99" s="32">
        <v>0.36691042047532002</v>
      </c>
      <c r="Q99" s="32">
        <v>0.63937671892916204</v>
      </c>
      <c r="R99" s="30">
        <v>0</v>
      </c>
    </row>
    <row r="100" spans="1:18" ht="20.100000000000001" customHeight="1">
      <c r="A100" s="25" t="s">
        <v>76</v>
      </c>
      <c r="B100" s="26" t="s">
        <v>77</v>
      </c>
      <c r="C100" s="123" t="s">
        <v>15</v>
      </c>
      <c r="D100" s="30">
        <v>566.66666666666697</v>
      </c>
      <c r="E100" s="30">
        <v>95.1666666666667</v>
      </c>
      <c r="F100" s="30">
        <v>30.766666666666701</v>
      </c>
      <c r="G100" s="30">
        <v>103.866666666667</v>
      </c>
      <c r="H100" s="30">
        <v>23.933333333333302</v>
      </c>
      <c r="I100" s="32">
        <v>0.27411764705882402</v>
      </c>
      <c r="J100" s="32">
        <v>0.35060215946843898</v>
      </c>
      <c r="K100" s="30">
        <v>155.333333333333</v>
      </c>
      <c r="L100" s="30">
        <v>37.933333333333302</v>
      </c>
      <c r="M100" s="30">
        <v>4.0999999999999996</v>
      </c>
      <c r="N100" s="30">
        <v>69.8</v>
      </c>
      <c r="O100" s="30">
        <v>86.7</v>
      </c>
      <c r="P100" s="32">
        <v>0.51841176470588202</v>
      </c>
      <c r="Q100" s="32">
        <v>0.869013924174321</v>
      </c>
      <c r="R100" s="30">
        <v>0</v>
      </c>
    </row>
    <row r="101" spans="1:18" ht="18.600000000000001" customHeight="1">
      <c r="A101" s="25" t="s">
        <v>89</v>
      </c>
      <c r="B101" s="26" t="s">
        <v>64</v>
      </c>
      <c r="C101" s="123" t="s">
        <v>15</v>
      </c>
      <c r="D101" s="30">
        <v>567</v>
      </c>
      <c r="E101" s="30">
        <v>92.766666666666694</v>
      </c>
      <c r="F101" s="30">
        <v>30.033333333333299</v>
      </c>
      <c r="G101" s="30">
        <v>98.533333333333303</v>
      </c>
      <c r="H101" s="30">
        <v>9.6333333333333293</v>
      </c>
      <c r="I101" s="32">
        <v>0.279952968841858</v>
      </c>
      <c r="J101" s="32">
        <v>0.34830570293517199</v>
      </c>
      <c r="K101" s="30">
        <v>158.73333333333301</v>
      </c>
      <c r="L101" s="30">
        <v>32.066666666666698</v>
      </c>
      <c r="M101" s="30">
        <v>1.4</v>
      </c>
      <c r="N101" s="30">
        <v>62.5</v>
      </c>
      <c r="O101" s="30">
        <v>118.2</v>
      </c>
      <c r="P101" s="32">
        <v>0.50035273368606703</v>
      </c>
      <c r="Q101" s="32">
        <v>0.84865843662123897</v>
      </c>
      <c r="R101" s="30">
        <v>0</v>
      </c>
    </row>
    <row r="102" spans="1:18" ht="18.600000000000001" customHeight="1">
      <c r="A102" s="25" t="s">
        <v>104</v>
      </c>
      <c r="B102" s="26" t="s">
        <v>105</v>
      </c>
      <c r="C102" s="123" t="s">
        <v>15</v>
      </c>
      <c r="D102" s="30">
        <v>577</v>
      </c>
      <c r="E102" s="30">
        <v>92.266666666666694</v>
      </c>
      <c r="F102" s="30">
        <v>30.8333333333333</v>
      </c>
      <c r="G102" s="30">
        <v>96.6</v>
      </c>
      <c r="H102" s="30">
        <v>3.7666666666666702</v>
      </c>
      <c r="I102" s="32">
        <v>0.28243789716926598</v>
      </c>
      <c r="J102" s="32">
        <v>0.339693075588132</v>
      </c>
      <c r="K102" s="30">
        <v>162.96666666666701</v>
      </c>
      <c r="L102" s="30">
        <v>37.433333333333302</v>
      </c>
      <c r="M102" s="30">
        <v>1.5</v>
      </c>
      <c r="N102" s="30">
        <v>53</v>
      </c>
      <c r="O102" s="30">
        <v>129.6</v>
      </c>
      <c r="P102" s="32">
        <v>0.51282495667244399</v>
      </c>
      <c r="Q102" s="32">
        <v>0.85251803226057599</v>
      </c>
      <c r="R102" s="30">
        <v>0</v>
      </c>
    </row>
    <row r="103" spans="1:18" ht="18.600000000000001" customHeight="1">
      <c r="A103" s="25" t="s">
        <v>108</v>
      </c>
      <c r="B103" s="26" t="s">
        <v>74</v>
      </c>
      <c r="C103" s="123" t="s">
        <v>15</v>
      </c>
      <c r="D103" s="30">
        <v>579.66666666666697</v>
      </c>
      <c r="E103" s="30">
        <v>90.066666666666706</v>
      </c>
      <c r="F103" s="30">
        <v>33.1</v>
      </c>
      <c r="G103" s="30">
        <v>99.133333333333297</v>
      </c>
      <c r="H103" s="30">
        <v>1.5333333333333301</v>
      </c>
      <c r="I103" s="32">
        <v>0.27751581368602601</v>
      </c>
      <c r="J103" s="32">
        <v>0.334484506188643</v>
      </c>
      <c r="K103" s="30">
        <v>160.86666666666699</v>
      </c>
      <c r="L103" s="30">
        <v>31.933333333333302</v>
      </c>
      <c r="M103" s="30">
        <v>1.9</v>
      </c>
      <c r="N103" s="30">
        <v>52.533333333333303</v>
      </c>
      <c r="O103" s="30">
        <v>157.19999999999999</v>
      </c>
      <c r="P103" s="32">
        <v>0.51046578493386996</v>
      </c>
      <c r="Q103" s="32">
        <v>0.84495029112251296</v>
      </c>
      <c r="R103" s="30">
        <v>0</v>
      </c>
    </row>
    <row r="104" spans="1:18" ht="18.600000000000001" customHeight="1">
      <c r="A104" s="25" t="s">
        <v>124</v>
      </c>
      <c r="B104" s="26" t="s">
        <v>125</v>
      </c>
      <c r="C104" s="123" t="s">
        <v>15</v>
      </c>
      <c r="D104" s="30">
        <v>566</v>
      </c>
      <c r="E104" s="30">
        <v>80.1666666666667</v>
      </c>
      <c r="F104" s="30">
        <v>29.266666666666701</v>
      </c>
      <c r="G104" s="30">
        <v>99.1</v>
      </c>
      <c r="H104" s="30">
        <v>3.6</v>
      </c>
      <c r="I104" s="32">
        <v>0.27226148409894002</v>
      </c>
      <c r="J104" s="32">
        <v>0.328890269905388</v>
      </c>
      <c r="K104" s="30">
        <v>154.1</v>
      </c>
      <c r="L104" s="30">
        <v>33.566666666666698</v>
      </c>
      <c r="M104" s="30">
        <v>1.4666666666666699</v>
      </c>
      <c r="N104" s="30">
        <v>50.533333333333303</v>
      </c>
      <c r="O104" s="30">
        <v>82.433333333333294</v>
      </c>
      <c r="P104" s="32">
        <v>0.49187279151943503</v>
      </c>
      <c r="Q104" s="32">
        <v>0.82076306142482303</v>
      </c>
      <c r="R104" s="30">
        <v>0</v>
      </c>
    </row>
    <row r="105" spans="1:18" ht="18.600000000000001" customHeight="1">
      <c r="A105" s="25" t="s">
        <v>187</v>
      </c>
      <c r="B105" s="26" t="s">
        <v>79</v>
      </c>
      <c r="C105" s="123" t="s">
        <v>15</v>
      </c>
      <c r="D105" s="30">
        <v>518.66666666666697</v>
      </c>
      <c r="E105" s="30">
        <v>83.433333333333294</v>
      </c>
      <c r="F105" s="30">
        <v>21.733333333333299</v>
      </c>
      <c r="G105" s="30">
        <v>84.8333333333333</v>
      </c>
      <c r="H105" s="30">
        <v>1.7</v>
      </c>
      <c r="I105" s="32">
        <v>0.26375321336760899</v>
      </c>
      <c r="J105" s="32">
        <v>0.35664816107620501</v>
      </c>
      <c r="K105" s="30">
        <v>136.80000000000001</v>
      </c>
      <c r="L105" s="30">
        <v>33.1</v>
      </c>
      <c r="M105" s="30">
        <v>0.9</v>
      </c>
      <c r="N105" s="30">
        <v>77.766666666666694</v>
      </c>
      <c r="O105" s="30">
        <v>78.6666666666667</v>
      </c>
      <c r="P105" s="32">
        <v>0.45674807197943401</v>
      </c>
      <c r="Q105" s="32">
        <v>0.81339623305564002</v>
      </c>
      <c r="R105" s="30">
        <v>0</v>
      </c>
    </row>
    <row r="106" spans="1:18" ht="18.600000000000001" customHeight="1">
      <c r="A106" s="25" t="s">
        <v>205</v>
      </c>
      <c r="B106" s="26" t="s">
        <v>178</v>
      </c>
      <c r="C106" s="123" t="s">
        <v>15</v>
      </c>
      <c r="D106" s="30">
        <v>523.33333333333303</v>
      </c>
      <c r="E106" s="30">
        <v>74.033333333333303</v>
      </c>
      <c r="F106" s="30">
        <v>21.866666666666699</v>
      </c>
      <c r="G106" s="30">
        <v>76.133333333333297</v>
      </c>
      <c r="H106" s="30">
        <v>6.6</v>
      </c>
      <c r="I106" s="32">
        <v>0.25044585987261098</v>
      </c>
      <c r="J106" s="32">
        <v>0.32282793867121001</v>
      </c>
      <c r="K106" s="30">
        <v>131.066666666667</v>
      </c>
      <c r="L106" s="30">
        <v>24.9</v>
      </c>
      <c r="M106" s="30">
        <v>2.1333333333333302</v>
      </c>
      <c r="N106" s="30">
        <v>58.433333333333302</v>
      </c>
      <c r="O106" s="30">
        <v>154.5</v>
      </c>
      <c r="P106" s="32">
        <v>0.43152866242038201</v>
      </c>
      <c r="Q106" s="32">
        <v>0.75435660109159197</v>
      </c>
      <c r="R106" s="30">
        <v>0</v>
      </c>
    </row>
    <row r="107" spans="1:18" ht="18.600000000000001" customHeight="1">
      <c r="A107" s="25" t="s">
        <v>215</v>
      </c>
      <c r="B107" s="26" t="s">
        <v>101</v>
      </c>
      <c r="C107" s="123" t="s">
        <v>15</v>
      </c>
      <c r="D107" s="30">
        <v>515</v>
      </c>
      <c r="E107" s="30">
        <v>66.099999999999994</v>
      </c>
      <c r="F107" s="30">
        <v>18.733333333333299</v>
      </c>
      <c r="G107" s="30">
        <v>75.433333333333294</v>
      </c>
      <c r="H107" s="30">
        <v>8.1666666666666696</v>
      </c>
      <c r="I107" s="32">
        <v>0.25618122977346303</v>
      </c>
      <c r="J107" s="32">
        <v>0.33719375124491402</v>
      </c>
      <c r="K107" s="30">
        <v>131.933333333333</v>
      </c>
      <c r="L107" s="30">
        <v>29.466666666666701</v>
      </c>
      <c r="M107" s="30">
        <v>4.3333333333333304</v>
      </c>
      <c r="N107" s="30">
        <v>65.566666666666706</v>
      </c>
      <c r="O107" s="30">
        <v>149.5</v>
      </c>
      <c r="P107" s="32">
        <v>0.439352750809061</v>
      </c>
      <c r="Q107" s="32">
        <v>0.77654650205397502</v>
      </c>
      <c r="R107" s="30">
        <v>0</v>
      </c>
    </row>
    <row r="108" spans="1:18" ht="18.600000000000001" customHeight="1">
      <c r="A108" s="25" t="s">
        <v>244</v>
      </c>
      <c r="B108" s="26" t="s">
        <v>95</v>
      </c>
      <c r="C108" s="123" t="s">
        <v>15</v>
      </c>
      <c r="D108" s="30">
        <v>532.33333333333303</v>
      </c>
      <c r="E108" s="30">
        <v>77.633333333333297</v>
      </c>
      <c r="F108" s="30">
        <v>26.966666666666701</v>
      </c>
      <c r="G108" s="30">
        <v>80.233333333333306</v>
      </c>
      <c r="H108" s="30">
        <v>2.7</v>
      </c>
      <c r="I108" s="32">
        <v>0.22391984971822201</v>
      </c>
      <c r="J108" s="32">
        <v>0.30733238797817197</v>
      </c>
      <c r="K108" s="30">
        <v>119.2</v>
      </c>
      <c r="L108" s="30">
        <v>25.366666666666699</v>
      </c>
      <c r="M108" s="30">
        <v>2.2333333333333298</v>
      </c>
      <c r="N108" s="30">
        <v>66.466666666666697</v>
      </c>
      <c r="O108" s="30">
        <v>179.96666666666701</v>
      </c>
      <c r="P108" s="32">
        <v>0.431934877896055</v>
      </c>
      <c r="Q108" s="32">
        <v>0.73926726587422698</v>
      </c>
      <c r="R108" s="30">
        <v>0</v>
      </c>
    </row>
    <row r="109" spans="1:18" ht="20.100000000000001" customHeight="1">
      <c r="A109" s="25" t="s">
        <v>250</v>
      </c>
      <c r="B109" s="26" t="s">
        <v>105</v>
      </c>
      <c r="C109" s="123" t="s">
        <v>15</v>
      </c>
      <c r="D109" s="30">
        <v>467</v>
      </c>
      <c r="E109" s="30">
        <v>64.7</v>
      </c>
      <c r="F109" s="30">
        <v>14.6666666666667</v>
      </c>
      <c r="G109" s="30">
        <v>69.7</v>
      </c>
      <c r="H109" s="30">
        <v>2.7333333333333298</v>
      </c>
      <c r="I109" s="32">
        <v>0.27401855817273402</v>
      </c>
      <c r="J109" s="32">
        <v>0.33899391631568498</v>
      </c>
      <c r="K109" s="30">
        <v>127.966666666667</v>
      </c>
      <c r="L109" s="30">
        <v>27.6666666666667</v>
      </c>
      <c r="M109" s="30">
        <v>0.56666666666666698</v>
      </c>
      <c r="N109" s="30">
        <v>48.3</v>
      </c>
      <c r="O109" s="30">
        <v>89.733333333333306</v>
      </c>
      <c r="P109" s="32">
        <v>0.42990720913633101</v>
      </c>
      <c r="Q109" s="32">
        <v>0.76890112545201605</v>
      </c>
      <c r="R109" s="30">
        <v>0</v>
      </c>
    </row>
    <row r="110" spans="1:18" ht="20.100000000000001" customHeight="1">
      <c r="A110" s="25" t="s">
        <v>230</v>
      </c>
      <c r="B110" s="26" t="s">
        <v>139</v>
      </c>
      <c r="C110" s="123" t="s">
        <v>15</v>
      </c>
      <c r="D110" s="30">
        <v>519</v>
      </c>
      <c r="E110" s="30">
        <v>67.133333333333297</v>
      </c>
      <c r="F110" s="30">
        <v>10.9</v>
      </c>
      <c r="G110" s="30">
        <v>56.1666666666667</v>
      </c>
      <c r="H110" s="30">
        <v>17.033333333333299</v>
      </c>
      <c r="I110" s="32">
        <v>0.259473346178548</v>
      </c>
      <c r="J110" s="32">
        <v>0.32034989560129601</v>
      </c>
      <c r="K110" s="30">
        <v>134.666666666667</v>
      </c>
      <c r="L110" s="30">
        <v>28.033333333333299</v>
      </c>
      <c r="M110" s="30">
        <v>3.43333333333333</v>
      </c>
      <c r="N110" s="30">
        <v>48.933333333333302</v>
      </c>
      <c r="O110" s="30">
        <v>123.9</v>
      </c>
      <c r="P110" s="32">
        <v>0.38972382787411702</v>
      </c>
      <c r="Q110" s="32">
        <v>0.71007372347541298</v>
      </c>
      <c r="R110" s="30">
        <v>0</v>
      </c>
    </row>
    <row r="111" spans="1:18" ht="18.600000000000001" customHeight="1">
      <c r="A111" s="25" t="s">
        <v>251</v>
      </c>
      <c r="B111" s="26" t="s">
        <v>92</v>
      </c>
      <c r="C111" s="123" t="s">
        <v>15</v>
      </c>
      <c r="D111" s="30">
        <v>514.66666666666697</v>
      </c>
      <c r="E111" s="30">
        <v>66.033333333333303</v>
      </c>
      <c r="F111" s="30">
        <v>13.6</v>
      </c>
      <c r="G111" s="30">
        <v>65.233333333333306</v>
      </c>
      <c r="H111" s="30">
        <v>3.7</v>
      </c>
      <c r="I111" s="32">
        <v>0.27616580310880801</v>
      </c>
      <c r="J111" s="32">
        <v>0.32036901519968303</v>
      </c>
      <c r="K111" s="30">
        <v>142.13333333333301</v>
      </c>
      <c r="L111" s="30">
        <v>23.933333333333302</v>
      </c>
      <c r="M111" s="30">
        <v>2.0333333333333301</v>
      </c>
      <c r="N111" s="30">
        <v>35.9</v>
      </c>
      <c r="O111" s="30">
        <v>111.533333333333</v>
      </c>
      <c r="P111" s="32">
        <v>0.40984455958549199</v>
      </c>
      <c r="Q111" s="32">
        <v>0.73021357478517601</v>
      </c>
      <c r="R111" s="30">
        <v>0</v>
      </c>
    </row>
    <row r="112" spans="1:18" ht="18.600000000000001" customHeight="1">
      <c r="A112" s="25" t="s">
        <v>247</v>
      </c>
      <c r="B112" s="26" t="s">
        <v>125</v>
      </c>
      <c r="C112" s="123" t="s">
        <v>15</v>
      </c>
      <c r="D112" s="30">
        <v>493.375</v>
      </c>
      <c r="E112" s="30">
        <v>64.424999999999997</v>
      </c>
      <c r="F112" s="30">
        <v>16.024999999999999</v>
      </c>
      <c r="G112" s="30">
        <v>64.375</v>
      </c>
      <c r="H112" s="30">
        <v>10.137499999999999</v>
      </c>
      <c r="I112" s="32">
        <v>0.25487712186470701</v>
      </c>
      <c r="J112" s="32">
        <v>0.30718484787202099</v>
      </c>
      <c r="K112" s="30">
        <v>125.75</v>
      </c>
      <c r="L112" s="30">
        <v>26.212499999999999</v>
      </c>
      <c r="M112" s="30">
        <v>2.6875</v>
      </c>
      <c r="N112" s="30">
        <v>39.4375</v>
      </c>
      <c r="O112" s="30">
        <v>130.375</v>
      </c>
      <c r="P112" s="32">
        <v>0.41634152520902001</v>
      </c>
      <c r="Q112" s="32">
        <v>0.72352637308104095</v>
      </c>
      <c r="R112" s="30">
        <v>0</v>
      </c>
    </row>
    <row r="113" spans="1:18" ht="18.600000000000001" customHeight="1">
      <c r="A113" s="25" t="s">
        <v>253</v>
      </c>
      <c r="B113" s="26" t="s">
        <v>103</v>
      </c>
      <c r="C113" s="123" t="s">
        <v>15</v>
      </c>
      <c r="D113" s="30">
        <v>473.66666666666703</v>
      </c>
      <c r="E113" s="30">
        <v>71.933333333333294</v>
      </c>
      <c r="F113" s="30">
        <v>11.466666666666701</v>
      </c>
      <c r="G113" s="30">
        <v>57.033333333333303</v>
      </c>
      <c r="H113" s="30">
        <v>3.4</v>
      </c>
      <c r="I113" s="32">
        <v>0.28219563687544003</v>
      </c>
      <c r="J113" s="32">
        <v>0.37328582422843098</v>
      </c>
      <c r="K113" s="30">
        <v>133.666666666667</v>
      </c>
      <c r="L113" s="30">
        <v>26.866666666666699</v>
      </c>
      <c r="M113" s="30">
        <v>0.63333333333333297</v>
      </c>
      <c r="N113" s="30">
        <v>71.6666666666667</v>
      </c>
      <c r="O113" s="30">
        <v>73.599999999999994</v>
      </c>
      <c r="P113" s="32">
        <v>0.414215341308937</v>
      </c>
      <c r="Q113" s="32">
        <v>0.78750116553736904</v>
      </c>
      <c r="R113" s="30">
        <v>0</v>
      </c>
    </row>
    <row r="114" spans="1:18" ht="20.100000000000001" customHeight="1">
      <c r="A114" s="25" t="s">
        <v>273</v>
      </c>
      <c r="B114" s="26" t="s">
        <v>72</v>
      </c>
      <c r="C114" s="123" t="s">
        <v>15</v>
      </c>
      <c r="D114" s="30">
        <v>513</v>
      </c>
      <c r="E114" s="30">
        <v>70.633333333333297</v>
      </c>
      <c r="F114" s="30">
        <v>28.066666666666698</v>
      </c>
      <c r="G114" s="30">
        <v>79.466666666666697</v>
      </c>
      <c r="H114" s="30">
        <v>1</v>
      </c>
      <c r="I114" s="32">
        <v>0.22040285899935</v>
      </c>
      <c r="J114" s="32">
        <v>0.30496628326631903</v>
      </c>
      <c r="K114" s="30">
        <v>113.066666666667</v>
      </c>
      <c r="L114" s="30">
        <v>21.533333333333299</v>
      </c>
      <c r="M114" s="30">
        <v>1.4</v>
      </c>
      <c r="N114" s="30">
        <v>64.6666666666667</v>
      </c>
      <c r="O114" s="30">
        <v>180.53333333333299</v>
      </c>
      <c r="P114" s="32">
        <v>0.431968810916179</v>
      </c>
      <c r="Q114" s="32">
        <v>0.73693509418249903</v>
      </c>
      <c r="R114" s="30">
        <v>0</v>
      </c>
    </row>
    <row r="115" spans="1:18" ht="18.600000000000001" customHeight="1">
      <c r="A115" s="25" t="s">
        <v>288</v>
      </c>
      <c r="B115" s="26" t="s">
        <v>92</v>
      </c>
      <c r="C115" s="123" t="s">
        <v>15</v>
      </c>
      <c r="D115" s="30">
        <v>475.33333333333297</v>
      </c>
      <c r="E115" s="30">
        <v>62.85</v>
      </c>
      <c r="F115" s="30">
        <v>13.133333333333301</v>
      </c>
      <c r="G115" s="30">
        <v>56</v>
      </c>
      <c r="H115" s="30">
        <v>12.116666666666699</v>
      </c>
      <c r="I115" s="32">
        <v>0.247931276297335</v>
      </c>
      <c r="J115" s="32">
        <v>0.30842709500050902</v>
      </c>
      <c r="K115" s="30">
        <v>117.85</v>
      </c>
      <c r="L115" s="30">
        <v>23.283333333333299</v>
      </c>
      <c r="M115" s="30">
        <v>2.3833333333333302</v>
      </c>
      <c r="N115" s="30">
        <v>43.7</v>
      </c>
      <c r="O115" s="30">
        <v>104.6</v>
      </c>
      <c r="P115" s="32">
        <v>0.389831697054699</v>
      </c>
      <c r="Q115" s="32">
        <v>0.69825879205520802</v>
      </c>
      <c r="R115" s="30">
        <v>0</v>
      </c>
    </row>
    <row r="116" spans="1:18" ht="18.600000000000001" customHeight="1">
      <c r="A116" s="25" t="s">
        <v>305</v>
      </c>
      <c r="B116" s="26" t="s">
        <v>85</v>
      </c>
      <c r="C116" s="123" t="s">
        <v>15</v>
      </c>
      <c r="D116" s="30">
        <v>433.66666666666703</v>
      </c>
      <c r="E116" s="30">
        <v>60.2</v>
      </c>
      <c r="F116" s="30">
        <v>19.233333333333299</v>
      </c>
      <c r="G116" s="30">
        <v>63.733333333333299</v>
      </c>
      <c r="H116" s="30">
        <v>2.2666666666666702</v>
      </c>
      <c r="I116" s="32">
        <v>0.25165257494235199</v>
      </c>
      <c r="J116" s="32">
        <v>0.29739141581387402</v>
      </c>
      <c r="K116" s="30">
        <v>109.133333333333</v>
      </c>
      <c r="L116" s="30">
        <v>23.566666666666698</v>
      </c>
      <c r="M116" s="30">
        <v>1.5</v>
      </c>
      <c r="N116" s="30">
        <v>30.066666666666698</v>
      </c>
      <c r="O116" s="30">
        <v>105.4</v>
      </c>
      <c r="P116" s="32">
        <v>0.44596464258262902</v>
      </c>
      <c r="Q116" s="32">
        <v>0.74335605839650298</v>
      </c>
      <c r="R116" s="30">
        <v>0</v>
      </c>
    </row>
    <row r="117" spans="1:18" ht="18.600000000000001" customHeight="1">
      <c r="A117" s="25" t="s">
        <v>332</v>
      </c>
      <c r="B117" s="26" t="s">
        <v>85</v>
      </c>
      <c r="C117" s="123" t="s">
        <v>15</v>
      </c>
      <c r="D117" s="30">
        <v>430.33333333333297</v>
      </c>
      <c r="E117" s="30">
        <v>57</v>
      </c>
      <c r="F117" s="30">
        <v>15</v>
      </c>
      <c r="G117" s="30">
        <v>65.099999999999994</v>
      </c>
      <c r="H117" s="30">
        <v>2.4666666666666699</v>
      </c>
      <c r="I117" s="32">
        <v>0.256080557707204</v>
      </c>
      <c r="J117" s="32">
        <v>0.34280659819987702</v>
      </c>
      <c r="K117" s="30">
        <v>110.2</v>
      </c>
      <c r="L117" s="30">
        <v>26.1</v>
      </c>
      <c r="M117" s="30">
        <v>1.0333333333333301</v>
      </c>
      <c r="N117" s="30">
        <v>59.033333333333303</v>
      </c>
      <c r="O117" s="30">
        <v>85.1</v>
      </c>
      <c r="P117" s="32">
        <v>0.426103795507359</v>
      </c>
      <c r="Q117" s="32">
        <v>0.76891039370723602</v>
      </c>
      <c r="R117" s="30">
        <v>0</v>
      </c>
    </row>
    <row r="118" spans="1:18" ht="18.600000000000001" customHeight="1">
      <c r="A118" s="25" t="s">
        <v>352</v>
      </c>
      <c r="B118" s="26" t="s">
        <v>116</v>
      </c>
      <c r="C118" s="123" t="s">
        <v>15</v>
      </c>
      <c r="D118" s="30">
        <v>502.66666666666703</v>
      </c>
      <c r="E118" s="30">
        <v>65.133333333333297</v>
      </c>
      <c r="F118" s="30">
        <v>16.133333333333301</v>
      </c>
      <c r="G118" s="30">
        <v>64.6666666666667</v>
      </c>
      <c r="H118" s="30">
        <v>2.6666666666666701</v>
      </c>
      <c r="I118" s="32">
        <v>0.24144562334217501</v>
      </c>
      <c r="J118" s="32">
        <v>0.31626825872525199</v>
      </c>
      <c r="K118" s="30">
        <v>121.366666666667</v>
      </c>
      <c r="L118" s="30">
        <v>27.1</v>
      </c>
      <c r="M118" s="30">
        <v>1.8333333333333299</v>
      </c>
      <c r="N118" s="30">
        <v>57.3333333333333</v>
      </c>
      <c r="O118" s="30">
        <v>148.76666666666699</v>
      </c>
      <c r="P118" s="32">
        <v>0.39893899204243999</v>
      </c>
      <c r="Q118" s="32">
        <v>0.71520725076769198</v>
      </c>
      <c r="R118" s="30">
        <v>0</v>
      </c>
    </row>
    <row r="119" spans="1:18" ht="18.600000000000001" customHeight="1">
      <c r="A119" s="25" t="s">
        <v>344</v>
      </c>
      <c r="B119" s="26" t="s">
        <v>125</v>
      </c>
      <c r="C119" s="123" t="s">
        <v>15</v>
      </c>
      <c r="D119" s="30">
        <v>431</v>
      </c>
      <c r="E119" s="30">
        <v>65.3333333333333</v>
      </c>
      <c r="F119" s="30">
        <v>7.5333333333333297</v>
      </c>
      <c r="G119" s="30">
        <v>50.033333333333303</v>
      </c>
      <c r="H119" s="30">
        <v>4.3</v>
      </c>
      <c r="I119" s="32">
        <v>0.27378190255220403</v>
      </c>
      <c r="J119" s="32">
        <v>0.35668669284261301</v>
      </c>
      <c r="K119" s="30">
        <v>118</v>
      </c>
      <c r="L119" s="30">
        <v>23.733333333333299</v>
      </c>
      <c r="M119" s="30">
        <v>1.4</v>
      </c>
      <c r="N119" s="30">
        <v>57.933333333333302</v>
      </c>
      <c r="O119" s="30">
        <v>81.133333333333297</v>
      </c>
      <c r="P119" s="32">
        <v>0.38778035576179398</v>
      </c>
      <c r="Q119" s="32">
        <v>0.74446704860440704</v>
      </c>
      <c r="R119" s="30">
        <v>0</v>
      </c>
    </row>
    <row r="120" spans="1:18" ht="18.600000000000001" customHeight="1">
      <c r="A120" s="25" t="s">
        <v>363</v>
      </c>
      <c r="B120" s="26" t="s">
        <v>64</v>
      </c>
      <c r="C120" s="123" t="s">
        <v>15</v>
      </c>
      <c r="D120" s="30">
        <v>441.66666666666703</v>
      </c>
      <c r="E120" s="30">
        <v>57.966666666666697</v>
      </c>
      <c r="F120" s="30">
        <v>12.3</v>
      </c>
      <c r="G120" s="30">
        <v>51.066666666666698</v>
      </c>
      <c r="H120" s="30">
        <v>10.199999999999999</v>
      </c>
      <c r="I120" s="32">
        <v>0.24309433962264199</v>
      </c>
      <c r="J120" s="32">
        <v>0.30536281915439001</v>
      </c>
      <c r="K120" s="30">
        <v>107.366666666667</v>
      </c>
      <c r="L120" s="30">
        <v>23.1666666666667</v>
      </c>
      <c r="M120" s="30">
        <v>2.2999999999999998</v>
      </c>
      <c r="N120" s="30">
        <v>41.533333333333303</v>
      </c>
      <c r="O120" s="30">
        <v>92.7</v>
      </c>
      <c r="P120" s="32">
        <v>0.38950943396226401</v>
      </c>
      <c r="Q120" s="32">
        <v>0.69487225311665402</v>
      </c>
      <c r="R120" s="30">
        <v>0</v>
      </c>
    </row>
    <row r="121" spans="1:18" ht="18.600000000000001" customHeight="1">
      <c r="A121" s="25" t="s">
        <v>388</v>
      </c>
      <c r="B121" s="26" t="s">
        <v>309</v>
      </c>
      <c r="C121" s="123" t="s">
        <v>15</v>
      </c>
      <c r="D121" s="30">
        <v>470.66666666666703</v>
      </c>
      <c r="E121" s="30">
        <v>59.6</v>
      </c>
      <c r="F121" s="30">
        <v>15.2</v>
      </c>
      <c r="G121" s="30">
        <v>60.1666666666667</v>
      </c>
      <c r="H121" s="30">
        <v>0.8</v>
      </c>
      <c r="I121" s="32">
        <v>0.24688385269121799</v>
      </c>
      <c r="J121" s="32">
        <v>0.308182238430325</v>
      </c>
      <c r="K121" s="30">
        <v>116.2</v>
      </c>
      <c r="L121" s="30">
        <v>27.9</v>
      </c>
      <c r="M121" s="30">
        <v>2.2000000000000002</v>
      </c>
      <c r="N121" s="30">
        <v>43.8</v>
      </c>
      <c r="O121" s="30">
        <v>119.366666666667</v>
      </c>
      <c r="P121" s="32">
        <v>0.412393767705382</v>
      </c>
      <c r="Q121" s="32">
        <v>0.72057600613570705</v>
      </c>
      <c r="R121" s="30">
        <v>0</v>
      </c>
    </row>
    <row r="122" spans="1:18" ht="18.600000000000001" customHeight="1">
      <c r="A122" s="25" t="s">
        <v>377</v>
      </c>
      <c r="B122" s="26" t="s">
        <v>87</v>
      </c>
      <c r="C122" s="123" t="s">
        <v>15</v>
      </c>
      <c r="D122" s="30">
        <v>444.6</v>
      </c>
      <c r="E122" s="30">
        <v>49.3</v>
      </c>
      <c r="F122" s="30">
        <v>19.866666666666699</v>
      </c>
      <c r="G122" s="30">
        <v>62.133333333333297</v>
      </c>
      <c r="H122" s="30">
        <v>6.4</v>
      </c>
      <c r="I122" s="32">
        <v>0.22739541160593801</v>
      </c>
      <c r="J122" s="32">
        <v>0.26806662468849402</v>
      </c>
      <c r="K122" s="30">
        <v>101.1</v>
      </c>
      <c r="L122" s="30">
        <v>19.733333333333299</v>
      </c>
      <c r="M122" s="30">
        <v>2.8666666666666698</v>
      </c>
      <c r="N122" s="30">
        <v>26.3333333333333</v>
      </c>
      <c r="O122" s="30">
        <v>148.23333333333301</v>
      </c>
      <c r="P122" s="32">
        <v>0.41872844504423501</v>
      </c>
      <c r="Q122" s="32">
        <v>0.68679506973272897</v>
      </c>
      <c r="R122" s="30">
        <v>0</v>
      </c>
    </row>
    <row r="123" spans="1:18" ht="18.600000000000001" customHeight="1">
      <c r="A123" s="25" t="s">
        <v>405</v>
      </c>
      <c r="B123" s="26" t="s">
        <v>97</v>
      </c>
      <c r="C123" s="123" t="s">
        <v>15</v>
      </c>
      <c r="D123" s="30">
        <v>440.33333333333297</v>
      </c>
      <c r="E123" s="30">
        <v>54.966666666666697</v>
      </c>
      <c r="F123" s="30">
        <v>17.100000000000001</v>
      </c>
      <c r="G123" s="30">
        <v>60.033333333333303</v>
      </c>
      <c r="H123" s="30">
        <v>1.13333333333333</v>
      </c>
      <c r="I123" s="32">
        <v>0.24027252081756201</v>
      </c>
      <c r="J123" s="32">
        <v>0.29467054196349901</v>
      </c>
      <c r="K123" s="30">
        <v>105.8</v>
      </c>
      <c r="L123" s="30">
        <v>20.6666666666667</v>
      </c>
      <c r="M123" s="30">
        <v>3.5</v>
      </c>
      <c r="N123" s="30">
        <v>35.799999999999997</v>
      </c>
      <c r="O123" s="30">
        <v>107.2</v>
      </c>
      <c r="P123" s="32">
        <v>0.41960635881907599</v>
      </c>
      <c r="Q123" s="32">
        <v>0.714276900782576</v>
      </c>
      <c r="R123" s="30">
        <v>0</v>
      </c>
    </row>
    <row r="124" spans="1:18" ht="18.600000000000001" customHeight="1">
      <c r="A124" s="25" t="s">
        <v>407</v>
      </c>
      <c r="B124" s="26" t="s">
        <v>225</v>
      </c>
      <c r="C124" s="123" t="s">
        <v>15</v>
      </c>
      <c r="D124" s="30">
        <v>435.66666666666703</v>
      </c>
      <c r="E124" s="30">
        <v>53.266666666666701</v>
      </c>
      <c r="F124" s="30">
        <v>15.233333333333301</v>
      </c>
      <c r="G124" s="30">
        <v>55.2</v>
      </c>
      <c r="H124" s="30">
        <v>3.4666666666666699</v>
      </c>
      <c r="I124" s="32">
        <v>0.243687834736037</v>
      </c>
      <c r="J124" s="32">
        <v>0.303241111118841</v>
      </c>
      <c r="K124" s="30">
        <v>106.166666666667</v>
      </c>
      <c r="L124" s="30">
        <v>23.466666666666701</v>
      </c>
      <c r="M124" s="30">
        <v>1.1000000000000001</v>
      </c>
      <c r="N124" s="30">
        <v>39.133333333333297</v>
      </c>
      <c r="O124" s="30">
        <v>106.23333333333299</v>
      </c>
      <c r="P124" s="32">
        <v>0.40749808722264702</v>
      </c>
      <c r="Q124" s="32">
        <v>0.71073919834148802</v>
      </c>
      <c r="R124" s="30">
        <v>0</v>
      </c>
    </row>
    <row r="125" spans="1:18" ht="18.600000000000001" customHeight="1">
      <c r="A125" s="25" t="s">
        <v>406</v>
      </c>
      <c r="B125" s="26" t="s">
        <v>136</v>
      </c>
      <c r="C125" s="123" t="s">
        <v>15</v>
      </c>
      <c r="D125" s="30">
        <v>391</v>
      </c>
      <c r="E125" s="30">
        <v>44.133333333333297</v>
      </c>
      <c r="F125" s="30">
        <v>6.3333333333333304</v>
      </c>
      <c r="G125" s="30">
        <v>40.533333333333303</v>
      </c>
      <c r="H125" s="30">
        <v>11.2</v>
      </c>
      <c r="I125" s="32">
        <v>0.26513213981244699</v>
      </c>
      <c r="J125" s="32">
        <v>0.29946361136277999</v>
      </c>
      <c r="K125" s="30">
        <v>103.666666666667</v>
      </c>
      <c r="L125" s="30">
        <v>24</v>
      </c>
      <c r="M125" s="30">
        <v>2.5333333333333301</v>
      </c>
      <c r="N125" s="30">
        <v>20.8333333333333</v>
      </c>
      <c r="O125" s="30">
        <v>74.900000000000006</v>
      </c>
      <c r="P125" s="32">
        <v>0.38806479113384501</v>
      </c>
      <c r="Q125" s="32">
        <v>0.68752840249662495</v>
      </c>
      <c r="R125" s="30">
        <v>0</v>
      </c>
    </row>
    <row r="126" spans="1:18" ht="20.100000000000001" customHeight="1">
      <c r="A126" s="25" t="s">
        <v>450</v>
      </c>
      <c r="B126" s="26" t="s">
        <v>69</v>
      </c>
      <c r="C126" s="123" t="s">
        <v>15</v>
      </c>
      <c r="D126" s="30">
        <v>390.66666666666703</v>
      </c>
      <c r="E126" s="30">
        <v>53.1</v>
      </c>
      <c r="F126" s="30">
        <v>16.233333333333299</v>
      </c>
      <c r="G126" s="30">
        <v>55.066666666666698</v>
      </c>
      <c r="H126" s="30">
        <v>1.2333333333333301</v>
      </c>
      <c r="I126" s="32">
        <v>0.230887372013652</v>
      </c>
      <c r="J126" s="32">
        <v>0.316383673224927</v>
      </c>
      <c r="K126" s="30">
        <v>90.2</v>
      </c>
      <c r="L126" s="30">
        <v>19.533333333333299</v>
      </c>
      <c r="M126" s="30">
        <v>0.133333333333333</v>
      </c>
      <c r="N126" s="30">
        <v>50.6666666666667</v>
      </c>
      <c r="O126" s="30">
        <v>113.333333333333</v>
      </c>
      <c r="P126" s="32">
        <v>0.40622866894198001</v>
      </c>
      <c r="Q126" s="32">
        <v>0.72261234216690695</v>
      </c>
      <c r="R126" s="30">
        <v>0</v>
      </c>
    </row>
    <row r="127" spans="1:18" ht="18.600000000000001" customHeight="1">
      <c r="A127" s="25" t="s">
        <v>421</v>
      </c>
      <c r="B127" s="26" t="s">
        <v>158</v>
      </c>
      <c r="C127" s="123" t="s">
        <v>15</v>
      </c>
      <c r="D127" s="30">
        <v>361.66666666666703</v>
      </c>
      <c r="E127" s="30">
        <v>40.966666666666697</v>
      </c>
      <c r="F127" s="30">
        <v>8.56666666666667</v>
      </c>
      <c r="G127" s="30">
        <v>42.8</v>
      </c>
      <c r="H127" s="30">
        <v>9.6999999999999993</v>
      </c>
      <c r="I127" s="32">
        <v>0.25539170506912401</v>
      </c>
      <c r="J127" s="32">
        <v>0.29244263924296798</v>
      </c>
      <c r="K127" s="30">
        <v>92.366666666666703</v>
      </c>
      <c r="L127" s="30">
        <v>20.6</v>
      </c>
      <c r="M127" s="30">
        <v>2.93333333333333</v>
      </c>
      <c r="N127" s="30">
        <v>20.433333333333302</v>
      </c>
      <c r="O127" s="30">
        <v>93.433333333333294</v>
      </c>
      <c r="P127" s="32">
        <v>0.39963133640553</v>
      </c>
      <c r="Q127" s="32">
        <v>0.69207397564849804</v>
      </c>
      <c r="R127" s="30">
        <v>0</v>
      </c>
    </row>
    <row r="128" spans="1:18" ht="20.100000000000001" customHeight="1">
      <c r="A128" s="25" t="s">
        <v>452</v>
      </c>
      <c r="B128" s="26" t="s">
        <v>85</v>
      </c>
      <c r="C128" s="123" t="s">
        <v>15</v>
      </c>
      <c r="D128" s="30">
        <v>337.33333333333297</v>
      </c>
      <c r="E128" s="30">
        <v>41.366666666666703</v>
      </c>
      <c r="F128" s="30">
        <v>9.3666666666666707</v>
      </c>
      <c r="G128" s="30">
        <v>42.8</v>
      </c>
      <c r="H128" s="30">
        <v>1.2333333333333301</v>
      </c>
      <c r="I128" s="32">
        <v>0.27084980237154199</v>
      </c>
      <c r="J128" s="32">
        <v>0.31856939838938902</v>
      </c>
      <c r="K128" s="30">
        <v>91.366666666666703</v>
      </c>
      <c r="L128" s="30">
        <v>17.566666666666698</v>
      </c>
      <c r="M128" s="30">
        <v>1.7666666666666699</v>
      </c>
      <c r="N128" s="30">
        <v>25.2</v>
      </c>
      <c r="O128" s="30">
        <v>71.3</v>
      </c>
      <c r="P128" s="32">
        <v>0.41669960474308299</v>
      </c>
      <c r="Q128" s="32">
        <v>0.73526900313247201</v>
      </c>
      <c r="R128" s="30">
        <v>0</v>
      </c>
    </row>
    <row r="129" spans="1:18" ht="18.600000000000001" customHeight="1">
      <c r="A129" s="25" t="s">
        <v>460</v>
      </c>
      <c r="B129" s="26" t="s">
        <v>97</v>
      </c>
      <c r="C129" s="123" t="s">
        <v>15</v>
      </c>
      <c r="D129" s="30">
        <v>318.26666666666699</v>
      </c>
      <c r="E129" s="30">
        <v>43.4</v>
      </c>
      <c r="F129" s="30">
        <v>14.466666666666701</v>
      </c>
      <c r="G129" s="30">
        <v>44.433333333333302</v>
      </c>
      <c r="H129" s="30">
        <v>1.0333333333333301</v>
      </c>
      <c r="I129" s="32">
        <v>0.253246753246753</v>
      </c>
      <c r="J129" s="32">
        <v>0.32062492713069801</v>
      </c>
      <c r="K129" s="30">
        <v>80.599999999999994</v>
      </c>
      <c r="L129" s="30">
        <v>14.466666666666701</v>
      </c>
      <c r="M129" s="30">
        <v>0</v>
      </c>
      <c r="N129" s="30">
        <v>33.066666666666698</v>
      </c>
      <c r="O129" s="30">
        <v>86.8</v>
      </c>
      <c r="P129" s="32">
        <v>0.43506493506493499</v>
      </c>
      <c r="Q129" s="32">
        <v>0.75568986219563405</v>
      </c>
      <c r="R129" s="30">
        <v>0</v>
      </c>
    </row>
    <row r="130" spans="1:18" ht="18.600000000000001" customHeight="1">
      <c r="A130" s="25" t="s">
        <v>489</v>
      </c>
      <c r="B130" s="26" t="s">
        <v>122</v>
      </c>
      <c r="C130" s="123" t="s">
        <v>15</v>
      </c>
      <c r="D130" s="30">
        <v>337.66666666666703</v>
      </c>
      <c r="E130" s="30">
        <v>43.2</v>
      </c>
      <c r="F130" s="30">
        <v>14.266666666666699</v>
      </c>
      <c r="G130" s="30">
        <v>47.733333333333299</v>
      </c>
      <c r="H130" s="30">
        <v>1.1000000000000001</v>
      </c>
      <c r="I130" s="32">
        <v>0.24373149062191499</v>
      </c>
      <c r="J130" s="32">
        <v>0.30652265194357298</v>
      </c>
      <c r="K130" s="30">
        <v>82.3</v>
      </c>
      <c r="L130" s="30">
        <v>16.733333333333299</v>
      </c>
      <c r="M130" s="30">
        <v>0.53333333333333299</v>
      </c>
      <c r="N130" s="30">
        <v>32.066666666666698</v>
      </c>
      <c r="O130" s="30">
        <v>94.6666666666667</v>
      </c>
      <c r="P130" s="32">
        <v>0.42319842053307</v>
      </c>
      <c r="Q130" s="32">
        <v>0.72972107247664297</v>
      </c>
      <c r="R130" s="30">
        <v>0</v>
      </c>
    </row>
    <row r="131" spans="1:18" ht="18.600000000000001" customHeight="1">
      <c r="A131" s="25" t="s">
        <v>503</v>
      </c>
      <c r="B131" s="26" t="s">
        <v>119</v>
      </c>
      <c r="C131" s="123" t="s">
        <v>15</v>
      </c>
      <c r="D131" s="30">
        <v>410</v>
      </c>
      <c r="E131" s="30">
        <v>48.1</v>
      </c>
      <c r="F131" s="30">
        <v>12.3</v>
      </c>
      <c r="G131" s="30">
        <v>44.633333333333297</v>
      </c>
      <c r="H131" s="30">
        <v>5.0999999999999996</v>
      </c>
      <c r="I131" s="32">
        <v>0.23113821138211399</v>
      </c>
      <c r="J131" s="32">
        <v>0.291105520201273</v>
      </c>
      <c r="K131" s="30">
        <v>94.766666666666694</v>
      </c>
      <c r="L131" s="30">
        <v>20.533333333333299</v>
      </c>
      <c r="M131" s="30">
        <v>3.5333333333333301</v>
      </c>
      <c r="N131" s="30">
        <v>36.366666666666703</v>
      </c>
      <c r="O131" s="30">
        <v>119.2</v>
      </c>
      <c r="P131" s="32">
        <v>0.388455284552846</v>
      </c>
      <c r="Q131" s="32">
        <v>0.67956080475411795</v>
      </c>
      <c r="R131" s="30">
        <v>0</v>
      </c>
    </row>
    <row r="132" spans="1:18" ht="20.100000000000001" customHeight="1">
      <c r="A132" s="25" t="s">
        <v>536</v>
      </c>
      <c r="B132" s="26" t="s">
        <v>219</v>
      </c>
      <c r="C132" s="123" t="s">
        <v>15</v>
      </c>
      <c r="D132" s="30">
        <v>314.66666666666703</v>
      </c>
      <c r="E132" s="30">
        <v>41.7</v>
      </c>
      <c r="F132" s="30">
        <v>11.033333333333299</v>
      </c>
      <c r="G132" s="30">
        <v>38.733333333333299</v>
      </c>
      <c r="H132" s="30">
        <v>1.6</v>
      </c>
      <c r="I132" s="32">
        <v>0.24925847457627101</v>
      </c>
      <c r="J132" s="32">
        <v>0.331116575388398</v>
      </c>
      <c r="K132" s="30">
        <v>78.433333333333294</v>
      </c>
      <c r="L132" s="30">
        <v>14.6666666666667</v>
      </c>
      <c r="M132" s="30">
        <v>1.0333333333333301</v>
      </c>
      <c r="N132" s="30">
        <v>40.066666666666698</v>
      </c>
      <c r="O132" s="30">
        <v>110.26666666666701</v>
      </c>
      <c r="P132" s="32">
        <v>0.40762711864406798</v>
      </c>
      <c r="Q132" s="32">
        <v>0.73874369403246598</v>
      </c>
      <c r="R132" s="30">
        <v>0</v>
      </c>
    </row>
    <row r="133" spans="1:18" ht="18.600000000000001" customHeight="1">
      <c r="A133" s="25" t="s">
        <v>575</v>
      </c>
      <c r="B133" s="26" t="s">
        <v>99</v>
      </c>
      <c r="C133" s="123" t="s">
        <v>15</v>
      </c>
      <c r="D133" s="30">
        <v>338.66666666666703</v>
      </c>
      <c r="E133" s="30">
        <v>42.466666666666697</v>
      </c>
      <c r="F133" s="30">
        <v>11</v>
      </c>
      <c r="G133" s="30">
        <v>41.433333333333302</v>
      </c>
      <c r="H133" s="30">
        <v>2.2666666666666702</v>
      </c>
      <c r="I133" s="32">
        <v>0.23425196850393701</v>
      </c>
      <c r="J133" s="32">
        <v>0.30580608793686598</v>
      </c>
      <c r="K133" s="30">
        <v>79.3333333333333</v>
      </c>
      <c r="L133" s="30">
        <v>15.0666666666667</v>
      </c>
      <c r="M133" s="30">
        <v>0.96666666666666701</v>
      </c>
      <c r="N133" s="30">
        <v>36.4</v>
      </c>
      <c r="O133" s="30">
        <v>102.366666666667</v>
      </c>
      <c r="P133" s="32">
        <v>0.38188976377952799</v>
      </c>
      <c r="Q133" s="32">
        <v>0.68769585171639303</v>
      </c>
      <c r="R133" s="30">
        <v>0</v>
      </c>
    </row>
    <row r="134" spans="1:18" ht="20.100000000000001" customHeight="1">
      <c r="A134" s="25" t="s">
        <v>566</v>
      </c>
      <c r="B134" s="26" t="s">
        <v>139</v>
      </c>
      <c r="C134" s="123" t="s">
        <v>15</v>
      </c>
      <c r="D134" s="30">
        <v>307.33333333333297</v>
      </c>
      <c r="E134" s="30">
        <v>37.200000000000003</v>
      </c>
      <c r="F134" s="30">
        <v>12.9</v>
      </c>
      <c r="G134" s="30">
        <v>38.700000000000003</v>
      </c>
      <c r="H134" s="30">
        <v>4.9666666666666703</v>
      </c>
      <c r="I134" s="32">
        <v>0.231670281995662</v>
      </c>
      <c r="J134" s="32">
        <v>0.28816013966591297</v>
      </c>
      <c r="K134" s="30">
        <v>71.2</v>
      </c>
      <c r="L134" s="30">
        <v>12.9333333333333</v>
      </c>
      <c r="M134" s="30">
        <v>2.6</v>
      </c>
      <c r="N134" s="30">
        <v>25.633333333333301</v>
      </c>
      <c r="O134" s="30">
        <v>87.066666666666706</v>
      </c>
      <c r="P134" s="32">
        <v>0.41659436008676798</v>
      </c>
      <c r="Q134" s="32">
        <v>0.70475449975268101</v>
      </c>
      <c r="R134" s="30">
        <v>0</v>
      </c>
    </row>
    <row r="135" spans="1:18" ht="18.600000000000001" customHeight="1">
      <c r="A135" s="25" t="s">
        <v>568</v>
      </c>
      <c r="B135" s="26" t="s">
        <v>142</v>
      </c>
      <c r="C135" s="123" t="s">
        <v>15</v>
      </c>
      <c r="D135" s="30">
        <v>308</v>
      </c>
      <c r="E135" s="30">
        <v>39.066666666666698</v>
      </c>
      <c r="F135" s="30">
        <v>7.5</v>
      </c>
      <c r="G135" s="30">
        <v>34.8333333333333</v>
      </c>
      <c r="H135" s="30">
        <v>9.4666666666666703</v>
      </c>
      <c r="I135" s="32">
        <v>0.23268398268398299</v>
      </c>
      <c r="J135" s="32">
        <v>0.31422460709989097</v>
      </c>
      <c r="K135" s="30">
        <v>71.6666666666667</v>
      </c>
      <c r="L135" s="30">
        <v>15.466666666666701</v>
      </c>
      <c r="M135" s="30">
        <v>1.4666666666666699</v>
      </c>
      <c r="N135" s="30">
        <v>38.033333333333303</v>
      </c>
      <c r="O135" s="30">
        <v>87.866666666666703</v>
      </c>
      <c r="P135" s="32">
        <v>0.36547619047619101</v>
      </c>
      <c r="Q135" s="32">
        <v>0.67970079757608204</v>
      </c>
      <c r="R135" s="30">
        <v>0</v>
      </c>
    </row>
    <row r="136" spans="1:18" ht="18.600000000000001" customHeight="1">
      <c r="A136" s="25" t="s">
        <v>597</v>
      </c>
      <c r="B136" s="26" t="s">
        <v>160</v>
      </c>
      <c r="C136" s="123" t="s">
        <v>15</v>
      </c>
      <c r="D136" s="30">
        <v>285.66666666666703</v>
      </c>
      <c r="E136" s="30">
        <v>39.566666666666698</v>
      </c>
      <c r="F136" s="30">
        <v>16.6666666666667</v>
      </c>
      <c r="G136" s="30">
        <v>41.6666666666667</v>
      </c>
      <c r="H136" s="30">
        <v>4.4000000000000004</v>
      </c>
      <c r="I136" s="32">
        <v>0.21143523920653401</v>
      </c>
      <c r="J136" s="32">
        <v>0.28418421245306302</v>
      </c>
      <c r="K136" s="30">
        <v>60.4</v>
      </c>
      <c r="L136" s="30">
        <v>12.966666666666701</v>
      </c>
      <c r="M136" s="30">
        <v>6.6666666666666693E-2</v>
      </c>
      <c r="N136" s="30">
        <v>30.1666666666667</v>
      </c>
      <c r="O136" s="30">
        <v>115.1</v>
      </c>
      <c r="P136" s="32">
        <v>0.43232205367561299</v>
      </c>
      <c r="Q136" s="32">
        <v>0.71650626612867596</v>
      </c>
      <c r="R136" s="30">
        <v>0</v>
      </c>
    </row>
    <row r="137" spans="1:18" ht="18.600000000000001" customHeight="1">
      <c r="A137" s="25" t="s">
        <v>586</v>
      </c>
      <c r="B137" s="26" t="s">
        <v>119</v>
      </c>
      <c r="C137" s="123" t="s">
        <v>15</v>
      </c>
      <c r="D137" s="30">
        <v>313.33333333333297</v>
      </c>
      <c r="E137" s="30">
        <v>37.6</v>
      </c>
      <c r="F137" s="30">
        <v>1.56666666666667</v>
      </c>
      <c r="G137" s="30">
        <v>23.733333333333299</v>
      </c>
      <c r="H137" s="30">
        <v>9.8000000000000007</v>
      </c>
      <c r="I137" s="32">
        <v>0.25340425531914901</v>
      </c>
      <c r="J137" s="32">
        <v>0.307092751363991</v>
      </c>
      <c r="K137" s="30">
        <v>79.400000000000006</v>
      </c>
      <c r="L137" s="30">
        <v>12.1</v>
      </c>
      <c r="M137" s="30">
        <v>2.7666666666666702</v>
      </c>
      <c r="N137" s="30">
        <v>25.6666666666667</v>
      </c>
      <c r="O137" s="30">
        <v>49.633333333333297</v>
      </c>
      <c r="P137" s="32">
        <v>0.32468085106382999</v>
      </c>
      <c r="Q137" s="32">
        <v>0.63177360242781999</v>
      </c>
      <c r="R137" s="30">
        <v>0</v>
      </c>
    </row>
    <row r="138" spans="1:18" ht="18.600000000000001" customHeight="1">
      <c r="A138" s="25" t="s">
        <v>617</v>
      </c>
      <c r="B138" s="26" t="s">
        <v>122</v>
      </c>
      <c r="C138" s="123" t="s">
        <v>15</v>
      </c>
      <c r="D138" s="30">
        <v>280.66666666666703</v>
      </c>
      <c r="E138" s="30">
        <v>36.4</v>
      </c>
      <c r="F138" s="30">
        <v>9.1999999999999993</v>
      </c>
      <c r="G138" s="30">
        <v>33.1666666666667</v>
      </c>
      <c r="H138" s="30">
        <v>2.4</v>
      </c>
      <c r="I138" s="32">
        <v>0.24275534441805199</v>
      </c>
      <c r="J138" s="32">
        <v>0.29297815523355097</v>
      </c>
      <c r="K138" s="30">
        <v>68.133333333333297</v>
      </c>
      <c r="L138" s="30">
        <v>13.3</v>
      </c>
      <c r="M138" s="30">
        <v>1.93333333333333</v>
      </c>
      <c r="N138" s="30">
        <v>21.1</v>
      </c>
      <c r="O138" s="30">
        <v>69.599999999999994</v>
      </c>
      <c r="P138" s="32">
        <v>0.40225653206650802</v>
      </c>
      <c r="Q138" s="32">
        <v>0.695234687300059</v>
      </c>
      <c r="R138" s="30">
        <v>0</v>
      </c>
    </row>
    <row r="139" spans="1:18" ht="18.600000000000001" customHeight="1">
      <c r="A139" s="25" t="s">
        <v>632</v>
      </c>
      <c r="B139" s="26" t="s">
        <v>219</v>
      </c>
      <c r="C139" s="123" t="s">
        <v>15</v>
      </c>
      <c r="D139" s="30">
        <v>256.66666666666703</v>
      </c>
      <c r="E139" s="30">
        <v>34.366666666666703</v>
      </c>
      <c r="F139" s="30">
        <v>12.6</v>
      </c>
      <c r="G139" s="30">
        <v>36.5</v>
      </c>
      <c r="H139" s="30">
        <v>1.2</v>
      </c>
      <c r="I139" s="32">
        <v>0.23103896103896099</v>
      </c>
      <c r="J139" s="32">
        <v>0.30441841586454799</v>
      </c>
      <c r="K139" s="30">
        <v>59.3</v>
      </c>
      <c r="L139" s="30">
        <v>11.3333333333333</v>
      </c>
      <c r="M139" s="30">
        <v>1</v>
      </c>
      <c r="N139" s="30">
        <v>28.2</v>
      </c>
      <c r="O139" s="30">
        <v>86.566666666666706</v>
      </c>
      <c r="P139" s="32">
        <v>0.43025974025974001</v>
      </c>
      <c r="Q139" s="32">
        <v>0.73467815612428899</v>
      </c>
      <c r="R139" s="30">
        <v>0</v>
      </c>
    </row>
    <row r="140" spans="1:18" ht="20.100000000000001" customHeight="1">
      <c r="A140" s="25" t="s">
        <v>637</v>
      </c>
      <c r="B140" s="26" t="s">
        <v>87</v>
      </c>
      <c r="C140" s="123" t="s">
        <v>15</v>
      </c>
      <c r="D140" s="30">
        <v>274.33333333333297</v>
      </c>
      <c r="E140" s="30">
        <v>34.299999999999997</v>
      </c>
      <c r="F140" s="30">
        <v>11.633333333333301</v>
      </c>
      <c r="G140" s="30">
        <v>37.1</v>
      </c>
      <c r="H140" s="30">
        <v>3.6333333333333302</v>
      </c>
      <c r="I140" s="32">
        <v>0.224179829890644</v>
      </c>
      <c r="J140" s="32">
        <v>0.29835201197747702</v>
      </c>
      <c r="K140" s="30">
        <v>61.5</v>
      </c>
      <c r="L140" s="30">
        <v>9.3666666666666707</v>
      </c>
      <c r="M140" s="30">
        <v>0.93333333333333302</v>
      </c>
      <c r="N140" s="30">
        <v>30.1666666666667</v>
      </c>
      <c r="O140" s="30">
        <v>88.8333333333333</v>
      </c>
      <c r="P140" s="32">
        <v>0.39234507897934401</v>
      </c>
      <c r="Q140" s="32">
        <v>0.69069709095682097</v>
      </c>
      <c r="R140" s="30">
        <v>0</v>
      </c>
    </row>
    <row r="141" spans="1:18" ht="18.600000000000001" customHeight="1">
      <c r="A141" s="25" t="s">
        <v>649</v>
      </c>
      <c r="B141" s="26" t="s">
        <v>87</v>
      </c>
      <c r="C141" s="123" t="s">
        <v>15</v>
      </c>
      <c r="D141" s="30">
        <v>246</v>
      </c>
      <c r="E141" s="30">
        <v>29.366666666666699</v>
      </c>
      <c r="F141" s="30">
        <v>7.1333333333333302</v>
      </c>
      <c r="G141" s="30">
        <v>28.933333333333302</v>
      </c>
      <c r="H141" s="30">
        <v>5.2666666666666702</v>
      </c>
      <c r="I141" s="32">
        <v>0.23902439024390201</v>
      </c>
      <c r="J141" s="32">
        <v>0.28011842404919202</v>
      </c>
      <c r="K141" s="30">
        <v>58.8</v>
      </c>
      <c r="L141" s="30">
        <v>12.866666666666699</v>
      </c>
      <c r="M141" s="30">
        <v>0.93333333333333302</v>
      </c>
      <c r="N141" s="30">
        <v>15</v>
      </c>
      <c r="O141" s="30">
        <v>63.733333333333299</v>
      </c>
      <c r="P141" s="32">
        <v>0.38590785907859099</v>
      </c>
      <c r="Q141" s="32">
        <v>0.666026283127782</v>
      </c>
      <c r="R141" s="30">
        <v>0</v>
      </c>
    </row>
    <row r="142" spans="1:18" ht="18.600000000000001" customHeight="1">
      <c r="A142" s="25" t="s">
        <v>668</v>
      </c>
      <c r="B142" s="26" t="s">
        <v>178</v>
      </c>
      <c r="C142" s="123" t="s">
        <v>15</v>
      </c>
      <c r="D142" s="30">
        <v>195.333333333333</v>
      </c>
      <c r="E142" s="30">
        <v>25.6</v>
      </c>
      <c r="F142" s="30">
        <v>7.8333333333333304</v>
      </c>
      <c r="G142" s="30">
        <v>26.533333333333299</v>
      </c>
      <c r="H142" s="30">
        <v>0.66666666666666696</v>
      </c>
      <c r="I142" s="32">
        <v>0.24914675767918101</v>
      </c>
      <c r="J142" s="32">
        <v>0.29156603533748598</v>
      </c>
      <c r="K142" s="30">
        <v>48.6666666666667</v>
      </c>
      <c r="L142" s="30">
        <v>12.3</v>
      </c>
      <c r="M142" s="30">
        <v>0.93333333333333302</v>
      </c>
      <c r="N142" s="30">
        <v>12.5</v>
      </c>
      <c r="O142" s="30">
        <v>57.8333333333333</v>
      </c>
      <c r="P142" s="32">
        <v>0.44197952218429998</v>
      </c>
      <c r="Q142" s="32">
        <v>0.73354555752178596</v>
      </c>
      <c r="R142" s="30">
        <v>0</v>
      </c>
    </row>
    <row r="143" spans="1:18" ht="20.100000000000001" customHeight="1">
      <c r="A143" s="25" t="s">
        <v>669</v>
      </c>
      <c r="B143" s="26" t="s">
        <v>97</v>
      </c>
      <c r="C143" s="123" t="s">
        <v>15</v>
      </c>
      <c r="D143" s="30">
        <v>204.333333333333</v>
      </c>
      <c r="E143" s="30">
        <v>24.266666666666701</v>
      </c>
      <c r="F143" s="30">
        <v>1.7666666666666699</v>
      </c>
      <c r="G143" s="30">
        <v>17.8333333333333</v>
      </c>
      <c r="H143" s="30">
        <v>1.4</v>
      </c>
      <c r="I143" s="32">
        <v>0.27145187601957599</v>
      </c>
      <c r="J143" s="32">
        <v>0.34974074659236198</v>
      </c>
      <c r="K143" s="30">
        <v>55.466666666666697</v>
      </c>
      <c r="L143" s="30">
        <v>9.4</v>
      </c>
      <c r="M143" s="30">
        <v>0.9</v>
      </c>
      <c r="N143" s="30">
        <v>25.7</v>
      </c>
      <c r="O143" s="30">
        <v>35.266666666666701</v>
      </c>
      <c r="P143" s="32">
        <v>0.35220228384991797</v>
      </c>
      <c r="Q143" s="32">
        <v>0.70194303044228001</v>
      </c>
      <c r="R143" s="30">
        <v>0</v>
      </c>
    </row>
    <row r="144" spans="1:18" ht="20.100000000000001" customHeight="1">
      <c r="A144" s="25" t="s">
        <v>675</v>
      </c>
      <c r="B144" s="26" t="s">
        <v>309</v>
      </c>
      <c r="C144" s="123" t="s">
        <v>15</v>
      </c>
      <c r="D144" s="30">
        <v>172.5</v>
      </c>
      <c r="E144" s="30">
        <v>20.85</v>
      </c>
      <c r="F144" s="30">
        <v>4.75</v>
      </c>
      <c r="G144" s="30">
        <v>20.100000000000001</v>
      </c>
      <c r="H144" s="30">
        <v>2.75</v>
      </c>
      <c r="I144" s="32">
        <v>0.25855072463768097</v>
      </c>
      <c r="J144" s="32">
        <v>0.30430699047363502</v>
      </c>
      <c r="K144" s="30">
        <v>44.6</v>
      </c>
      <c r="L144" s="30">
        <v>11</v>
      </c>
      <c r="M144" s="30">
        <v>0.75</v>
      </c>
      <c r="N144" s="30">
        <v>12.1</v>
      </c>
      <c r="O144" s="30">
        <v>38.75</v>
      </c>
      <c r="P144" s="32">
        <v>0.41362318840579698</v>
      </c>
      <c r="Q144" s="32">
        <v>0.717930178879432</v>
      </c>
      <c r="R144" s="30">
        <v>0</v>
      </c>
    </row>
    <row r="145" spans="1:18" ht="20.100000000000001" customHeight="1">
      <c r="A145" s="25" t="s">
        <v>695</v>
      </c>
      <c r="B145" s="26" t="s">
        <v>116</v>
      </c>
      <c r="C145" s="123" t="s">
        <v>15</v>
      </c>
      <c r="D145" s="30">
        <v>157.666666666667</v>
      </c>
      <c r="E145" s="30">
        <v>19.966666666666701</v>
      </c>
      <c r="F145" s="30">
        <v>6.6</v>
      </c>
      <c r="G145" s="30">
        <v>21.466666666666701</v>
      </c>
      <c r="H145" s="30">
        <v>0.5</v>
      </c>
      <c r="I145" s="32">
        <v>0.24968287526427099</v>
      </c>
      <c r="J145" s="32">
        <v>0.29791304687347497</v>
      </c>
      <c r="K145" s="30">
        <v>39.366666666666703</v>
      </c>
      <c r="L145" s="30">
        <v>8.1333333333333293</v>
      </c>
      <c r="M145" s="30">
        <v>1.2333333333333301</v>
      </c>
      <c r="N145" s="30">
        <v>11.5</v>
      </c>
      <c r="O145" s="30">
        <v>49.566666666666698</v>
      </c>
      <c r="P145" s="32">
        <v>0.44249471458773798</v>
      </c>
      <c r="Q145" s="32">
        <v>0.74040776146121301</v>
      </c>
      <c r="R145" s="30">
        <v>0</v>
      </c>
    </row>
    <row r="146" spans="1:18" ht="20.100000000000001" customHeight="1">
      <c r="A146" s="25" t="s">
        <v>692</v>
      </c>
      <c r="B146" s="26" t="s">
        <v>119</v>
      </c>
      <c r="C146" s="123" t="s">
        <v>15</v>
      </c>
      <c r="D146" s="30">
        <v>188</v>
      </c>
      <c r="E146" s="30">
        <v>19.6666666666667</v>
      </c>
      <c r="F146" s="30">
        <v>2.2999999999999998</v>
      </c>
      <c r="G146" s="30">
        <v>17.133333333333301</v>
      </c>
      <c r="H146" s="30">
        <v>2.0333333333333301</v>
      </c>
      <c r="I146" s="32">
        <v>0.26099290780141798</v>
      </c>
      <c r="J146" s="32">
        <v>0.31526566602911099</v>
      </c>
      <c r="K146" s="30">
        <v>49.066666666666698</v>
      </c>
      <c r="L146" s="30">
        <v>8.1</v>
      </c>
      <c r="M146" s="30">
        <v>0.1</v>
      </c>
      <c r="N146" s="30">
        <v>15.766666666666699</v>
      </c>
      <c r="O146" s="30">
        <v>40.533333333333303</v>
      </c>
      <c r="P146" s="32">
        <v>0.341843971631206</v>
      </c>
      <c r="Q146" s="32">
        <v>0.65710963766031705</v>
      </c>
      <c r="R146" s="30">
        <v>0</v>
      </c>
    </row>
    <row r="147" spans="1:18" ht="18.600000000000001" customHeight="1">
      <c r="A147" s="25" t="s">
        <v>696</v>
      </c>
      <c r="B147" s="26" t="s">
        <v>136</v>
      </c>
      <c r="C147" s="123" t="s">
        <v>15</v>
      </c>
      <c r="D147" s="30">
        <v>186.333333333333</v>
      </c>
      <c r="E147" s="30">
        <v>23.6</v>
      </c>
      <c r="F147" s="30">
        <v>3.1333333333333302</v>
      </c>
      <c r="G147" s="30">
        <v>14.8333333333333</v>
      </c>
      <c r="H147" s="30">
        <v>0.66666666666666696</v>
      </c>
      <c r="I147" s="32">
        <v>0.25974955277280898</v>
      </c>
      <c r="J147" s="32">
        <v>0.31838645191698201</v>
      </c>
      <c r="K147" s="30">
        <v>48.4</v>
      </c>
      <c r="L147" s="30">
        <v>5.93333333333333</v>
      </c>
      <c r="M147" s="30">
        <v>0.46666666666666701</v>
      </c>
      <c r="N147" s="30">
        <v>16.899999999999999</v>
      </c>
      <c r="O147" s="30">
        <v>39.133333333333297</v>
      </c>
      <c r="P147" s="32">
        <v>0.34704830053667302</v>
      </c>
      <c r="Q147" s="32">
        <v>0.66543475245365502</v>
      </c>
      <c r="R147" s="30">
        <v>0</v>
      </c>
    </row>
    <row r="148" spans="1:18" ht="18.600000000000001" customHeight="1">
      <c r="A148" s="25" t="s">
        <v>706</v>
      </c>
      <c r="B148" s="26" t="s">
        <v>309</v>
      </c>
      <c r="C148" s="123" t="s">
        <v>15</v>
      </c>
      <c r="D148" s="30">
        <v>185.333333333333</v>
      </c>
      <c r="E148" s="30">
        <v>19.933333333333302</v>
      </c>
      <c r="F148" s="30">
        <v>3.3666666666666698</v>
      </c>
      <c r="G148" s="30">
        <v>19.3</v>
      </c>
      <c r="H148" s="30">
        <v>2.2999999999999998</v>
      </c>
      <c r="I148" s="32">
        <v>0.24748201438848899</v>
      </c>
      <c r="J148" s="32">
        <v>0.28537234939149803</v>
      </c>
      <c r="K148" s="30">
        <v>45.866666666666703</v>
      </c>
      <c r="L148" s="30">
        <v>10.1</v>
      </c>
      <c r="M148" s="30">
        <v>0.96666666666666701</v>
      </c>
      <c r="N148" s="30">
        <v>10.5666666666667</v>
      </c>
      <c r="O148" s="30">
        <v>28.466666666666701</v>
      </c>
      <c r="P148" s="32">
        <v>0.36690647482014399</v>
      </c>
      <c r="Q148" s="32">
        <v>0.65227882421164196</v>
      </c>
      <c r="R148" s="30">
        <v>0</v>
      </c>
    </row>
    <row r="149" spans="1:18" ht="18.600000000000001" customHeight="1">
      <c r="A149" s="25" t="s">
        <v>718</v>
      </c>
      <c r="B149" s="26" t="s">
        <v>99</v>
      </c>
      <c r="C149" s="123" t="s">
        <v>15</v>
      </c>
      <c r="D149" s="30">
        <v>167</v>
      </c>
      <c r="E149" s="30">
        <v>20.95</v>
      </c>
      <c r="F149" s="30">
        <v>5.9</v>
      </c>
      <c r="G149" s="30">
        <v>20.75</v>
      </c>
      <c r="H149" s="30">
        <v>1.8</v>
      </c>
      <c r="I149" s="32">
        <v>0.22874251497006001</v>
      </c>
      <c r="J149" s="32">
        <v>0.29464237443909802</v>
      </c>
      <c r="K149" s="30">
        <v>38.200000000000003</v>
      </c>
      <c r="L149" s="30">
        <v>7.6</v>
      </c>
      <c r="M149" s="30">
        <v>0.25</v>
      </c>
      <c r="N149" s="30">
        <v>16.3</v>
      </c>
      <c r="O149" s="30">
        <v>51.9</v>
      </c>
      <c r="P149" s="32">
        <v>0.38323353293413198</v>
      </c>
      <c r="Q149" s="32">
        <v>0.67787590737323</v>
      </c>
      <c r="R149" s="30">
        <v>0</v>
      </c>
    </row>
    <row r="150" spans="1:18" ht="18.600000000000001" customHeight="1">
      <c r="A150" s="25" t="s">
        <v>717</v>
      </c>
      <c r="B150" s="26" t="s">
        <v>79</v>
      </c>
      <c r="C150" s="123" t="s">
        <v>15</v>
      </c>
      <c r="D150" s="30">
        <v>131</v>
      </c>
      <c r="E150" s="30">
        <v>15.733333333333301</v>
      </c>
      <c r="F150" s="30">
        <v>2.6</v>
      </c>
      <c r="G150" s="30">
        <v>13.766666666666699</v>
      </c>
      <c r="H150" s="30">
        <v>2.6</v>
      </c>
      <c r="I150" s="32">
        <v>0.24681933842239201</v>
      </c>
      <c r="J150" s="32">
        <v>0.315275209460539</v>
      </c>
      <c r="K150" s="30">
        <v>32.3333333333333</v>
      </c>
      <c r="L150" s="30">
        <v>6.6</v>
      </c>
      <c r="M150" s="30">
        <v>0.83333333333333304</v>
      </c>
      <c r="N150" s="30">
        <v>13.7</v>
      </c>
      <c r="O150" s="30">
        <v>34.966666666666697</v>
      </c>
      <c r="P150" s="32">
        <v>0.36946564885496203</v>
      </c>
      <c r="Q150" s="32">
        <v>0.68474085831550102</v>
      </c>
      <c r="R150" s="30">
        <v>0</v>
      </c>
    </row>
    <row r="151" spans="1:18" ht="20.100000000000001" customHeight="1">
      <c r="A151" s="25" t="s">
        <v>721</v>
      </c>
      <c r="B151" s="26" t="s">
        <v>309</v>
      </c>
      <c r="C151" s="123" t="s">
        <v>15</v>
      </c>
      <c r="D151" s="30">
        <v>169.5</v>
      </c>
      <c r="E151" s="30">
        <v>20.9</v>
      </c>
      <c r="F151" s="30">
        <v>4.9000000000000004</v>
      </c>
      <c r="G151" s="30">
        <v>19.25</v>
      </c>
      <c r="H151" s="30">
        <v>1</v>
      </c>
      <c r="I151" s="32">
        <v>0.23274336283185801</v>
      </c>
      <c r="J151" s="32">
        <v>0.305856318659606</v>
      </c>
      <c r="K151" s="30">
        <v>39.450000000000003</v>
      </c>
      <c r="L151" s="30">
        <v>8.0500000000000007</v>
      </c>
      <c r="M151" s="30">
        <v>0.7</v>
      </c>
      <c r="N151" s="30">
        <v>18.600000000000001</v>
      </c>
      <c r="O151" s="30">
        <v>42.85</v>
      </c>
      <c r="P151" s="32">
        <v>0.37522123893805298</v>
      </c>
      <c r="Q151" s="32">
        <v>0.68107755759765998</v>
      </c>
      <c r="R151" s="30">
        <v>0</v>
      </c>
    </row>
    <row r="152" spans="1:18" ht="20.100000000000001" customHeight="1">
      <c r="A152" s="25" t="s">
        <v>719</v>
      </c>
      <c r="B152" s="26" t="s">
        <v>92</v>
      </c>
      <c r="C152" s="123" t="s">
        <v>15</v>
      </c>
      <c r="D152" s="30">
        <v>116</v>
      </c>
      <c r="E152" s="30">
        <v>14.1666666666667</v>
      </c>
      <c r="F152" s="30">
        <v>2.9666666666666699</v>
      </c>
      <c r="G152" s="30">
        <v>13.8</v>
      </c>
      <c r="H152" s="30">
        <v>3.4</v>
      </c>
      <c r="I152" s="32">
        <v>0.24339080459770099</v>
      </c>
      <c r="J152" s="32">
        <v>0.29251087302429202</v>
      </c>
      <c r="K152" s="30">
        <v>28.233333333333299</v>
      </c>
      <c r="L152" s="30">
        <v>5.43333333333333</v>
      </c>
      <c r="M152" s="30">
        <v>0.5</v>
      </c>
      <c r="N152" s="30">
        <v>8.5333333333333297</v>
      </c>
      <c r="O152" s="30">
        <v>30.1666666666667</v>
      </c>
      <c r="P152" s="32">
        <v>0.37557471264367798</v>
      </c>
      <c r="Q152" s="32">
        <v>0.66808558566797005</v>
      </c>
      <c r="R152" s="30">
        <v>0</v>
      </c>
    </row>
    <row r="153" spans="1:18" ht="18.600000000000001" customHeight="1">
      <c r="A153" s="25" t="s">
        <v>731</v>
      </c>
      <c r="B153" s="26" t="s">
        <v>260</v>
      </c>
      <c r="C153" s="123" t="s">
        <v>15</v>
      </c>
      <c r="D153" s="30">
        <v>150.666666666667</v>
      </c>
      <c r="E153" s="30">
        <v>18.133333333333301</v>
      </c>
      <c r="F153" s="30">
        <v>3.8666666666666698</v>
      </c>
      <c r="G153" s="30">
        <v>17.2</v>
      </c>
      <c r="H153" s="30">
        <v>0.56666666666666698</v>
      </c>
      <c r="I153" s="32">
        <v>0.224115044247788</v>
      </c>
      <c r="J153" s="32">
        <v>0.305016434496791</v>
      </c>
      <c r="K153" s="30">
        <v>33.766666666666701</v>
      </c>
      <c r="L153" s="30">
        <v>6.4666666666666703</v>
      </c>
      <c r="M153" s="30">
        <v>0.133333333333333</v>
      </c>
      <c r="N153" s="30">
        <v>18.2</v>
      </c>
      <c r="O153" s="30">
        <v>41.433333333333302</v>
      </c>
      <c r="P153" s="32">
        <v>0.34579646017699101</v>
      </c>
      <c r="Q153" s="32">
        <v>0.650812894673783</v>
      </c>
      <c r="R153" s="30">
        <v>0</v>
      </c>
    </row>
    <row r="154" spans="1:18" ht="18.600000000000001" customHeight="1">
      <c r="A154" s="25" t="s">
        <v>131</v>
      </c>
      <c r="B154" s="26" t="s">
        <v>92</v>
      </c>
      <c r="C154" s="124" t="s">
        <v>19</v>
      </c>
      <c r="D154" s="30">
        <v>484</v>
      </c>
      <c r="E154" s="30">
        <v>69.6666666666667</v>
      </c>
      <c r="F154" s="30">
        <v>20.399999999999999</v>
      </c>
      <c r="G154" s="30">
        <v>76.3333333333333</v>
      </c>
      <c r="H154" s="30">
        <v>14.5666666666667</v>
      </c>
      <c r="I154" s="32">
        <v>0.26446280991735499</v>
      </c>
      <c r="J154" s="32">
        <v>0.32016177652733102</v>
      </c>
      <c r="K154" s="30">
        <v>128</v>
      </c>
      <c r="L154" s="30">
        <v>23.8333333333333</v>
      </c>
      <c r="M154" s="30">
        <v>3.7666666666666702</v>
      </c>
      <c r="N154" s="30">
        <v>41.933333333333302</v>
      </c>
      <c r="O154" s="30">
        <v>121.26666666666701</v>
      </c>
      <c r="P154" s="32">
        <v>0.45571625344352601</v>
      </c>
      <c r="Q154" s="32">
        <v>0.77587802997085697</v>
      </c>
      <c r="R154" s="30">
        <v>0</v>
      </c>
    </row>
    <row r="155" spans="1:18" ht="20.100000000000001" customHeight="1">
      <c r="A155" s="25" t="s">
        <v>144</v>
      </c>
      <c r="B155" s="26" t="s">
        <v>95</v>
      </c>
      <c r="C155" s="124" t="s">
        <v>19</v>
      </c>
      <c r="D155" s="30">
        <v>481.33333333333297</v>
      </c>
      <c r="E155" s="30">
        <v>70.6666666666667</v>
      </c>
      <c r="F155" s="30">
        <v>25.133333333333301</v>
      </c>
      <c r="G155" s="30">
        <v>71.900000000000006</v>
      </c>
      <c r="H155" s="30">
        <v>15.2</v>
      </c>
      <c r="I155" s="32">
        <v>0.24314404432132999</v>
      </c>
      <c r="J155" s="32">
        <v>0.30405872519074401</v>
      </c>
      <c r="K155" s="30">
        <v>117.033333333333</v>
      </c>
      <c r="L155" s="30">
        <v>23.366666666666699</v>
      </c>
      <c r="M155" s="30">
        <v>2.6333333333333302</v>
      </c>
      <c r="N155" s="30">
        <v>44.233333333333299</v>
      </c>
      <c r="O155" s="30">
        <v>128.166666666667</v>
      </c>
      <c r="P155" s="32">
        <v>0.45927977839335199</v>
      </c>
      <c r="Q155" s="32">
        <v>0.76333850358409605</v>
      </c>
      <c r="R155" s="30">
        <v>0</v>
      </c>
    </row>
    <row r="156" spans="1:18" ht="18.600000000000001" customHeight="1">
      <c r="A156" s="25" t="s">
        <v>161</v>
      </c>
      <c r="B156" s="26" t="s">
        <v>82</v>
      </c>
      <c r="C156" s="124" t="s">
        <v>19</v>
      </c>
      <c r="D156" s="30">
        <v>459.66666666666703</v>
      </c>
      <c r="E156" s="30">
        <v>72</v>
      </c>
      <c r="F156" s="30">
        <v>24.533333333333299</v>
      </c>
      <c r="G156" s="30">
        <v>81.133333333333297</v>
      </c>
      <c r="H156" s="30">
        <v>1.8333333333333299</v>
      </c>
      <c r="I156" s="32">
        <v>0.26069615663524298</v>
      </c>
      <c r="J156" s="32">
        <v>0.33826665556615798</v>
      </c>
      <c r="K156" s="30">
        <v>119.833333333333</v>
      </c>
      <c r="L156" s="30">
        <v>24.9</v>
      </c>
      <c r="M156" s="30">
        <v>2</v>
      </c>
      <c r="N156" s="30">
        <v>56.233333333333299</v>
      </c>
      <c r="O156" s="30">
        <v>94.933333333333294</v>
      </c>
      <c r="P156" s="32">
        <v>0.48368382886149403</v>
      </c>
      <c r="Q156" s="32">
        <v>0.82195048442765195</v>
      </c>
      <c r="R156" s="30">
        <v>0</v>
      </c>
    </row>
    <row r="157" spans="1:18" ht="18.600000000000001" customHeight="1">
      <c r="A157" s="25" t="s">
        <v>166</v>
      </c>
      <c r="B157" s="26" t="s">
        <v>119</v>
      </c>
      <c r="C157" s="124" t="s">
        <v>19</v>
      </c>
      <c r="D157" s="30">
        <v>498.33333333333297</v>
      </c>
      <c r="E157" s="30">
        <v>64.5</v>
      </c>
      <c r="F157" s="30">
        <v>27.233333333333299</v>
      </c>
      <c r="G157" s="30">
        <v>81.033333333333303</v>
      </c>
      <c r="H157" s="30">
        <v>0.96666666666666701</v>
      </c>
      <c r="I157" s="32">
        <v>0.262006688963211</v>
      </c>
      <c r="J157" s="32">
        <v>0.290743031110266</v>
      </c>
      <c r="K157" s="30">
        <v>130.566666666667</v>
      </c>
      <c r="L157" s="30">
        <v>22.8</v>
      </c>
      <c r="M157" s="30">
        <v>1</v>
      </c>
      <c r="N157" s="30">
        <v>22.233333333333299</v>
      </c>
      <c r="O157" s="30">
        <v>127.933333333333</v>
      </c>
      <c r="P157" s="32">
        <v>0.47571906354515098</v>
      </c>
      <c r="Q157" s="32">
        <v>0.76646209465541604</v>
      </c>
      <c r="R157" s="30">
        <v>0</v>
      </c>
    </row>
    <row r="158" spans="1:18" ht="18.600000000000001" customHeight="1">
      <c r="A158" s="25" t="s">
        <v>200</v>
      </c>
      <c r="B158" s="26" t="s">
        <v>95</v>
      </c>
      <c r="C158" s="124" t="s">
        <v>19</v>
      </c>
      <c r="D158" s="30">
        <v>425.5</v>
      </c>
      <c r="E158" s="30">
        <v>63.6</v>
      </c>
      <c r="F158" s="30">
        <v>17.149999999999999</v>
      </c>
      <c r="G158" s="30">
        <v>68.150000000000006</v>
      </c>
      <c r="H158" s="30">
        <v>0.85</v>
      </c>
      <c r="I158" s="32">
        <v>0.28143360752056401</v>
      </c>
      <c r="J158" s="32">
        <v>0.35877175745415801</v>
      </c>
      <c r="K158" s="30">
        <v>119.75</v>
      </c>
      <c r="L158" s="30">
        <v>23.55</v>
      </c>
      <c r="M158" s="30">
        <v>0.85</v>
      </c>
      <c r="N158" s="30">
        <v>53.7</v>
      </c>
      <c r="O158" s="30">
        <v>57.5</v>
      </c>
      <c r="P158" s="32">
        <v>0.461692126909518</v>
      </c>
      <c r="Q158" s="32">
        <v>0.82046388436367601</v>
      </c>
      <c r="R158" s="30">
        <v>0</v>
      </c>
    </row>
    <row r="159" spans="1:18" ht="18.600000000000001" customHeight="1">
      <c r="A159" s="25" t="s">
        <v>202</v>
      </c>
      <c r="B159" s="26" t="s">
        <v>119</v>
      </c>
      <c r="C159" s="124" t="s">
        <v>19</v>
      </c>
      <c r="D159" s="30">
        <v>544.66666666666697</v>
      </c>
      <c r="E159" s="30">
        <v>78.483333333333306</v>
      </c>
      <c r="F159" s="30">
        <v>24.4166666666667</v>
      </c>
      <c r="G159" s="30">
        <v>72.05</v>
      </c>
      <c r="H159" s="30">
        <v>4.93333333333333</v>
      </c>
      <c r="I159" s="32">
        <v>0.22977356181150599</v>
      </c>
      <c r="J159" s="32">
        <v>0.31916541168680002</v>
      </c>
      <c r="K159" s="30">
        <v>125.15</v>
      </c>
      <c r="L159" s="30">
        <v>25.733333333333299</v>
      </c>
      <c r="M159" s="30">
        <v>3.3</v>
      </c>
      <c r="N159" s="30">
        <v>74.066666666666706</v>
      </c>
      <c r="O159" s="30">
        <v>149.01666666666699</v>
      </c>
      <c r="P159" s="32">
        <v>0.42362301101591199</v>
      </c>
      <c r="Q159" s="32">
        <v>0.74278842270271195</v>
      </c>
      <c r="R159" s="30">
        <v>0</v>
      </c>
    </row>
    <row r="160" spans="1:18" ht="18.600000000000001" customHeight="1">
      <c r="A160" s="25" t="s">
        <v>210</v>
      </c>
      <c r="B160" s="26" t="s">
        <v>101</v>
      </c>
      <c r="C160" s="124" t="s">
        <v>19</v>
      </c>
      <c r="D160" s="30">
        <v>482.066666666667</v>
      </c>
      <c r="E160" s="30">
        <v>78.900000000000006</v>
      </c>
      <c r="F160" s="30">
        <v>17.2</v>
      </c>
      <c r="G160" s="30">
        <v>59.066666666666698</v>
      </c>
      <c r="H160" s="30">
        <v>4.4000000000000004</v>
      </c>
      <c r="I160" s="32">
        <v>0.25667265938321099</v>
      </c>
      <c r="J160" s="32">
        <v>0.35060697566017501</v>
      </c>
      <c r="K160" s="30">
        <v>123.73333333333299</v>
      </c>
      <c r="L160" s="30">
        <v>34.6666666666667</v>
      </c>
      <c r="M160" s="30">
        <v>1.4666666666666699</v>
      </c>
      <c r="N160" s="30">
        <v>72.3333333333333</v>
      </c>
      <c r="O160" s="30">
        <v>101.7</v>
      </c>
      <c r="P160" s="32">
        <v>0.44170930714977202</v>
      </c>
      <c r="Q160" s="32">
        <v>0.79231628280994704</v>
      </c>
      <c r="R160" s="30">
        <v>0</v>
      </c>
    </row>
    <row r="161" spans="1:18" ht="18.600000000000001" customHeight="1">
      <c r="A161" s="25" t="s">
        <v>236</v>
      </c>
      <c r="B161" s="26" t="s">
        <v>225</v>
      </c>
      <c r="C161" s="124" t="s">
        <v>19</v>
      </c>
      <c r="D161" s="30">
        <v>425.66666666666703</v>
      </c>
      <c r="E161" s="30">
        <v>59.3333333333333</v>
      </c>
      <c r="F161" s="30">
        <v>14.4333333333333</v>
      </c>
      <c r="G161" s="30">
        <v>63.533333333333303</v>
      </c>
      <c r="H161" s="30">
        <v>1.6</v>
      </c>
      <c r="I161" s="32">
        <v>0.27447141738449499</v>
      </c>
      <c r="J161" s="32">
        <v>0.33393136997667</v>
      </c>
      <c r="K161" s="30">
        <v>116.833333333333</v>
      </c>
      <c r="L161" s="30">
        <v>24.5</v>
      </c>
      <c r="M161" s="30">
        <v>0.6</v>
      </c>
      <c r="N161" s="30">
        <v>40.133333333333297</v>
      </c>
      <c r="O161" s="30">
        <v>108</v>
      </c>
      <c r="P161" s="32">
        <v>0.43657008613938902</v>
      </c>
      <c r="Q161" s="32">
        <v>0.77050145611605902</v>
      </c>
      <c r="R161" s="30">
        <v>0</v>
      </c>
    </row>
    <row r="162" spans="1:18" ht="18.600000000000001" customHeight="1">
      <c r="A162" s="25" t="s">
        <v>249</v>
      </c>
      <c r="B162" s="26" t="s">
        <v>125</v>
      </c>
      <c r="C162" s="124" t="s">
        <v>19</v>
      </c>
      <c r="D162" s="30">
        <v>420.33333333333297</v>
      </c>
      <c r="E162" s="30">
        <v>65.766666666666694</v>
      </c>
      <c r="F162" s="30">
        <v>19.5</v>
      </c>
      <c r="G162" s="30">
        <v>59.233333333333299</v>
      </c>
      <c r="H162" s="30">
        <v>4.5333333333333297</v>
      </c>
      <c r="I162" s="32">
        <v>0.24361617763679599</v>
      </c>
      <c r="J162" s="32">
        <v>0.31591763348457902</v>
      </c>
      <c r="K162" s="30">
        <v>102.4</v>
      </c>
      <c r="L162" s="30">
        <v>20.7</v>
      </c>
      <c r="M162" s="30">
        <v>1.43333333333333</v>
      </c>
      <c r="N162" s="30">
        <v>46.366666666666703</v>
      </c>
      <c r="O162" s="30">
        <v>115.133333333333</v>
      </c>
      <c r="P162" s="32">
        <v>0.43885804916732701</v>
      </c>
      <c r="Q162" s="32">
        <v>0.75477568265190698</v>
      </c>
      <c r="R162" s="30">
        <v>0</v>
      </c>
    </row>
    <row r="163" spans="1:18" ht="18.600000000000001" customHeight="1">
      <c r="A163" s="25" t="s">
        <v>270</v>
      </c>
      <c r="B163" s="26" t="s">
        <v>74</v>
      </c>
      <c r="C163" s="124" t="s">
        <v>19</v>
      </c>
      <c r="D163" s="30">
        <v>450.66666666666703</v>
      </c>
      <c r="E163" s="30">
        <v>62.1666666666667</v>
      </c>
      <c r="F163" s="30">
        <v>18.899999999999999</v>
      </c>
      <c r="G163" s="30">
        <v>64.1666666666667</v>
      </c>
      <c r="H163" s="30">
        <v>0.96666666666666701</v>
      </c>
      <c r="I163" s="32">
        <v>0.246079881656805</v>
      </c>
      <c r="J163" s="32">
        <v>0.31809958933593901</v>
      </c>
      <c r="K163" s="30">
        <v>110.9</v>
      </c>
      <c r="L163" s="30">
        <v>26.766666666666701</v>
      </c>
      <c r="M163" s="30">
        <v>1.43333333333333</v>
      </c>
      <c r="N163" s="30">
        <v>49.7</v>
      </c>
      <c r="O163" s="30">
        <v>113.133333333333</v>
      </c>
      <c r="P163" s="32">
        <v>0.437647928994083</v>
      </c>
      <c r="Q163" s="32">
        <v>0.75574751833002196</v>
      </c>
      <c r="R163" s="30">
        <v>0</v>
      </c>
    </row>
    <row r="164" spans="1:18" ht="20.100000000000001" customHeight="1">
      <c r="A164" s="25" t="s">
        <v>337</v>
      </c>
      <c r="B164" s="26" t="s">
        <v>99</v>
      </c>
      <c r="C164" s="124" t="s">
        <v>19</v>
      </c>
      <c r="D164" s="30">
        <v>343.33333333333297</v>
      </c>
      <c r="E164" s="30">
        <v>47.5</v>
      </c>
      <c r="F164" s="30">
        <v>17.6666666666667</v>
      </c>
      <c r="G164" s="30">
        <v>51.3333333333333</v>
      </c>
      <c r="H164" s="30">
        <v>1.5</v>
      </c>
      <c r="I164" s="32">
        <v>0.25271844660194198</v>
      </c>
      <c r="J164" s="32">
        <v>0.32162115150461001</v>
      </c>
      <c r="K164" s="30">
        <v>86.766666666666694</v>
      </c>
      <c r="L164" s="30">
        <v>14.633333333333301</v>
      </c>
      <c r="M164" s="30">
        <v>1.06666666666667</v>
      </c>
      <c r="N164" s="30">
        <v>36.5</v>
      </c>
      <c r="O164" s="30">
        <v>101.7</v>
      </c>
      <c r="P164" s="32">
        <v>0.45592233009708699</v>
      </c>
      <c r="Q164" s="32">
        <v>0.77754348160169695</v>
      </c>
      <c r="R164" s="30">
        <v>0</v>
      </c>
    </row>
    <row r="165" spans="1:18" ht="18.600000000000001" customHeight="1">
      <c r="A165" s="25" t="s">
        <v>328</v>
      </c>
      <c r="B165" s="26" t="s">
        <v>309</v>
      </c>
      <c r="C165" s="124" t="s">
        <v>19</v>
      </c>
      <c r="D165" s="30">
        <v>404</v>
      </c>
      <c r="E165" s="30">
        <v>45.633333333333297</v>
      </c>
      <c r="F165" s="30">
        <v>12.266666666666699</v>
      </c>
      <c r="G165" s="30">
        <v>50.633333333333297</v>
      </c>
      <c r="H165" s="30">
        <v>4.6333333333333302</v>
      </c>
      <c r="I165" s="32">
        <v>0.26031353135313501</v>
      </c>
      <c r="J165" s="32">
        <v>0.31129672861777302</v>
      </c>
      <c r="K165" s="30">
        <v>105.166666666667</v>
      </c>
      <c r="L165" s="30">
        <v>22.866666666666699</v>
      </c>
      <c r="M165" s="30">
        <v>0.53333333333333299</v>
      </c>
      <c r="N165" s="30">
        <v>31.733333333333299</v>
      </c>
      <c r="O165" s="30">
        <v>53.7</v>
      </c>
      <c r="P165" s="32">
        <v>0.41064356435643601</v>
      </c>
      <c r="Q165" s="32">
        <v>0.72194029297420803</v>
      </c>
      <c r="R165" s="30">
        <v>0</v>
      </c>
    </row>
    <row r="166" spans="1:18" ht="18.600000000000001" customHeight="1">
      <c r="A166" s="25" t="s">
        <v>380</v>
      </c>
      <c r="B166" s="26" t="s">
        <v>95</v>
      </c>
      <c r="C166" s="124" t="s">
        <v>19</v>
      </c>
      <c r="D166" s="30">
        <v>316</v>
      </c>
      <c r="E166" s="30">
        <v>47.866666666666703</v>
      </c>
      <c r="F166" s="30">
        <v>17.8</v>
      </c>
      <c r="G166" s="30">
        <v>51.1</v>
      </c>
      <c r="H166" s="30">
        <v>1.7333333333333301</v>
      </c>
      <c r="I166" s="32">
        <v>0.23713080168776399</v>
      </c>
      <c r="J166" s="32">
        <v>0.30904015541598301</v>
      </c>
      <c r="K166" s="30">
        <v>74.933333333333294</v>
      </c>
      <c r="L166" s="30">
        <v>15.7</v>
      </c>
      <c r="M166" s="30">
        <v>0.53333333333333299</v>
      </c>
      <c r="N166" s="30">
        <v>34.299999999999997</v>
      </c>
      <c r="O166" s="30">
        <v>71.866666666666703</v>
      </c>
      <c r="P166" s="32">
        <v>0.45917721518987298</v>
      </c>
      <c r="Q166" s="32">
        <v>0.76821737060585604</v>
      </c>
      <c r="R166" s="30">
        <v>0</v>
      </c>
    </row>
    <row r="167" spans="1:18" ht="20.100000000000001" customHeight="1">
      <c r="A167" s="25" t="s">
        <v>386</v>
      </c>
      <c r="B167" s="26" t="s">
        <v>74</v>
      </c>
      <c r="C167" s="124" t="s">
        <v>19</v>
      </c>
      <c r="D167" s="30">
        <v>326.33333333333297</v>
      </c>
      <c r="E167" s="30">
        <v>43.366666666666703</v>
      </c>
      <c r="F167" s="30">
        <v>13.3333333333333</v>
      </c>
      <c r="G167" s="30">
        <v>47.366666666666703</v>
      </c>
      <c r="H167" s="30">
        <v>0.233333333333333</v>
      </c>
      <c r="I167" s="32">
        <v>0.25985699693564901</v>
      </c>
      <c r="J167" s="32">
        <v>0.303625105491234</v>
      </c>
      <c r="K167" s="30">
        <v>84.8</v>
      </c>
      <c r="L167" s="30">
        <v>17.733333333333299</v>
      </c>
      <c r="M167" s="30">
        <v>0.56666666666666698</v>
      </c>
      <c r="N167" s="30">
        <v>21.933333333333302</v>
      </c>
      <c r="O167" s="30">
        <v>79.433333333333294</v>
      </c>
      <c r="P167" s="32">
        <v>0.44024514811031701</v>
      </c>
      <c r="Q167" s="32">
        <v>0.74387025360155001</v>
      </c>
      <c r="R167" s="30">
        <v>0</v>
      </c>
    </row>
    <row r="168" spans="1:18" ht="18.600000000000001" customHeight="1">
      <c r="A168" s="25" t="s">
        <v>397</v>
      </c>
      <c r="B168" s="26" t="s">
        <v>142</v>
      </c>
      <c r="C168" s="124" t="s">
        <v>19</v>
      </c>
      <c r="D168" s="30">
        <v>420</v>
      </c>
      <c r="E168" s="30">
        <v>48.1</v>
      </c>
      <c r="F168" s="30">
        <v>17.350000000000001</v>
      </c>
      <c r="G168" s="30">
        <v>54.5</v>
      </c>
      <c r="H168" s="30">
        <v>2.7</v>
      </c>
      <c r="I168" s="32">
        <v>0.22773809523809499</v>
      </c>
      <c r="J168" s="32">
        <v>0.28467232745482302</v>
      </c>
      <c r="K168" s="30">
        <v>95.65</v>
      </c>
      <c r="L168" s="30">
        <v>20.8</v>
      </c>
      <c r="M168" s="30">
        <v>1.65</v>
      </c>
      <c r="N168" s="30">
        <v>35.1</v>
      </c>
      <c r="O168" s="30">
        <v>125.55</v>
      </c>
      <c r="P168" s="32">
        <v>0.40904761904761899</v>
      </c>
      <c r="Q168" s="32">
        <v>0.69371994650244195</v>
      </c>
      <c r="R168" s="30">
        <v>0</v>
      </c>
    </row>
    <row r="169" spans="1:18" ht="18.600000000000001" customHeight="1">
      <c r="A169" s="25" t="s">
        <v>412</v>
      </c>
      <c r="B169" s="26" t="s">
        <v>72</v>
      </c>
      <c r="C169" s="124" t="s">
        <v>19</v>
      </c>
      <c r="D169" s="30">
        <v>386.33333333333297</v>
      </c>
      <c r="E169" s="30">
        <v>45.8</v>
      </c>
      <c r="F169" s="30">
        <v>20.566666666666698</v>
      </c>
      <c r="G169" s="30">
        <v>57.6666666666667</v>
      </c>
      <c r="H169" s="30">
        <v>1.7333333333333301</v>
      </c>
      <c r="I169" s="32">
        <v>0.215789473684211</v>
      </c>
      <c r="J169" s="32">
        <v>0.27531314212834301</v>
      </c>
      <c r="K169" s="30">
        <v>83.366666666666703</v>
      </c>
      <c r="L169" s="30">
        <v>22.466666666666701</v>
      </c>
      <c r="M169" s="30">
        <v>0.93333333333333302</v>
      </c>
      <c r="N169" s="30">
        <v>33.200000000000003</v>
      </c>
      <c r="O169" s="30">
        <v>122.366666666667</v>
      </c>
      <c r="P169" s="32">
        <v>0.43848144952545298</v>
      </c>
      <c r="Q169" s="32">
        <v>0.713794591653796</v>
      </c>
      <c r="R169" s="30">
        <v>0</v>
      </c>
    </row>
    <row r="170" spans="1:18" ht="18.600000000000001" customHeight="1">
      <c r="A170" s="25" t="s">
        <v>418</v>
      </c>
      <c r="B170" s="26" t="s">
        <v>158</v>
      </c>
      <c r="C170" s="124" t="s">
        <v>19</v>
      </c>
      <c r="D170" s="30">
        <v>346.66666666666703</v>
      </c>
      <c r="E170" s="30">
        <v>39.033333333333303</v>
      </c>
      <c r="F170" s="30">
        <v>7.7333333333333298</v>
      </c>
      <c r="G170" s="30">
        <v>40.266666666666701</v>
      </c>
      <c r="H170" s="30">
        <v>3.56666666666667</v>
      </c>
      <c r="I170" s="32">
        <v>0.26067307692307701</v>
      </c>
      <c r="J170" s="32">
        <v>0.304444841128169</v>
      </c>
      <c r="K170" s="30">
        <v>90.366666666666703</v>
      </c>
      <c r="L170" s="30">
        <v>18.066666666666698</v>
      </c>
      <c r="M170" s="30">
        <v>0.5</v>
      </c>
      <c r="N170" s="30">
        <v>23.3333333333333</v>
      </c>
      <c r="O170" s="30">
        <v>66.766666666666694</v>
      </c>
      <c r="P170" s="32">
        <v>0.38259615384615397</v>
      </c>
      <c r="Q170" s="32">
        <v>0.68704099497432203</v>
      </c>
      <c r="R170" s="30">
        <v>0</v>
      </c>
    </row>
    <row r="171" spans="1:18" ht="18.600000000000001" customHeight="1">
      <c r="A171" s="25" t="s">
        <v>448</v>
      </c>
      <c r="B171" s="26" t="s">
        <v>87</v>
      </c>
      <c r="C171" s="124" t="s">
        <v>19</v>
      </c>
      <c r="D171" s="30">
        <v>368.66666666666703</v>
      </c>
      <c r="E171" s="30">
        <v>43.7</v>
      </c>
      <c r="F171" s="30">
        <v>13.866666666666699</v>
      </c>
      <c r="G171" s="30">
        <v>46.966666666666697</v>
      </c>
      <c r="H171" s="30">
        <v>2.43333333333333</v>
      </c>
      <c r="I171" s="32">
        <v>0.229023508137432</v>
      </c>
      <c r="J171" s="32">
        <v>0.289296998420221</v>
      </c>
      <c r="K171" s="30">
        <v>84.433333333333294</v>
      </c>
      <c r="L171" s="30">
        <v>17.933333333333302</v>
      </c>
      <c r="M171" s="30">
        <v>0.96666666666666701</v>
      </c>
      <c r="N171" s="30">
        <v>32.766666666666701</v>
      </c>
      <c r="O171" s="30">
        <v>78.5</v>
      </c>
      <c r="P171" s="32">
        <v>0.395750452079566</v>
      </c>
      <c r="Q171" s="32">
        <v>0.68504745049978699</v>
      </c>
      <c r="R171" s="30">
        <v>0</v>
      </c>
    </row>
    <row r="172" spans="1:18" ht="18.600000000000001" customHeight="1">
      <c r="A172" s="25" t="s">
        <v>456</v>
      </c>
      <c r="B172" s="26" t="s">
        <v>178</v>
      </c>
      <c r="C172" s="124" t="s">
        <v>19</v>
      </c>
      <c r="D172" s="30">
        <v>325.66666666666703</v>
      </c>
      <c r="E172" s="30">
        <v>38.6666666666667</v>
      </c>
      <c r="F172" s="30">
        <v>11.466666666666701</v>
      </c>
      <c r="G172" s="30">
        <v>43.3333333333333</v>
      </c>
      <c r="H172" s="30">
        <v>0.43333333333333302</v>
      </c>
      <c r="I172" s="32">
        <v>0.24749232343909899</v>
      </c>
      <c r="J172" s="32">
        <v>0.29750959480230499</v>
      </c>
      <c r="K172" s="30">
        <v>80.599999999999994</v>
      </c>
      <c r="L172" s="30">
        <v>15.8333333333333</v>
      </c>
      <c r="M172" s="30">
        <v>1.5</v>
      </c>
      <c r="N172" s="30">
        <v>24.566666666666698</v>
      </c>
      <c r="O172" s="30">
        <v>70.266666666666694</v>
      </c>
      <c r="P172" s="32">
        <v>0.41095189355168898</v>
      </c>
      <c r="Q172" s="32">
        <v>0.70846148835399303</v>
      </c>
      <c r="R172" s="30">
        <v>0</v>
      </c>
    </row>
    <row r="173" spans="1:18" ht="18.600000000000001" customHeight="1">
      <c r="A173" s="25" t="s">
        <v>487</v>
      </c>
      <c r="B173" s="26" t="s">
        <v>64</v>
      </c>
      <c r="C173" s="124" t="s">
        <v>19</v>
      </c>
      <c r="D173" s="30">
        <v>296.33333333333297</v>
      </c>
      <c r="E173" s="30">
        <v>36.5</v>
      </c>
      <c r="F173" s="30">
        <v>5.9</v>
      </c>
      <c r="G173" s="30">
        <v>36.533333333333303</v>
      </c>
      <c r="H173" s="30">
        <v>1.6</v>
      </c>
      <c r="I173" s="32">
        <v>0.25928008998875102</v>
      </c>
      <c r="J173" s="32">
        <v>0.32133741445408198</v>
      </c>
      <c r="K173" s="30">
        <v>76.8333333333333</v>
      </c>
      <c r="L173" s="30">
        <v>15.8</v>
      </c>
      <c r="M173" s="30">
        <v>0.5</v>
      </c>
      <c r="N173" s="30">
        <v>28.5</v>
      </c>
      <c r="O173" s="30">
        <v>52.4</v>
      </c>
      <c r="P173" s="32">
        <v>0.37570303712036002</v>
      </c>
      <c r="Q173" s="32">
        <v>0.69704045157444205</v>
      </c>
      <c r="R173" s="30">
        <v>0</v>
      </c>
    </row>
    <row r="174" spans="1:18" ht="20.100000000000001" customHeight="1">
      <c r="A174" s="25" t="s">
        <v>496</v>
      </c>
      <c r="B174" s="26" t="s">
        <v>85</v>
      </c>
      <c r="C174" s="124" t="s">
        <v>19</v>
      </c>
      <c r="D174" s="30">
        <v>284</v>
      </c>
      <c r="E174" s="30">
        <v>35.6666666666667</v>
      </c>
      <c r="F174" s="30">
        <v>10.966666666666701</v>
      </c>
      <c r="G174" s="30">
        <v>36.866666666666703</v>
      </c>
      <c r="H174" s="30">
        <v>2.1333333333333302</v>
      </c>
      <c r="I174" s="32">
        <v>0.24307511737089199</v>
      </c>
      <c r="J174" s="32">
        <v>0.31126148916434798</v>
      </c>
      <c r="K174" s="30">
        <v>69.033333333333303</v>
      </c>
      <c r="L174" s="30">
        <v>11.8</v>
      </c>
      <c r="M174" s="30">
        <v>0.96666666666666701</v>
      </c>
      <c r="N174" s="30">
        <v>29.4</v>
      </c>
      <c r="O174" s="30">
        <v>60.6666666666667</v>
      </c>
      <c r="P174" s="32">
        <v>0.40727699530516398</v>
      </c>
      <c r="Q174" s="32">
        <v>0.71853848446951196</v>
      </c>
      <c r="R174" s="30">
        <v>0</v>
      </c>
    </row>
    <row r="175" spans="1:18" ht="18.600000000000001" customHeight="1">
      <c r="A175" s="25" t="s">
        <v>491</v>
      </c>
      <c r="B175" s="26" t="s">
        <v>122</v>
      </c>
      <c r="C175" s="124" t="s">
        <v>19</v>
      </c>
      <c r="D175" s="30">
        <v>249</v>
      </c>
      <c r="E175" s="30">
        <v>30.633333333333301</v>
      </c>
      <c r="F175" s="30">
        <v>5.6</v>
      </c>
      <c r="G175" s="30">
        <v>28.866666666666699</v>
      </c>
      <c r="H175" s="30">
        <v>2.3333333333333299</v>
      </c>
      <c r="I175" s="32">
        <v>0.26987951807228899</v>
      </c>
      <c r="J175" s="32">
        <v>0.31943572510063101</v>
      </c>
      <c r="K175" s="30">
        <v>67.2</v>
      </c>
      <c r="L175" s="30">
        <v>11.466666666666701</v>
      </c>
      <c r="M175" s="30">
        <v>0.6</v>
      </c>
      <c r="N175" s="30">
        <v>19.3</v>
      </c>
      <c r="O175" s="30">
        <v>44.633333333333297</v>
      </c>
      <c r="P175" s="32">
        <v>0.38821954484605098</v>
      </c>
      <c r="Q175" s="32">
        <v>0.70765526994668204</v>
      </c>
      <c r="R175" s="30">
        <v>0</v>
      </c>
    </row>
    <row r="176" spans="1:18" ht="18.600000000000001" customHeight="1">
      <c r="A176" s="25" t="s">
        <v>514</v>
      </c>
      <c r="B176" s="26" t="s">
        <v>69</v>
      </c>
      <c r="C176" s="124" t="s">
        <v>19</v>
      </c>
      <c r="D176" s="30">
        <v>310</v>
      </c>
      <c r="E176" s="30">
        <v>34.566666666666698</v>
      </c>
      <c r="F176" s="30">
        <v>8.7666666666666693</v>
      </c>
      <c r="G176" s="30">
        <v>36.1</v>
      </c>
      <c r="H176" s="30">
        <v>1.93333333333333</v>
      </c>
      <c r="I176" s="32">
        <v>0.24591397849462401</v>
      </c>
      <c r="J176" s="32">
        <v>0.27740492170022402</v>
      </c>
      <c r="K176" s="30">
        <v>76.233333333333306</v>
      </c>
      <c r="L176" s="30">
        <v>14.133333333333301</v>
      </c>
      <c r="M176" s="30">
        <v>1.3333333333333299</v>
      </c>
      <c r="N176" s="30">
        <v>14.7</v>
      </c>
      <c r="O176" s="30">
        <v>61.233333333333299</v>
      </c>
      <c r="P176" s="32">
        <v>0.38494623655914001</v>
      </c>
      <c r="Q176" s="32">
        <v>0.66235115825936397</v>
      </c>
      <c r="R176" s="30">
        <v>0</v>
      </c>
    </row>
    <row r="177" spans="1:18" ht="20.100000000000001" customHeight="1">
      <c r="A177" s="25" t="s">
        <v>507</v>
      </c>
      <c r="B177" s="26" t="s">
        <v>136</v>
      </c>
      <c r="C177" s="124" t="s">
        <v>19</v>
      </c>
      <c r="D177" s="30">
        <v>228</v>
      </c>
      <c r="E177" s="30">
        <v>34.200000000000003</v>
      </c>
      <c r="F177" s="30">
        <v>9.6999999999999993</v>
      </c>
      <c r="G177" s="30">
        <v>28.766666666666701</v>
      </c>
      <c r="H177" s="30">
        <v>4.43333333333333</v>
      </c>
      <c r="I177" s="32">
        <v>0.24444444444444399</v>
      </c>
      <c r="J177" s="32">
        <v>0.30054498824535197</v>
      </c>
      <c r="K177" s="30">
        <v>55.733333333333299</v>
      </c>
      <c r="L177" s="30">
        <v>8.0333333333333297</v>
      </c>
      <c r="M177" s="30">
        <v>0.93333333333333302</v>
      </c>
      <c r="N177" s="30">
        <v>19.266666666666701</v>
      </c>
      <c r="O177" s="30">
        <v>47.6666666666667</v>
      </c>
      <c r="P177" s="32">
        <v>0.41549707602339198</v>
      </c>
      <c r="Q177" s="32">
        <v>0.71604206426874295</v>
      </c>
      <c r="R177" s="30">
        <v>0</v>
      </c>
    </row>
    <row r="178" spans="1:18" ht="18.600000000000001" customHeight="1">
      <c r="A178" s="25" t="s">
        <v>527</v>
      </c>
      <c r="B178" s="26" t="s">
        <v>260</v>
      </c>
      <c r="C178" s="124" t="s">
        <v>19</v>
      </c>
      <c r="D178" s="30">
        <v>283.33333333333297</v>
      </c>
      <c r="E178" s="30">
        <v>34.4</v>
      </c>
      <c r="F178" s="30">
        <v>13.2</v>
      </c>
      <c r="G178" s="30">
        <v>39.066666666666698</v>
      </c>
      <c r="H178" s="30">
        <v>1.0333333333333301</v>
      </c>
      <c r="I178" s="32">
        <v>0.23235294117647101</v>
      </c>
      <c r="J178" s="32">
        <v>0.28532814358309</v>
      </c>
      <c r="K178" s="30">
        <v>65.8333333333333</v>
      </c>
      <c r="L178" s="30">
        <v>11.8333333333333</v>
      </c>
      <c r="M178" s="30">
        <v>0.96666666666666701</v>
      </c>
      <c r="N178" s="30">
        <v>22.133333333333301</v>
      </c>
      <c r="O178" s="30">
        <v>89.566666666666706</v>
      </c>
      <c r="P178" s="32">
        <v>0.42070588235294099</v>
      </c>
      <c r="Q178" s="32">
        <v>0.70603402593603104</v>
      </c>
      <c r="R178" s="30">
        <v>0</v>
      </c>
    </row>
    <row r="179" spans="1:18" ht="18.600000000000001" customHeight="1">
      <c r="A179" s="25" t="s">
        <v>539</v>
      </c>
      <c r="B179" s="26" t="s">
        <v>116</v>
      </c>
      <c r="C179" s="124" t="s">
        <v>19</v>
      </c>
      <c r="D179" s="30">
        <v>301</v>
      </c>
      <c r="E179" s="30">
        <v>39</v>
      </c>
      <c r="F179" s="30">
        <v>12.6</v>
      </c>
      <c r="G179" s="30">
        <v>40.766666666666701</v>
      </c>
      <c r="H179" s="30">
        <v>0.93333333333333302</v>
      </c>
      <c r="I179" s="32">
        <v>0.22602436323366601</v>
      </c>
      <c r="J179" s="32">
        <v>0.343006691229014</v>
      </c>
      <c r="K179" s="30">
        <v>68.033333333333303</v>
      </c>
      <c r="L179" s="30">
        <v>10.5</v>
      </c>
      <c r="M179" s="30">
        <v>0.133333333333333</v>
      </c>
      <c r="N179" s="30">
        <v>55.1666666666667</v>
      </c>
      <c r="O179" s="30">
        <v>81.433333333333294</v>
      </c>
      <c r="P179" s="32">
        <v>0.387375415282392</v>
      </c>
      <c r="Q179" s="32">
        <v>0.730382106511406</v>
      </c>
      <c r="R179" s="30">
        <v>0</v>
      </c>
    </row>
    <row r="180" spans="1:18" ht="18.600000000000001" customHeight="1">
      <c r="A180" s="25" t="s">
        <v>523</v>
      </c>
      <c r="B180" s="26" t="s">
        <v>103</v>
      </c>
      <c r="C180" s="124" t="s">
        <v>19</v>
      </c>
      <c r="D180" s="30">
        <v>265</v>
      </c>
      <c r="E180" s="30">
        <v>31.5</v>
      </c>
      <c r="F180" s="30">
        <v>9.4</v>
      </c>
      <c r="G180" s="30">
        <v>32.3333333333333</v>
      </c>
      <c r="H180" s="30">
        <v>3.2666666666666702</v>
      </c>
      <c r="I180" s="32">
        <v>0.244905660377358</v>
      </c>
      <c r="J180" s="32">
        <v>0.28013491922598999</v>
      </c>
      <c r="K180" s="30">
        <v>64.900000000000006</v>
      </c>
      <c r="L180" s="30">
        <v>13.4333333333333</v>
      </c>
      <c r="M180" s="30">
        <v>0.5</v>
      </c>
      <c r="N180" s="30">
        <v>14</v>
      </c>
      <c r="O180" s="30">
        <v>68.099999999999994</v>
      </c>
      <c r="P180" s="32">
        <v>0.40578616352201302</v>
      </c>
      <c r="Q180" s="32">
        <v>0.68592108274800201</v>
      </c>
      <c r="R180" s="30">
        <v>0</v>
      </c>
    </row>
    <row r="181" spans="1:18" ht="18.600000000000001" customHeight="1">
      <c r="A181" s="25" t="s">
        <v>574</v>
      </c>
      <c r="B181" s="26" t="s">
        <v>122</v>
      </c>
      <c r="C181" s="124" t="s">
        <v>19</v>
      </c>
      <c r="D181" s="30">
        <v>291</v>
      </c>
      <c r="E181" s="30">
        <v>36.266666666666701</v>
      </c>
      <c r="F181" s="30">
        <v>9.5333333333333297</v>
      </c>
      <c r="G181" s="30">
        <v>36.4</v>
      </c>
      <c r="H181" s="30">
        <v>1.1000000000000001</v>
      </c>
      <c r="I181" s="32">
        <v>0.23081328751431801</v>
      </c>
      <c r="J181" s="32">
        <v>0.30005247831410797</v>
      </c>
      <c r="K181" s="30">
        <v>67.1666666666667</v>
      </c>
      <c r="L181" s="30">
        <v>13.766666666666699</v>
      </c>
      <c r="M181" s="30">
        <v>0.5</v>
      </c>
      <c r="N181" s="30">
        <v>30.033333333333299</v>
      </c>
      <c r="O181" s="30">
        <v>66.633333333333297</v>
      </c>
      <c r="P181" s="32">
        <v>0.37983963344788102</v>
      </c>
      <c r="Q181" s="32">
        <v>0.67989211176198905</v>
      </c>
      <c r="R181" s="30">
        <v>0</v>
      </c>
    </row>
    <row r="182" spans="1:18" ht="18.600000000000001" customHeight="1">
      <c r="A182" s="25" t="s">
        <v>569</v>
      </c>
      <c r="B182" s="26" t="s">
        <v>160</v>
      </c>
      <c r="C182" s="124" t="s">
        <v>19</v>
      </c>
      <c r="D182" s="30">
        <v>253</v>
      </c>
      <c r="E182" s="30">
        <v>28.1666666666667</v>
      </c>
      <c r="F182" s="30">
        <v>8.2333333333333307</v>
      </c>
      <c r="G182" s="30">
        <v>30.566666666666698</v>
      </c>
      <c r="H182" s="30">
        <v>1.1000000000000001</v>
      </c>
      <c r="I182" s="32">
        <v>0.24888010540184499</v>
      </c>
      <c r="J182" s="32">
        <v>0.28120295138672902</v>
      </c>
      <c r="K182" s="30">
        <v>62.966666666666697</v>
      </c>
      <c r="L182" s="30">
        <v>11.5</v>
      </c>
      <c r="M182" s="30">
        <v>0.9</v>
      </c>
      <c r="N182" s="30">
        <v>12.366666666666699</v>
      </c>
      <c r="O182" s="30">
        <v>51.2</v>
      </c>
      <c r="P182" s="32">
        <v>0.39907773386034301</v>
      </c>
      <c r="Q182" s="32">
        <v>0.68028068524707097</v>
      </c>
      <c r="R182" s="30">
        <v>0</v>
      </c>
    </row>
    <row r="183" spans="1:18" ht="18.600000000000001" customHeight="1">
      <c r="A183" s="25" t="s">
        <v>592</v>
      </c>
      <c r="B183" s="26" t="s">
        <v>219</v>
      </c>
      <c r="C183" s="124" t="s">
        <v>19</v>
      </c>
      <c r="D183" s="30">
        <v>304.66666666666703</v>
      </c>
      <c r="E183" s="30">
        <v>38</v>
      </c>
      <c r="F183" s="30">
        <v>10.533333333333299</v>
      </c>
      <c r="G183" s="30">
        <v>32.033333333333303</v>
      </c>
      <c r="H183" s="30">
        <v>2.3666666666666698</v>
      </c>
      <c r="I183" s="32">
        <v>0.22319474835886199</v>
      </c>
      <c r="J183" s="32">
        <v>0.279303295117454</v>
      </c>
      <c r="K183" s="30">
        <v>68</v>
      </c>
      <c r="L183" s="30">
        <v>10.266666666666699</v>
      </c>
      <c r="M183" s="30">
        <v>0.96666666666666701</v>
      </c>
      <c r="N183" s="30">
        <v>24.9</v>
      </c>
      <c r="O183" s="30">
        <v>115.9</v>
      </c>
      <c r="P183" s="32">
        <v>0.36695842450765898</v>
      </c>
      <c r="Q183" s="32">
        <v>0.64626171962511203</v>
      </c>
      <c r="R183" s="30">
        <v>0</v>
      </c>
    </row>
    <row r="184" spans="1:18" ht="18.600000000000001" customHeight="1">
      <c r="A184" s="25" t="s">
        <v>605</v>
      </c>
      <c r="B184" s="26" t="s">
        <v>136</v>
      </c>
      <c r="C184" s="124" t="s">
        <v>19</v>
      </c>
      <c r="D184" s="30">
        <v>332.66666666666703</v>
      </c>
      <c r="E184" s="30">
        <v>33.366666666666703</v>
      </c>
      <c r="F184" s="30">
        <v>6.2333333333333298</v>
      </c>
      <c r="G184" s="30">
        <v>36.266666666666701</v>
      </c>
      <c r="H184" s="30">
        <v>0.86666666666666703</v>
      </c>
      <c r="I184" s="32">
        <v>0.23687374749498999</v>
      </c>
      <c r="J184" s="32">
        <v>0.30223010001989498</v>
      </c>
      <c r="K184" s="30">
        <v>78.8</v>
      </c>
      <c r="L184" s="30">
        <v>14.633333333333301</v>
      </c>
      <c r="M184" s="30">
        <v>0.56666666666666698</v>
      </c>
      <c r="N184" s="30">
        <v>32.6</v>
      </c>
      <c r="O184" s="30">
        <v>81.966666666666697</v>
      </c>
      <c r="P184" s="32">
        <v>0.34048096192384802</v>
      </c>
      <c r="Q184" s="32">
        <v>0.64271106194374295</v>
      </c>
      <c r="R184" s="30">
        <v>0</v>
      </c>
    </row>
    <row r="185" spans="1:18" ht="18.600000000000001" customHeight="1">
      <c r="A185" s="25" t="s">
        <v>599</v>
      </c>
      <c r="B185" s="26" t="s">
        <v>64</v>
      </c>
      <c r="C185" s="124" t="s">
        <v>19</v>
      </c>
      <c r="D185" s="30">
        <v>240</v>
      </c>
      <c r="E185" s="30">
        <v>30.4</v>
      </c>
      <c r="F185" s="30">
        <v>7.8</v>
      </c>
      <c r="G185" s="30">
        <v>30.55</v>
      </c>
      <c r="H185" s="30">
        <v>1</v>
      </c>
      <c r="I185" s="32">
        <v>0.24208333333333301</v>
      </c>
      <c r="J185" s="32">
        <v>0.29562392509077001</v>
      </c>
      <c r="K185" s="30">
        <v>58.1</v>
      </c>
      <c r="L185" s="30">
        <v>11.05</v>
      </c>
      <c r="M185" s="30">
        <v>0.85</v>
      </c>
      <c r="N185" s="30">
        <v>19.25</v>
      </c>
      <c r="O185" s="30">
        <v>54.7</v>
      </c>
      <c r="P185" s="32">
        <v>0.39270833333333299</v>
      </c>
      <c r="Q185" s="32">
        <v>0.68833225842410295</v>
      </c>
      <c r="R185" s="30">
        <v>0</v>
      </c>
    </row>
    <row r="186" spans="1:18" ht="18.600000000000001" customHeight="1">
      <c r="A186" s="25" t="s">
        <v>596</v>
      </c>
      <c r="B186" s="26" t="s">
        <v>139</v>
      </c>
      <c r="C186" s="124" t="s">
        <v>19</v>
      </c>
      <c r="D186" s="30">
        <v>193.5</v>
      </c>
      <c r="E186" s="30">
        <v>24.8</v>
      </c>
      <c r="F186" s="30">
        <v>7</v>
      </c>
      <c r="G186" s="30">
        <v>24.75</v>
      </c>
      <c r="H186" s="30">
        <v>1.4</v>
      </c>
      <c r="I186" s="32">
        <v>0.25400516795865602</v>
      </c>
      <c r="J186" s="32">
        <v>0.31009031527813802</v>
      </c>
      <c r="K186" s="30">
        <v>49.15</v>
      </c>
      <c r="L186" s="30">
        <v>11.75</v>
      </c>
      <c r="M186" s="30">
        <v>0.85</v>
      </c>
      <c r="N186" s="30">
        <v>16.600000000000001</v>
      </c>
      <c r="O186" s="30">
        <v>44.9</v>
      </c>
      <c r="P186" s="32">
        <v>0.43204134366925101</v>
      </c>
      <c r="Q186" s="32">
        <v>0.74213165894738897</v>
      </c>
      <c r="R186" s="30">
        <v>0</v>
      </c>
    </row>
    <row r="187" spans="1:18" ht="18.600000000000001" customHeight="1">
      <c r="A187" s="25" t="s">
        <v>628</v>
      </c>
      <c r="B187" s="26" t="s">
        <v>77</v>
      </c>
      <c r="C187" s="124" t="s">
        <v>19</v>
      </c>
      <c r="D187" s="30">
        <v>290.66666666666703</v>
      </c>
      <c r="E187" s="30">
        <v>38.233333333333299</v>
      </c>
      <c r="F187" s="30">
        <v>17.533333333333299</v>
      </c>
      <c r="G187" s="30">
        <v>43.033333333333303</v>
      </c>
      <c r="H187" s="30">
        <v>0.36666666666666697</v>
      </c>
      <c r="I187" s="32">
        <v>0.19243119266055</v>
      </c>
      <c r="J187" s="32">
        <v>0.25012622012790298</v>
      </c>
      <c r="K187" s="30">
        <v>55.933333333333302</v>
      </c>
      <c r="L187" s="30">
        <v>10.633333333333301</v>
      </c>
      <c r="M187" s="30">
        <v>0.93333333333333302</v>
      </c>
      <c r="N187" s="30">
        <v>23.3333333333333</v>
      </c>
      <c r="O187" s="30">
        <v>111.366666666667</v>
      </c>
      <c r="P187" s="32">
        <v>0.41639908256880698</v>
      </c>
      <c r="Q187" s="32">
        <v>0.66652530269670995</v>
      </c>
      <c r="R187" s="30">
        <v>0</v>
      </c>
    </row>
    <row r="188" spans="1:18" ht="18.600000000000001" customHeight="1">
      <c r="A188" s="25" t="s">
        <v>620</v>
      </c>
      <c r="B188" s="26" t="s">
        <v>103</v>
      </c>
      <c r="C188" s="124" t="s">
        <v>19</v>
      </c>
      <c r="D188" s="30">
        <v>264.33333333333297</v>
      </c>
      <c r="E188" s="30">
        <v>30.133333333333301</v>
      </c>
      <c r="F188" s="30">
        <v>6.7333333333333298</v>
      </c>
      <c r="G188" s="30">
        <v>30.6</v>
      </c>
      <c r="H188" s="30">
        <v>0.3</v>
      </c>
      <c r="I188" s="32">
        <v>0.24186633039092101</v>
      </c>
      <c r="J188" s="32">
        <v>0.27340068946596202</v>
      </c>
      <c r="K188" s="30">
        <v>63.933333333333302</v>
      </c>
      <c r="L188" s="30">
        <v>16.033333333333299</v>
      </c>
      <c r="M188" s="30">
        <v>0.93333333333333302</v>
      </c>
      <c r="N188" s="30">
        <v>12.466666666666701</v>
      </c>
      <c r="O188" s="30">
        <v>57.7</v>
      </c>
      <c r="P188" s="32">
        <v>0.38600252206809599</v>
      </c>
      <c r="Q188" s="32">
        <v>0.65940321153405801</v>
      </c>
      <c r="R188" s="30">
        <v>0</v>
      </c>
    </row>
    <row r="189" spans="1:18" ht="18.600000000000001" customHeight="1">
      <c r="A189" s="25" t="s">
        <v>625</v>
      </c>
      <c r="B189" s="26" t="s">
        <v>105</v>
      </c>
      <c r="C189" s="124" t="s">
        <v>19</v>
      </c>
      <c r="D189" s="30">
        <v>277.33333333333297</v>
      </c>
      <c r="E189" s="30">
        <v>30.3333333333333</v>
      </c>
      <c r="F189" s="30">
        <v>4.43333333333333</v>
      </c>
      <c r="G189" s="30">
        <v>24.9</v>
      </c>
      <c r="H189" s="30">
        <v>1.7333333333333301</v>
      </c>
      <c r="I189" s="32">
        <v>0.24747596153846199</v>
      </c>
      <c r="J189" s="32">
        <v>0.28854348898757498</v>
      </c>
      <c r="K189" s="30">
        <v>68.633333333333297</v>
      </c>
      <c r="L189" s="30">
        <v>15.6666666666667</v>
      </c>
      <c r="M189" s="30">
        <v>1.0333333333333301</v>
      </c>
      <c r="N189" s="30">
        <v>17.133333333333301</v>
      </c>
      <c r="O189" s="30">
        <v>62.566666666666698</v>
      </c>
      <c r="P189" s="32">
        <v>0.359375</v>
      </c>
      <c r="Q189" s="32">
        <v>0.64791848898757498</v>
      </c>
      <c r="R189" s="30">
        <v>0</v>
      </c>
    </row>
    <row r="190" spans="1:18" ht="18.600000000000001" customHeight="1">
      <c r="A190" s="25" t="s">
        <v>634</v>
      </c>
      <c r="B190" s="26" t="s">
        <v>97</v>
      </c>
      <c r="C190" s="124" t="s">
        <v>19</v>
      </c>
      <c r="D190" s="30">
        <v>290.33333333333297</v>
      </c>
      <c r="E190" s="30">
        <v>32.6</v>
      </c>
      <c r="F190" s="30">
        <v>6.6</v>
      </c>
      <c r="G190" s="30">
        <v>30.2</v>
      </c>
      <c r="H190" s="30">
        <v>0.4</v>
      </c>
      <c r="I190" s="32">
        <v>0.23432835820895501</v>
      </c>
      <c r="J190" s="32">
        <v>0.30536391770596599</v>
      </c>
      <c r="K190" s="30">
        <v>68.033333333333303</v>
      </c>
      <c r="L190" s="30">
        <v>12.766666666666699</v>
      </c>
      <c r="M190" s="30">
        <v>0.86666666666666703</v>
      </c>
      <c r="N190" s="30">
        <v>30.966666666666701</v>
      </c>
      <c r="O190" s="30">
        <v>67.466666666666697</v>
      </c>
      <c r="P190" s="32">
        <v>0.35246842709529302</v>
      </c>
      <c r="Q190" s="32">
        <v>0.65783234480125896</v>
      </c>
      <c r="R190" s="30">
        <v>0</v>
      </c>
    </row>
    <row r="191" spans="1:18" ht="18.600000000000001" customHeight="1">
      <c r="A191" s="25" t="s">
        <v>655</v>
      </c>
      <c r="B191" s="26" t="s">
        <v>79</v>
      </c>
      <c r="C191" s="124" t="s">
        <v>19</v>
      </c>
      <c r="D191" s="30">
        <v>338.66666666666703</v>
      </c>
      <c r="E191" s="30">
        <v>40.366666666666703</v>
      </c>
      <c r="F191" s="30">
        <v>12.6666666666667</v>
      </c>
      <c r="G191" s="30">
        <v>40.200000000000003</v>
      </c>
      <c r="H191" s="30">
        <v>0.96666666666666701</v>
      </c>
      <c r="I191" s="32">
        <v>0.19360236220472399</v>
      </c>
      <c r="J191" s="32">
        <v>0.26175727152978001</v>
      </c>
      <c r="K191" s="30">
        <v>65.566666666666706</v>
      </c>
      <c r="L191" s="30">
        <v>11.8</v>
      </c>
      <c r="M191" s="30">
        <v>0.53333333333333299</v>
      </c>
      <c r="N191" s="30">
        <v>32.466666666666697</v>
      </c>
      <c r="O191" s="30">
        <v>114.1</v>
      </c>
      <c r="P191" s="32">
        <v>0.343799212598425</v>
      </c>
      <c r="Q191" s="32">
        <v>0.60555648412820595</v>
      </c>
      <c r="R191" s="30">
        <v>0</v>
      </c>
    </row>
    <row r="192" spans="1:18" ht="20.100000000000001" customHeight="1">
      <c r="A192" s="25" t="s">
        <v>639</v>
      </c>
      <c r="B192" s="26" t="s">
        <v>105</v>
      </c>
      <c r="C192" s="124" t="s">
        <v>19</v>
      </c>
      <c r="D192" s="30">
        <v>206.333333333333</v>
      </c>
      <c r="E192" s="30">
        <v>21.8</v>
      </c>
      <c r="F192" s="30">
        <v>5.7333333333333298</v>
      </c>
      <c r="G192" s="30">
        <v>26.033333333333299</v>
      </c>
      <c r="H192" s="30">
        <v>2.3666666666666698</v>
      </c>
      <c r="I192" s="32">
        <v>0.24313408723748001</v>
      </c>
      <c r="J192" s="32">
        <v>0.274163213504794</v>
      </c>
      <c r="K192" s="30">
        <v>50.1666666666667</v>
      </c>
      <c r="L192" s="30">
        <v>9.8333333333333304</v>
      </c>
      <c r="M192" s="30">
        <v>0.16666666666666699</v>
      </c>
      <c r="N192" s="30">
        <v>9.6</v>
      </c>
      <c r="O192" s="30">
        <v>72.466666666666697</v>
      </c>
      <c r="P192" s="32">
        <v>0.37576736672051703</v>
      </c>
      <c r="Q192" s="32">
        <v>0.64993058022531103</v>
      </c>
      <c r="R192" s="30">
        <v>0</v>
      </c>
    </row>
    <row r="193" spans="1:18" ht="18.600000000000001" customHeight="1">
      <c r="A193" s="25" t="s">
        <v>652</v>
      </c>
      <c r="B193" s="26" t="s">
        <v>99</v>
      </c>
      <c r="C193" s="124" t="s">
        <v>19</v>
      </c>
      <c r="D193" s="30">
        <v>251.333333333333</v>
      </c>
      <c r="E193" s="30">
        <v>28.1666666666667</v>
      </c>
      <c r="F193" s="30">
        <v>7.2666666666666702</v>
      </c>
      <c r="G193" s="30">
        <v>31.633333333333301</v>
      </c>
      <c r="H193" s="30">
        <v>1</v>
      </c>
      <c r="I193" s="32">
        <v>0.22798408488063701</v>
      </c>
      <c r="J193" s="32">
        <v>0.29991451367781202</v>
      </c>
      <c r="K193" s="30">
        <v>57.3</v>
      </c>
      <c r="L193" s="30">
        <v>10.9333333333333</v>
      </c>
      <c r="M193" s="30">
        <v>0.133333333333333</v>
      </c>
      <c r="N193" s="30">
        <v>26.9</v>
      </c>
      <c r="O193" s="30">
        <v>64.366666666666703</v>
      </c>
      <c r="P193" s="32">
        <v>0.35928381962864703</v>
      </c>
      <c r="Q193" s="32">
        <v>0.65919833330645905</v>
      </c>
      <c r="R193" s="30">
        <v>0</v>
      </c>
    </row>
    <row r="194" spans="1:18" ht="18.600000000000001" customHeight="1">
      <c r="A194" s="25" t="s">
        <v>650</v>
      </c>
      <c r="B194" s="26" t="s">
        <v>72</v>
      </c>
      <c r="C194" s="124" t="s">
        <v>19</v>
      </c>
      <c r="D194" s="30">
        <v>207</v>
      </c>
      <c r="E194" s="30">
        <v>26.966666666666701</v>
      </c>
      <c r="F194" s="30">
        <v>9.4</v>
      </c>
      <c r="G194" s="30">
        <v>26.766666666666701</v>
      </c>
      <c r="H194" s="30">
        <v>0.96666666666666701</v>
      </c>
      <c r="I194" s="32">
        <v>0.22914653784219</v>
      </c>
      <c r="J194" s="32">
        <v>0.30370040636981099</v>
      </c>
      <c r="K194" s="30">
        <v>47.433333333333302</v>
      </c>
      <c r="L194" s="30">
        <v>8.6999999999999993</v>
      </c>
      <c r="M194" s="30">
        <v>0.46666666666666701</v>
      </c>
      <c r="N194" s="30">
        <v>23.066666666666698</v>
      </c>
      <c r="O194" s="30">
        <v>70.5</v>
      </c>
      <c r="P194" s="32">
        <v>0.41191626409017701</v>
      </c>
      <c r="Q194" s="32">
        <v>0.715616670459988</v>
      </c>
      <c r="R194" s="30">
        <v>0</v>
      </c>
    </row>
    <row r="195" spans="1:18" ht="20.100000000000001" customHeight="1">
      <c r="A195" s="25" t="s">
        <v>651</v>
      </c>
      <c r="B195" s="26" t="s">
        <v>77</v>
      </c>
      <c r="C195" s="124" t="s">
        <v>19</v>
      </c>
      <c r="D195" s="30">
        <v>208.666666666667</v>
      </c>
      <c r="E195" s="30">
        <v>25.866666666666699</v>
      </c>
      <c r="F195" s="30">
        <v>7.4</v>
      </c>
      <c r="G195" s="30">
        <v>25.933333333333302</v>
      </c>
      <c r="H195" s="30">
        <v>3.3333333333333299</v>
      </c>
      <c r="I195" s="32">
        <v>0.22843450479233199</v>
      </c>
      <c r="J195" s="32">
        <v>0.30370307118663398</v>
      </c>
      <c r="K195" s="30">
        <v>47.6666666666667</v>
      </c>
      <c r="L195" s="30">
        <v>9.5</v>
      </c>
      <c r="M195" s="30">
        <v>0.96666666666666701</v>
      </c>
      <c r="N195" s="30">
        <v>23.466666666666701</v>
      </c>
      <c r="O195" s="30">
        <v>60.4</v>
      </c>
      <c r="P195" s="32">
        <v>0.38961661341852999</v>
      </c>
      <c r="Q195" s="32">
        <v>0.69331968460516402</v>
      </c>
      <c r="R195" s="30">
        <v>0</v>
      </c>
    </row>
    <row r="196" spans="1:18" ht="20.100000000000001" customHeight="1">
      <c r="A196" s="25" t="s">
        <v>671</v>
      </c>
      <c r="B196" s="26" t="s">
        <v>85</v>
      </c>
      <c r="C196" s="124" t="s">
        <v>19</v>
      </c>
      <c r="D196" s="30">
        <v>264.33333333333297</v>
      </c>
      <c r="E196" s="30">
        <v>32.133333333333297</v>
      </c>
      <c r="F196" s="30">
        <v>9.6333333333333293</v>
      </c>
      <c r="G196" s="30">
        <v>30.6</v>
      </c>
      <c r="H196" s="30">
        <v>0.2</v>
      </c>
      <c r="I196" s="32">
        <v>0.21374527112232</v>
      </c>
      <c r="J196" s="32">
        <v>0.28525180263291899</v>
      </c>
      <c r="K196" s="30">
        <v>56.5</v>
      </c>
      <c r="L196" s="30">
        <v>10.1666666666667</v>
      </c>
      <c r="M196" s="30">
        <v>0.93333333333333302</v>
      </c>
      <c r="N196" s="30">
        <v>27.5</v>
      </c>
      <c r="O196" s="30">
        <v>86.9</v>
      </c>
      <c r="P196" s="32">
        <v>0.36860025220680998</v>
      </c>
      <c r="Q196" s="32">
        <v>0.65385205483972897</v>
      </c>
      <c r="R196" s="30">
        <v>0</v>
      </c>
    </row>
    <row r="197" spans="1:18" ht="18.600000000000001" customHeight="1">
      <c r="A197" s="25" t="s">
        <v>665</v>
      </c>
      <c r="B197" s="26" t="s">
        <v>101</v>
      </c>
      <c r="C197" s="124" t="s">
        <v>19</v>
      </c>
      <c r="D197" s="30">
        <v>218</v>
      </c>
      <c r="E197" s="30">
        <v>24.433333333333302</v>
      </c>
      <c r="F197" s="30">
        <v>6.1666666666666696</v>
      </c>
      <c r="G197" s="30">
        <v>24.7</v>
      </c>
      <c r="H197" s="30">
        <v>1.93333333333333</v>
      </c>
      <c r="I197" s="32">
        <v>0.23134556574923501</v>
      </c>
      <c r="J197" s="32">
        <v>0.281586817899667</v>
      </c>
      <c r="K197" s="30">
        <v>50.433333333333302</v>
      </c>
      <c r="L197" s="30">
        <v>7.9</v>
      </c>
      <c r="M197" s="30">
        <v>0.46666666666666701</v>
      </c>
      <c r="N197" s="30">
        <v>16.100000000000001</v>
      </c>
      <c r="O197" s="30">
        <v>63.533333333333303</v>
      </c>
      <c r="P197" s="32">
        <v>0.35672782874617698</v>
      </c>
      <c r="Q197" s="32">
        <v>0.63831464664584403</v>
      </c>
      <c r="R197" s="30">
        <v>0</v>
      </c>
    </row>
    <row r="198" spans="1:18" ht="18.600000000000001" customHeight="1">
      <c r="A198" s="25" t="s">
        <v>681</v>
      </c>
      <c r="B198" s="26" t="s">
        <v>160</v>
      </c>
      <c r="C198" s="124" t="s">
        <v>19</v>
      </c>
      <c r="D198" s="30">
        <v>291.66666666666703</v>
      </c>
      <c r="E198" s="30">
        <v>28.766666666666701</v>
      </c>
      <c r="F198" s="30">
        <v>5.0333333333333297</v>
      </c>
      <c r="G198" s="30">
        <v>27.6666666666667</v>
      </c>
      <c r="H198" s="30">
        <v>0.43333333333333302</v>
      </c>
      <c r="I198" s="32">
        <v>0.228457142857143</v>
      </c>
      <c r="J198" s="32">
        <v>0.28991225793053299</v>
      </c>
      <c r="K198" s="30">
        <v>66.633333333333297</v>
      </c>
      <c r="L198" s="30">
        <v>12.6</v>
      </c>
      <c r="M198" s="30">
        <v>0.5</v>
      </c>
      <c r="N198" s="30">
        <v>26.433333333333302</v>
      </c>
      <c r="O198" s="30">
        <v>79.8</v>
      </c>
      <c r="P198" s="32">
        <v>0.32685714285714301</v>
      </c>
      <c r="Q198" s="32">
        <v>0.61676940078767595</v>
      </c>
      <c r="R198" s="30">
        <v>0</v>
      </c>
    </row>
    <row r="199" spans="1:18" ht="18.600000000000001" customHeight="1">
      <c r="A199" s="25" t="s">
        <v>673</v>
      </c>
      <c r="B199" s="26" t="s">
        <v>82</v>
      </c>
      <c r="C199" s="124" t="s">
        <v>19</v>
      </c>
      <c r="D199" s="30">
        <v>181.333333333333</v>
      </c>
      <c r="E199" s="30">
        <v>26.5</v>
      </c>
      <c r="F199" s="30">
        <v>6.1333333333333302</v>
      </c>
      <c r="G199" s="30">
        <v>23.3</v>
      </c>
      <c r="H199" s="30">
        <v>2.3666666666666698</v>
      </c>
      <c r="I199" s="32">
        <v>0.22738970588235299</v>
      </c>
      <c r="J199" s="32">
        <v>0.30688330294347499</v>
      </c>
      <c r="K199" s="30">
        <v>41.233333333333299</v>
      </c>
      <c r="L199" s="30">
        <v>7.2666666666666702</v>
      </c>
      <c r="M199" s="30">
        <v>0.1</v>
      </c>
      <c r="N199" s="30">
        <v>21.6</v>
      </c>
      <c r="O199" s="30">
        <v>44.266666666666701</v>
      </c>
      <c r="P199" s="32">
        <v>0.37003676470588198</v>
      </c>
      <c r="Q199" s="32">
        <v>0.67692006764935697</v>
      </c>
      <c r="R199" s="30">
        <v>0</v>
      </c>
    </row>
    <row r="200" spans="1:18" ht="18.600000000000001" customHeight="1">
      <c r="A200" s="25" t="s">
        <v>684</v>
      </c>
      <c r="B200" s="26" t="s">
        <v>69</v>
      </c>
      <c r="C200" s="124" t="s">
        <v>19</v>
      </c>
      <c r="D200" s="30">
        <v>193</v>
      </c>
      <c r="E200" s="30">
        <v>23.1666666666667</v>
      </c>
      <c r="F200" s="30">
        <v>9.0333333333333297</v>
      </c>
      <c r="G200" s="30">
        <v>26.8</v>
      </c>
      <c r="H200" s="30">
        <v>0.36666666666666697</v>
      </c>
      <c r="I200" s="32">
        <v>0.222970639032815</v>
      </c>
      <c r="J200" s="32">
        <v>0.266778226520137</v>
      </c>
      <c r="K200" s="30">
        <v>43.033333333333303</v>
      </c>
      <c r="L200" s="30">
        <v>7.56666666666667</v>
      </c>
      <c r="M200" s="30">
        <v>0.133333333333333</v>
      </c>
      <c r="N200" s="30">
        <v>12.233333333333301</v>
      </c>
      <c r="O200" s="30">
        <v>49.2</v>
      </c>
      <c r="P200" s="32">
        <v>0.40397236614853199</v>
      </c>
      <c r="Q200" s="32">
        <v>0.67075059266866899</v>
      </c>
      <c r="R200" s="30">
        <v>0</v>
      </c>
    </row>
    <row r="201" spans="1:18" ht="18.600000000000001" customHeight="1">
      <c r="A201" s="25" t="s">
        <v>688</v>
      </c>
      <c r="B201" s="26" t="s">
        <v>158</v>
      </c>
      <c r="C201" s="124" t="s">
        <v>19</v>
      </c>
      <c r="D201" s="30">
        <v>216.666666666667</v>
      </c>
      <c r="E201" s="30">
        <v>25.6666666666667</v>
      </c>
      <c r="F201" s="30">
        <v>8.6666666666666696</v>
      </c>
      <c r="G201" s="30">
        <v>27.233333333333299</v>
      </c>
      <c r="H201" s="30">
        <v>0.7</v>
      </c>
      <c r="I201" s="32">
        <v>0.215230769230769</v>
      </c>
      <c r="J201" s="32">
        <v>0.28220091704876998</v>
      </c>
      <c r="K201" s="30">
        <v>46.633333333333297</v>
      </c>
      <c r="L201" s="30">
        <v>8.9</v>
      </c>
      <c r="M201" s="30">
        <v>0.9</v>
      </c>
      <c r="N201" s="30">
        <v>21.066666666666698</v>
      </c>
      <c r="O201" s="30">
        <v>69.233333333333306</v>
      </c>
      <c r="P201" s="32">
        <v>0.38461538461538503</v>
      </c>
      <c r="Q201" s="32">
        <v>0.66681630166415495</v>
      </c>
      <c r="R201" s="30">
        <v>0</v>
      </c>
    </row>
    <row r="202" spans="1:18" ht="18.600000000000001" customHeight="1">
      <c r="A202" s="25" t="s">
        <v>690</v>
      </c>
      <c r="B202" s="26" t="s">
        <v>178</v>
      </c>
      <c r="C202" s="124" t="s">
        <v>19</v>
      </c>
      <c r="D202" s="30">
        <v>209</v>
      </c>
      <c r="E202" s="30">
        <v>24.533333333333299</v>
      </c>
      <c r="F202" s="30">
        <v>7.6333333333333302</v>
      </c>
      <c r="G202" s="30">
        <v>23.533333333333299</v>
      </c>
      <c r="H202" s="30">
        <v>0.73333333333333295</v>
      </c>
      <c r="I202" s="32">
        <v>0.221531100478469</v>
      </c>
      <c r="J202" s="32">
        <v>0.27380760021740103</v>
      </c>
      <c r="K202" s="30">
        <v>46.3</v>
      </c>
      <c r="L202" s="30">
        <v>7.06666666666667</v>
      </c>
      <c r="M202" s="30">
        <v>1</v>
      </c>
      <c r="N202" s="30">
        <v>15.8333333333333</v>
      </c>
      <c r="O202" s="30">
        <v>50.1666666666667</v>
      </c>
      <c r="P202" s="32">
        <v>0.37448165869218503</v>
      </c>
      <c r="Q202" s="32">
        <v>0.648289258909586</v>
      </c>
      <c r="R202" s="30">
        <v>0</v>
      </c>
    </row>
    <row r="203" spans="1:18" ht="18.600000000000001" customHeight="1">
      <c r="A203" s="25" t="s">
        <v>701</v>
      </c>
      <c r="B203" s="26" t="s">
        <v>97</v>
      </c>
      <c r="C203" s="124" t="s">
        <v>19</v>
      </c>
      <c r="D203" s="30">
        <v>203</v>
      </c>
      <c r="E203" s="30">
        <v>21.8333333333333</v>
      </c>
      <c r="F203" s="30">
        <v>3.6333333333333302</v>
      </c>
      <c r="G203" s="30">
        <v>19.866666666666699</v>
      </c>
      <c r="H203" s="30">
        <v>0.73333333333333295</v>
      </c>
      <c r="I203" s="32">
        <v>0.231855500821018</v>
      </c>
      <c r="J203" s="32">
        <v>0.26777298783973802</v>
      </c>
      <c r="K203" s="30">
        <v>47.066666666666698</v>
      </c>
      <c r="L203" s="30">
        <v>9.1999999999999993</v>
      </c>
      <c r="M203" s="30">
        <v>0.5</v>
      </c>
      <c r="N203" s="30">
        <v>10.7</v>
      </c>
      <c r="O203" s="30">
        <v>54.6666666666667</v>
      </c>
      <c r="P203" s="32">
        <v>0.33579638752052499</v>
      </c>
      <c r="Q203" s="32">
        <v>0.60356937536026301</v>
      </c>
      <c r="R203" s="30">
        <v>0</v>
      </c>
    </row>
    <row r="204" spans="1:18" ht="18.600000000000001" customHeight="1">
      <c r="A204" s="25" t="s">
        <v>704</v>
      </c>
      <c r="B204" s="26" t="s">
        <v>225</v>
      </c>
      <c r="C204" s="124" t="s">
        <v>19</v>
      </c>
      <c r="D204" s="30">
        <v>200</v>
      </c>
      <c r="E204" s="30">
        <v>24.633333333333301</v>
      </c>
      <c r="F204" s="30">
        <v>7.06666666666667</v>
      </c>
      <c r="G204" s="30">
        <v>24.1666666666667</v>
      </c>
      <c r="H204" s="30">
        <v>0.73333333333333295</v>
      </c>
      <c r="I204" s="32">
        <v>0.215</v>
      </c>
      <c r="J204" s="32">
        <v>0.30496867259216098</v>
      </c>
      <c r="K204" s="30">
        <v>43</v>
      </c>
      <c r="L204" s="30">
        <v>8.43333333333333</v>
      </c>
      <c r="M204" s="30">
        <v>0.133333333333333</v>
      </c>
      <c r="N204" s="30">
        <v>26.766666666666701</v>
      </c>
      <c r="O204" s="30">
        <v>67.533333333333303</v>
      </c>
      <c r="P204" s="32">
        <v>0.36449999999999999</v>
      </c>
      <c r="Q204" s="32">
        <v>0.66946867259216103</v>
      </c>
      <c r="R204" s="30">
        <v>0</v>
      </c>
    </row>
    <row r="205" spans="1:18" ht="18.600000000000001" customHeight="1">
      <c r="A205" s="25" t="s">
        <v>708</v>
      </c>
      <c r="B205" s="26" t="s">
        <v>116</v>
      </c>
      <c r="C205" s="124" t="s">
        <v>19</v>
      </c>
      <c r="D205" s="30">
        <v>188</v>
      </c>
      <c r="E205" s="30">
        <v>23.133333333333301</v>
      </c>
      <c r="F205" s="30">
        <v>5.5</v>
      </c>
      <c r="G205" s="30">
        <v>21.866666666666699</v>
      </c>
      <c r="H205" s="30">
        <v>0.233333333333333</v>
      </c>
      <c r="I205" s="32">
        <v>0.22021276595744699</v>
      </c>
      <c r="J205" s="32">
        <v>0.28574177410044299</v>
      </c>
      <c r="K205" s="30">
        <v>41.4</v>
      </c>
      <c r="L205" s="30">
        <v>10.5</v>
      </c>
      <c r="M205" s="30">
        <v>6.6666666666666693E-2</v>
      </c>
      <c r="N205" s="30">
        <v>18</v>
      </c>
      <c r="O205" s="30">
        <v>74.133333333333297</v>
      </c>
      <c r="P205" s="32">
        <v>0.364539007092199</v>
      </c>
      <c r="Q205" s="32">
        <v>0.65028078119264099</v>
      </c>
      <c r="R205" s="30">
        <v>0</v>
      </c>
    </row>
    <row r="206" spans="1:18" ht="20.100000000000001" customHeight="1">
      <c r="A206" s="25" t="s">
        <v>705</v>
      </c>
      <c r="B206" s="26" t="s">
        <v>105</v>
      </c>
      <c r="C206" s="124" t="s">
        <v>19</v>
      </c>
      <c r="D206" s="30">
        <v>107.666666666667</v>
      </c>
      <c r="E206" s="30">
        <v>14.1</v>
      </c>
      <c r="F206" s="30">
        <v>3.8666666666666698</v>
      </c>
      <c r="G206" s="30">
        <v>13.266666666666699</v>
      </c>
      <c r="H206" s="30">
        <v>1.2333333333333301</v>
      </c>
      <c r="I206" s="32">
        <v>0.239938080495356</v>
      </c>
      <c r="J206" s="32">
        <v>0.28634550827762301</v>
      </c>
      <c r="K206" s="30">
        <v>25.8333333333333</v>
      </c>
      <c r="L206" s="30">
        <v>5.9666666666666703</v>
      </c>
      <c r="M206" s="30">
        <v>0.43333333333333302</v>
      </c>
      <c r="N206" s="30">
        <v>7.43333333333333</v>
      </c>
      <c r="O206" s="30">
        <v>32.3333333333333</v>
      </c>
      <c r="P206" s="32">
        <v>0.411145510835913</v>
      </c>
      <c r="Q206" s="32">
        <v>0.69749101911353595</v>
      </c>
      <c r="R206" s="30">
        <v>0</v>
      </c>
    </row>
    <row r="207" spans="1:18" ht="18.600000000000001" customHeight="1">
      <c r="A207" s="25" t="s">
        <v>84</v>
      </c>
      <c r="B207" s="26" t="s">
        <v>85</v>
      </c>
      <c r="C207" s="125" t="s">
        <v>114</v>
      </c>
      <c r="D207" s="30">
        <v>539</v>
      </c>
      <c r="E207" s="30">
        <v>93.233333333333306</v>
      </c>
      <c r="F207" s="30">
        <v>34.266666666666701</v>
      </c>
      <c r="G207" s="30">
        <v>92.7</v>
      </c>
      <c r="H207" s="30">
        <v>17.133333333333301</v>
      </c>
      <c r="I207" s="32">
        <v>0.26035868893011799</v>
      </c>
      <c r="J207" s="32">
        <v>0.34828518739549602</v>
      </c>
      <c r="K207" s="30">
        <v>140.333333333333</v>
      </c>
      <c r="L207" s="30">
        <v>27.1666666666667</v>
      </c>
      <c r="M207" s="30">
        <v>4.8333333333333304</v>
      </c>
      <c r="N207" s="30">
        <v>75.599999999999994</v>
      </c>
      <c r="O207" s="30">
        <v>162.066666666667</v>
      </c>
      <c r="P207" s="32">
        <v>0.51941867656153395</v>
      </c>
      <c r="Q207" s="32">
        <v>0.86770386395702903</v>
      </c>
      <c r="R207" s="30">
        <v>0</v>
      </c>
    </row>
    <row r="208" spans="1:18" ht="18.600000000000001" customHeight="1">
      <c r="A208" s="25" t="s">
        <v>315</v>
      </c>
      <c r="B208" s="26" t="s">
        <v>82</v>
      </c>
      <c r="C208" s="125" t="s">
        <v>114</v>
      </c>
      <c r="D208" s="30">
        <v>523.33333333333303</v>
      </c>
      <c r="E208" s="30">
        <v>73.8333333333333</v>
      </c>
      <c r="F208" s="30">
        <v>20.733333333333299</v>
      </c>
      <c r="G208" s="30">
        <v>77.766666666666694</v>
      </c>
      <c r="H208" s="30">
        <v>0.6</v>
      </c>
      <c r="I208" s="32">
        <v>0.26191082802547799</v>
      </c>
      <c r="J208" s="32">
        <v>0.32433987228901801</v>
      </c>
      <c r="K208" s="30">
        <v>137.066666666667</v>
      </c>
      <c r="L208" s="30">
        <v>35.233333333333299</v>
      </c>
      <c r="M208" s="30">
        <v>1.3333333333333299</v>
      </c>
      <c r="N208" s="30">
        <v>50.866666666666703</v>
      </c>
      <c r="O208" s="30">
        <v>143.63333333333301</v>
      </c>
      <c r="P208" s="32">
        <v>0.45318471337579602</v>
      </c>
      <c r="Q208" s="32">
        <v>0.77752458566481397</v>
      </c>
      <c r="R208" s="30">
        <v>0</v>
      </c>
    </row>
    <row r="209" spans="1:18" ht="18.600000000000001" customHeight="1">
      <c r="A209" s="25" t="s">
        <v>370</v>
      </c>
      <c r="B209" s="26" t="s">
        <v>92</v>
      </c>
      <c r="C209" s="125" t="s">
        <v>114</v>
      </c>
      <c r="D209" s="30">
        <v>282.66666666666703</v>
      </c>
      <c r="E209" s="30">
        <v>50.866666666666703</v>
      </c>
      <c r="F209" s="30">
        <v>16.5</v>
      </c>
      <c r="G209" s="30">
        <v>48.8333333333333</v>
      </c>
      <c r="H209" s="30">
        <v>8.1333333333333293</v>
      </c>
      <c r="I209" s="32">
        <v>0.28207547169811298</v>
      </c>
      <c r="J209" s="32">
        <v>0.38215157945309702</v>
      </c>
      <c r="K209" s="30">
        <v>79.733333333333306</v>
      </c>
      <c r="L209" s="30">
        <v>19.1666666666667</v>
      </c>
      <c r="M209" s="30">
        <v>0.9</v>
      </c>
      <c r="N209" s="30">
        <v>47.533333333333303</v>
      </c>
      <c r="O209" s="30">
        <v>70.6666666666667</v>
      </c>
      <c r="P209" s="32">
        <v>0.53136792452830195</v>
      </c>
      <c r="Q209" s="32">
        <v>0.91351950398139903</v>
      </c>
      <c r="R209" s="30">
        <v>0</v>
      </c>
    </row>
    <row r="210" spans="1:18" ht="20.100000000000001" customHeight="1">
      <c r="A210" s="25" t="s">
        <v>582</v>
      </c>
      <c r="B210" s="26" t="s">
        <v>64</v>
      </c>
      <c r="C210" s="125" t="s">
        <v>114</v>
      </c>
      <c r="D210" s="30">
        <v>339.33333333333297</v>
      </c>
      <c r="E210" s="30">
        <v>45.033333333333303</v>
      </c>
      <c r="F210" s="30">
        <v>14.5</v>
      </c>
      <c r="G210" s="30">
        <v>49.966666666666697</v>
      </c>
      <c r="H210" s="30">
        <v>1.86666666666667</v>
      </c>
      <c r="I210" s="32">
        <v>0.251866404715128</v>
      </c>
      <c r="J210" s="32">
        <v>0.31826372694509197</v>
      </c>
      <c r="K210" s="30">
        <v>85.466666666666697</v>
      </c>
      <c r="L210" s="30">
        <v>13.8</v>
      </c>
      <c r="M210" s="30">
        <v>0.133333333333333</v>
      </c>
      <c r="N210" s="30">
        <v>34.633333333333297</v>
      </c>
      <c r="O210" s="30">
        <v>91</v>
      </c>
      <c r="P210" s="32">
        <v>0.42151277013752397</v>
      </c>
      <c r="Q210" s="32">
        <v>0.73977649708261695</v>
      </c>
      <c r="R210" s="30">
        <v>0</v>
      </c>
    </row>
    <row r="211" spans="1:18" ht="18.600000000000001" customHeight="1">
      <c r="A211" s="25" t="s">
        <v>666</v>
      </c>
      <c r="B211" s="26" t="s">
        <v>160</v>
      </c>
      <c r="C211" s="125" t="s">
        <v>114</v>
      </c>
      <c r="D211" s="30">
        <v>294.33333333333297</v>
      </c>
      <c r="E211" s="30">
        <v>36.633333333333297</v>
      </c>
      <c r="F211" s="30">
        <v>14.466666666666701</v>
      </c>
      <c r="G211" s="30">
        <v>44.1</v>
      </c>
      <c r="H211" s="30">
        <v>1.43333333333333</v>
      </c>
      <c r="I211" s="32">
        <v>0.24110985277463201</v>
      </c>
      <c r="J211" s="32">
        <v>0.29966062531590698</v>
      </c>
      <c r="K211" s="30">
        <v>70.966666666666697</v>
      </c>
      <c r="L211" s="30">
        <v>11.966666666666701</v>
      </c>
      <c r="M211" s="30">
        <v>1.2333333333333301</v>
      </c>
      <c r="N211" s="30">
        <v>25.866666666666699</v>
      </c>
      <c r="O211" s="30">
        <v>101.5</v>
      </c>
      <c r="P211" s="32">
        <v>0.437599093997735</v>
      </c>
      <c r="Q211" s="32">
        <v>0.73725971931364198</v>
      </c>
      <c r="R211" s="30">
        <v>0</v>
      </c>
    </row>
    <row r="212" spans="1:18" ht="18.600000000000001" customHeight="1">
      <c r="A212" s="25" t="s">
        <v>697</v>
      </c>
      <c r="B212" s="26" t="s">
        <v>122</v>
      </c>
      <c r="C212" s="125" t="s">
        <v>114</v>
      </c>
      <c r="D212" s="30">
        <v>264</v>
      </c>
      <c r="E212" s="30">
        <v>36.1666666666667</v>
      </c>
      <c r="F212" s="30">
        <v>11.9</v>
      </c>
      <c r="G212" s="30">
        <v>34.6666666666667</v>
      </c>
      <c r="H212" s="30">
        <v>2.9666666666666699</v>
      </c>
      <c r="I212" s="32">
        <v>0.23749999999999999</v>
      </c>
      <c r="J212" s="32">
        <v>0.31763734915571801</v>
      </c>
      <c r="K212" s="30">
        <v>62.7</v>
      </c>
      <c r="L212" s="30">
        <v>8.43333333333333</v>
      </c>
      <c r="M212" s="30">
        <v>0.266666666666667</v>
      </c>
      <c r="N212" s="30">
        <v>32.233333333333299</v>
      </c>
      <c r="O212" s="30">
        <v>82</v>
      </c>
      <c r="P212" s="32">
        <v>0.40669191919191899</v>
      </c>
      <c r="Q212" s="32">
        <v>0.724329268347637</v>
      </c>
      <c r="R212" s="30">
        <v>0</v>
      </c>
    </row>
    <row r="213" spans="1:18" ht="20.100000000000001" customHeight="1">
      <c r="A213" s="25" t="s">
        <v>707</v>
      </c>
      <c r="B213" s="26" t="s">
        <v>64</v>
      </c>
      <c r="C213" s="125" t="s">
        <v>114</v>
      </c>
      <c r="D213" s="30">
        <v>270</v>
      </c>
      <c r="E213" s="30">
        <v>38.366666666666703</v>
      </c>
      <c r="F213" s="30">
        <v>12.633333333333301</v>
      </c>
      <c r="G213" s="30">
        <v>42</v>
      </c>
      <c r="H213" s="30">
        <v>1.9666666666666699</v>
      </c>
      <c r="I213" s="32">
        <v>0.22345679012345701</v>
      </c>
      <c r="J213" s="32">
        <v>0.31663627587686399</v>
      </c>
      <c r="K213" s="30">
        <v>60.3333333333333</v>
      </c>
      <c r="L213" s="30">
        <v>14.033333333333299</v>
      </c>
      <c r="M213" s="30">
        <v>0.63333333333333297</v>
      </c>
      <c r="N213" s="30">
        <v>38.066666666666698</v>
      </c>
      <c r="O213" s="30">
        <v>85.466666666666697</v>
      </c>
      <c r="P213" s="32">
        <v>0.42049382716049399</v>
      </c>
      <c r="Q213" s="32">
        <v>0.73713010303735804</v>
      </c>
      <c r="R213" s="30">
        <v>0</v>
      </c>
    </row>
    <row r="214" spans="1:18" ht="18.600000000000001" customHeight="1">
      <c r="A214" s="25" t="s">
        <v>711</v>
      </c>
      <c r="B214" s="26" t="s">
        <v>97</v>
      </c>
      <c r="C214" s="125" t="s">
        <v>114</v>
      </c>
      <c r="D214" s="30">
        <v>286.5</v>
      </c>
      <c r="E214" s="30">
        <v>40.6</v>
      </c>
      <c r="F214" s="30">
        <v>12.6</v>
      </c>
      <c r="G214" s="30">
        <v>39.549999999999997</v>
      </c>
      <c r="H214" s="30">
        <v>0.35</v>
      </c>
      <c r="I214" s="32">
        <v>0.22443280977312399</v>
      </c>
      <c r="J214" s="32">
        <v>0.33962707040476497</v>
      </c>
      <c r="K214" s="30">
        <v>64.3</v>
      </c>
      <c r="L214" s="30">
        <v>10.85</v>
      </c>
      <c r="M214" s="30">
        <v>0.8</v>
      </c>
      <c r="N214" s="30">
        <v>51.45</v>
      </c>
      <c r="O214" s="30">
        <v>84.6</v>
      </c>
      <c r="P214" s="32">
        <v>0.39982547993019202</v>
      </c>
      <c r="Q214" s="32">
        <v>0.73945255033495705</v>
      </c>
      <c r="R214" s="30">
        <v>0</v>
      </c>
    </row>
    <row r="215" spans="1:18" ht="18.600000000000001" customHeight="1">
      <c r="A215" s="25" t="s">
        <v>709</v>
      </c>
      <c r="B215" s="26" t="s">
        <v>87</v>
      </c>
      <c r="C215" s="125" t="s">
        <v>114</v>
      </c>
      <c r="D215" s="30">
        <v>278.33333333333297</v>
      </c>
      <c r="E215" s="30">
        <v>36.366666666666703</v>
      </c>
      <c r="F215" s="30">
        <v>13.266666666666699</v>
      </c>
      <c r="G215" s="30">
        <v>38.633333333333297</v>
      </c>
      <c r="H215" s="30">
        <v>1.7666666666666699</v>
      </c>
      <c r="I215" s="32">
        <v>0.22443113772455101</v>
      </c>
      <c r="J215" s="32">
        <v>0.30429018401654601</v>
      </c>
      <c r="K215" s="30">
        <v>62.466666666666697</v>
      </c>
      <c r="L215" s="30">
        <v>12.266666666666699</v>
      </c>
      <c r="M215" s="30">
        <v>0.53333333333333299</v>
      </c>
      <c r="N215" s="30">
        <v>33.1666666666667</v>
      </c>
      <c r="O215" s="30">
        <v>87.733333333333306</v>
      </c>
      <c r="P215" s="32">
        <v>0.41532934131736499</v>
      </c>
      <c r="Q215" s="32">
        <v>0.71961952533391105</v>
      </c>
      <c r="R215" s="30">
        <v>0</v>
      </c>
    </row>
    <row r="216" spans="1:18" ht="18.600000000000001" customHeight="1">
      <c r="A216" s="25" t="s">
        <v>714</v>
      </c>
      <c r="B216" s="26" t="s">
        <v>260</v>
      </c>
      <c r="C216" s="125" t="s">
        <v>114</v>
      </c>
      <c r="D216" s="30">
        <v>297.33333333333297</v>
      </c>
      <c r="E216" s="30">
        <v>29.2</v>
      </c>
      <c r="F216" s="30">
        <v>6.9666666666666703</v>
      </c>
      <c r="G216" s="30">
        <v>36.033333333333303</v>
      </c>
      <c r="H216" s="30">
        <v>0.9</v>
      </c>
      <c r="I216" s="32">
        <v>0.24865470852017901</v>
      </c>
      <c r="J216" s="32">
        <v>0.30032350456409301</v>
      </c>
      <c r="K216" s="30">
        <v>73.933333333333294</v>
      </c>
      <c r="L216" s="30">
        <v>9.6333333333333293</v>
      </c>
      <c r="M216" s="30">
        <v>0.5</v>
      </c>
      <c r="N216" s="30">
        <v>23.233333333333299</v>
      </c>
      <c r="O216" s="30">
        <v>75.633333333333297</v>
      </c>
      <c r="P216" s="32">
        <v>0.35470852017937199</v>
      </c>
      <c r="Q216" s="32">
        <v>0.655032024743465</v>
      </c>
      <c r="R216" s="30">
        <v>0</v>
      </c>
    </row>
    <row r="217" spans="1:18" ht="18.600000000000001" customHeight="1">
      <c r="A217" s="25" t="s">
        <v>715</v>
      </c>
      <c r="B217" s="26" t="s">
        <v>92</v>
      </c>
      <c r="C217" s="125" t="s">
        <v>114</v>
      </c>
      <c r="D217" s="30">
        <v>209.666666666667</v>
      </c>
      <c r="E217" s="30">
        <v>28.766666666666701</v>
      </c>
      <c r="F217" s="30">
        <v>12.1</v>
      </c>
      <c r="G217" s="30">
        <v>29.933333333333302</v>
      </c>
      <c r="H217" s="30">
        <v>0.76666666666666705</v>
      </c>
      <c r="I217" s="32">
        <v>0.24197138314785399</v>
      </c>
      <c r="J217" s="32">
        <v>0.29112679569766198</v>
      </c>
      <c r="K217" s="30">
        <v>50.733333333333299</v>
      </c>
      <c r="L217" s="30">
        <v>11.466666666666701</v>
      </c>
      <c r="M217" s="30">
        <v>0.83333333333333304</v>
      </c>
      <c r="N217" s="30">
        <v>15.4</v>
      </c>
      <c r="O217" s="30">
        <v>63.466666666666697</v>
      </c>
      <c r="P217" s="32">
        <v>0.47774244833068402</v>
      </c>
      <c r="Q217" s="32">
        <v>0.768869244028346</v>
      </c>
      <c r="R217" s="30">
        <v>0</v>
      </c>
    </row>
    <row r="218" spans="1:18" ht="18.600000000000001" customHeight="1">
      <c r="A218" s="25" t="s">
        <v>734</v>
      </c>
      <c r="B218" s="26" t="s">
        <v>72</v>
      </c>
      <c r="C218" s="125" t="s">
        <v>114</v>
      </c>
      <c r="D218" s="30">
        <v>177.5</v>
      </c>
      <c r="E218" s="30">
        <v>22.15</v>
      </c>
      <c r="F218" s="30">
        <v>3.85</v>
      </c>
      <c r="G218" s="30">
        <v>19</v>
      </c>
      <c r="H218" s="30">
        <v>0.95</v>
      </c>
      <c r="I218" s="32">
        <v>0.24816901408450701</v>
      </c>
      <c r="J218" s="32">
        <v>0.30412967966036297</v>
      </c>
      <c r="K218" s="30">
        <v>44.05</v>
      </c>
      <c r="L218" s="30">
        <v>9.0500000000000007</v>
      </c>
      <c r="M218" s="30">
        <v>0.15</v>
      </c>
      <c r="N218" s="30">
        <v>15.05</v>
      </c>
      <c r="O218" s="30">
        <v>28.75</v>
      </c>
      <c r="P218" s="32">
        <v>0.365915492957747</v>
      </c>
      <c r="Q218" s="32">
        <v>0.67004517261810903</v>
      </c>
      <c r="R218" s="30">
        <v>0</v>
      </c>
    </row>
    <row r="219" spans="1:18" ht="18.600000000000001" customHeight="1">
      <c r="A219" s="25" t="s">
        <v>736</v>
      </c>
      <c r="B219" s="26" t="s">
        <v>77</v>
      </c>
      <c r="C219" s="125" t="s">
        <v>114</v>
      </c>
      <c r="D219" s="30">
        <v>141.5</v>
      </c>
      <c r="E219" s="30">
        <v>17.899999999999999</v>
      </c>
      <c r="F219" s="30">
        <v>4.55</v>
      </c>
      <c r="G219" s="30">
        <v>17.649999999999999</v>
      </c>
      <c r="H219" s="30">
        <v>1.65</v>
      </c>
      <c r="I219" s="32">
        <v>0.246289752650177</v>
      </c>
      <c r="J219" s="32">
        <v>0.29880284203354601</v>
      </c>
      <c r="K219" s="30">
        <v>34.85</v>
      </c>
      <c r="L219" s="30">
        <v>6.95</v>
      </c>
      <c r="M219" s="30">
        <v>0.8</v>
      </c>
      <c r="N219" s="30">
        <v>11.2</v>
      </c>
      <c r="O219" s="30">
        <v>36.6</v>
      </c>
      <c r="P219" s="32">
        <v>0.40318021201413401</v>
      </c>
      <c r="Q219" s="32">
        <v>0.70198305404768102</v>
      </c>
      <c r="R219" s="30">
        <v>0</v>
      </c>
    </row>
    <row r="220" spans="1:18" ht="18.600000000000001" customHeight="1">
      <c r="A220" s="25" t="s">
        <v>68</v>
      </c>
      <c r="B220" s="26" t="s">
        <v>69</v>
      </c>
      <c r="C220" s="126" t="s">
        <v>23</v>
      </c>
      <c r="D220" s="30">
        <v>534.33333333333303</v>
      </c>
      <c r="E220" s="30">
        <v>108.73333333333299</v>
      </c>
      <c r="F220" s="30">
        <v>44.8</v>
      </c>
      <c r="G220" s="30">
        <v>104.8</v>
      </c>
      <c r="H220" s="30">
        <v>9.8333333333333304</v>
      </c>
      <c r="I220" s="32">
        <v>0.28814722395508402</v>
      </c>
      <c r="J220" s="32">
        <v>0.38546308147408598</v>
      </c>
      <c r="K220" s="30">
        <v>153.96666666666701</v>
      </c>
      <c r="L220" s="30">
        <v>23.8</v>
      </c>
      <c r="M220" s="30">
        <v>0.53333333333333299</v>
      </c>
      <c r="N220" s="30">
        <v>87.966666666666697</v>
      </c>
      <c r="O220" s="30">
        <v>159.833333333333</v>
      </c>
      <c r="P220" s="32">
        <v>0.58621334996880803</v>
      </c>
      <c r="Q220" s="32">
        <v>0.97167643144289395</v>
      </c>
      <c r="R220" s="30">
        <v>0</v>
      </c>
    </row>
    <row r="221" spans="1:18" ht="18.600000000000001" customHeight="1">
      <c r="A221" s="25" t="s">
        <v>71</v>
      </c>
      <c r="B221" s="26" t="s">
        <v>72</v>
      </c>
      <c r="C221" s="126" t="s">
        <v>23</v>
      </c>
      <c r="D221" s="30">
        <v>579</v>
      </c>
      <c r="E221" s="30">
        <v>96.6</v>
      </c>
      <c r="F221" s="30">
        <v>30.2</v>
      </c>
      <c r="G221" s="30">
        <v>82.5</v>
      </c>
      <c r="H221" s="30">
        <v>26.033333333333299</v>
      </c>
      <c r="I221" s="32">
        <v>0.279504893494531</v>
      </c>
      <c r="J221" s="32">
        <v>0.33265487516895698</v>
      </c>
      <c r="K221" s="30">
        <v>161.833333333333</v>
      </c>
      <c r="L221" s="30">
        <v>30.9</v>
      </c>
      <c r="M221" s="30">
        <v>3.3</v>
      </c>
      <c r="N221" s="30">
        <v>49</v>
      </c>
      <c r="O221" s="30">
        <v>158.46666666666701</v>
      </c>
      <c r="P221" s="32">
        <v>0.50074841681059301</v>
      </c>
      <c r="Q221" s="32">
        <v>0.83340329197954999</v>
      </c>
      <c r="R221" s="30">
        <v>0</v>
      </c>
    </row>
    <row r="222" spans="1:18" ht="20.100000000000001" customHeight="1">
      <c r="A222" s="25" t="s">
        <v>73</v>
      </c>
      <c r="B222" s="26" t="s">
        <v>74</v>
      </c>
      <c r="C222" s="126" t="s">
        <v>23</v>
      </c>
      <c r="D222" s="30">
        <v>531.33333333333303</v>
      </c>
      <c r="E222" s="30">
        <v>102.566666666667</v>
      </c>
      <c r="F222" s="30">
        <v>27.466666666666701</v>
      </c>
      <c r="G222" s="30">
        <v>72.933333333333294</v>
      </c>
      <c r="H222" s="30">
        <v>32.433333333333302</v>
      </c>
      <c r="I222" s="32">
        <v>0.27013801756587202</v>
      </c>
      <c r="J222" s="32">
        <v>0.35637490858683402</v>
      </c>
      <c r="K222" s="30">
        <v>143.53333333333299</v>
      </c>
      <c r="L222" s="30">
        <v>29.1</v>
      </c>
      <c r="M222" s="30">
        <v>0.63333333333333297</v>
      </c>
      <c r="N222" s="30">
        <v>74.133333333333297</v>
      </c>
      <c r="O222" s="30">
        <v>146.76666666666699</v>
      </c>
      <c r="P222" s="32">
        <v>0.48237139272271001</v>
      </c>
      <c r="Q222" s="32">
        <v>0.83874630130954397</v>
      </c>
      <c r="R222" s="30">
        <v>0</v>
      </c>
    </row>
    <row r="223" spans="1:18" ht="18.600000000000001" customHeight="1">
      <c r="A223" s="25" t="s">
        <v>78</v>
      </c>
      <c r="B223" s="26" t="s">
        <v>79</v>
      </c>
      <c r="C223" s="126" t="s">
        <v>23</v>
      </c>
      <c r="D223" s="30">
        <v>553</v>
      </c>
      <c r="E223" s="30">
        <v>85.533333333333303</v>
      </c>
      <c r="F223" s="30">
        <v>31.433333333333302</v>
      </c>
      <c r="G223" s="30">
        <v>100.066666666667</v>
      </c>
      <c r="H223" s="30">
        <v>20.733333333333299</v>
      </c>
      <c r="I223" s="32">
        <v>0.27709463532248302</v>
      </c>
      <c r="J223" s="32">
        <v>0.34233201174822397</v>
      </c>
      <c r="K223" s="30">
        <v>153.23333333333301</v>
      </c>
      <c r="L223" s="30">
        <v>30.966666666666701</v>
      </c>
      <c r="M223" s="30">
        <v>3.1666666666666701</v>
      </c>
      <c r="N223" s="30">
        <v>57.733333333333299</v>
      </c>
      <c r="O223" s="30">
        <v>101.033333333333</v>
      </c>
      <c r="P223" s="32">
        <v>0.51506931886678697</v>
      </c>
      <c r="Q223" s="32">
        <v>0.857401330615012</v>
      </c>
      <c r="R223" s="30">
        <v>0</v>
      </c>
    </row>
    <row r="224" spans="1:18" ht="18.600000000000001" customHeight="1">
      <c r="A224" s="25" t="s">
        <v>80</v>
      </c>
      <c r="B224" s="26" t="s">
        <v>79</v>
      </c>
      <c r="C224" s="126" t="s">
        <v>23</v>
      </c>
      <c r="D224" s="30">
        <v>525.33333333333303</v>
      </c>
      <c r="E224" s="30">
        <v>95.933333333333294</v>
      </c>
      <c r="F224" s="30">
        <v>36.6</v>
      </c>
      <c r="G224" s="30">
        <v>105.866666666667</v>
      </c>
      <c r="H224" s="30">
        <v>1.56666666666667</v>
      </c>
      <c r="I224" s="32">
        <v>0.290291878172589</v>
      </c>
      <c r="J224" s="32">
        <v>0.37203946275729999</v>
      </c>
      <c r="K224" s="30">
        <v>152.5</v>
      </c>
      <c r="L224" s="30">
        <v>30.033333333333299</v>
      </c>
      <c r="M224" s="30">
        <v>2.06666666666667</v>
      </c>
      <c r="N224" s="30">
        <v>71.5</v>
      </c>
      <c r="O224" s="30">
        <v>127.4</v>
      </c>
      <c r="P224" s="32">
        <v>0.56434010152284297</v>
      </c>
      <c r="Q224" s="32">
        <v>0.93637956428014202</v>
      </c>
      <c r="R224" s="30">
        <v>0</v>
      </c>
    </row>
    <row r="225" spans="1:18" ht="18.600000000000001" customHeight="1">
      <c r="A225" s="25" t="s">
        <v>83</v>
      </c>
      <c r="B225" s="26" t="s">
        <v>64</v>
      </c>
      <c r="C225" s="126" t="s">
        <v>23</v>
      </c>
      <c r="D225" s="30">
        <v>520.33333333333303</v>
      </c>
      <c r="E225" s="30">
        <v>110.066666666667</v>
      </c>
      <c r="F225" s="30">
        <v>31.133333333333301</v>
      </c>
      <c r="G225" s="30">
        <v>87.633333333333297</v>
      </c>
      <c r="H225" s="30">
        <v>8.93333333333333</v>
      </c>
      <c r="I225" s="32">
        <v>0.28289557975656598</v>
      </c>
      <c r="J225" s="32">
        <v>0.42835342053175302</v>
      </c>
      <c r="K225" s="30">
        <v>147.19999999999999</v>
      </c>
      <c r="L225" s="30">
        <v>27.266666666666701</v>
      </c>
      <c r="M225" s="30">
        <v>2.0333333333333301</v>
      </c>
      <c r="N225" s="30">
        <v>136.30000000000001</v>
      </c>
      <c r="O225" s="30">
        <v>94.366666666666703</v>
      </c>
      <c r="P225" s="32">
        <v>0.52261370916079397</v>
      </c>
      <c r="Q225" s="32">
        <v>0.95096712969254704</v>
      </c>
      <c r="R225" s="30">
        <v>0</v>
      </c>
    </row>
    <row r="226" spans="1:18" ht="18.600000000000001" customHeight="1">
      <c r="A226" s="25" t="s">
        <v>81</v>
      </c>
      <c r="B226" s="26" t="s">
        <v>82</v>
      </c>
      <c r="C226" s="126" t="s">
        <v>23</v>
      </c>
      <c r="D226" s="30">
        <v>568</v>
      </c>
      <c r="E226" s="30">
        <v>110.666666666667</v>
      </c>
      <c r="F226" s="30">
        <v>31.066666666666698</v>
      </c>
      <c r="G226" s="30">
        <v>81.6666666666667</v>
      </c>
      <c r="H226" s="30">
        <v>14.6</v>
      </c>
      <c r="I226" s="32">
        <v>0.272887323943662</v>
      </c>
      <c r="J226" s="32">
        <v>0.34476822435756999</v>
      </c>
      <c r="K226" s="30">
        <v>155</v>
      </c>
      <c r="L226" s="30">
        <v>36.633333333333297</v>
      </c>
      <c r="M226" s="30">
        <v>2.8</v>
      </c>
      <c r="N226" s="30">
        <v>65.3</v>
      </c>
      <c r="O226" s="30">
        <v>103.73333333333299</v>
      </c>
      <c r="P226" s="32">
        <v>0.51132629107981198</v>
      </c>
      <c r="Q226" s="32">
        <v>0.85609451543738202</v>
      </c>
      <c r="R226" s="30">
        <v>0</v>
      </c>
    </row>
    <row r="227" spans="1:18" ht="18.600000000000001" customHeight="1">
      <c r="A227" s="25" t="s">
        <v>90</v>
      </c>
      <c r="B227" s="26" t="s">
        <v>85</v>
      </c>
      <c r="C227" s="126" t="s">
        <v>23</v>
      </c>
      <c r="D227" s="30">
        <v>496.33333333333297</v>
      </c>
      <c r="E227" s="30">
        <v>95.533333333333303</v>
      </c>
      <c r="F227" s="30">
        <v>37.466666666666697</v>
      </c>
      <c r="G227" s="30">
        <v>90</v>
      </c>
      <c r="H227" s="30">
        <v>2.56666666666667</v>
      </c>
      <c r="I227" s="32">
        <v>0.27179314976494301</v>
      </c>
      <c r="J227" s="32">
        <v>0.36278471179543098</v>
      </c>
      <c r="K227" s="30">
        <v>134.9</v>
      </c>
      <c r="L227" s="30">
        <v>27.633333333333301</v>
      </c>
      <c r="M227" s="30">
        <v>2.6666666666666701</v>
      </c>
      <c r="N227" s="30">
        <v>73.7</v>
      </c>
      <c r="O227" s="30">
        <v>154.63333333333301</v>
      </c>
      <c r="P227" s="32">
        <v>0.56467427803895198</v>
      </c>
      <c r="Q227" s="32">
        <v>0.92745898983438302</v>
      </c>
      <c r="R227" s="30">
        <v>0</v>
      </c>
    </row>
    <row r="228" spans="1:18" ht="18.600000000000001" customHeight="1">
      <c r="A228" s="25" t="s">
        <v>88</v>
      </c>
      <c r="B228" s="26" t="s">
        <v>74</v>
      </c>
      <c r="C228" s="126" t="s">
        <v>23</v>
      </c>
      <c r="D228" s="30">
        <v>530</v>
      </c>
      <c r="E228" s="30">
        <v>86.133333333333297</v>
      </c>
      <c r="F228" s="30">
        <v>21.1</v>
      </c>
      <c r="G228" s="30">
        <v>76.533333333333303</v>
      </c>
      <c r="H228" s="30">
        <v>22.2</v>
      </c>
      <c r="I228" s="32">
        <v>0.28477987421383599</v>
      </c>
      <c r="J228" s="32">
        <v>0.32365534635462501</v>
      </c>
      <c r="K228" s="30">
        <v>150.933333333333</v>
      </c>
      <c r="L228" s="30">
        <v>33.433333333333302</v>
      </c>
      <c r="M228" s="30">
        <v>3.4666666666666699</v>
      </c>
      <c r="N228" s="30">
        <v>33</v>
      </c>
      <c r="O228" s="30">
        <v>130.666666666667</v>
      </c>
      <c r="P228" s="32">
        <v>0.48037735849056601</v>
      </c>
      <c r="Q228" s="32">
        <v>0.80403270484519096</v>
      </c>
      <c r="R228" s="30">
        <v>0</v>
      </c>
    </row>
    <row r="229" spans="1:18" ht="18.600000000000001" customHeight="1">
      <c r="A229" s="25" t="s">
        <v>102</v>
      </c>
      <c r="B229" s="26" t="s">
        <v>103</v>
      </c>
      <c r="C229" s="126" t="s">
        <v>23</v>
      </c>
      <c r="D229" s="30">
        <v>540.66666666666697</v>
      </c>
      <c r="E229" s="30">
        <v>78.099999999999994</v>
      </c>
      <c r="F229" s="30">
        <v>20.5</v>
      </c>
      <c r="G229" s="30">
        <v>77.033333333333303</v>
      </c>
      <c r="H229" s="30">
        <v>26.033333333333299</v>
      </c>
      <c r="I229" s="32">
        <v>0.262083847102343</v>
      </c>
      <c r="J229" s="32">
        <v>0.31974070834174501</v>
      </c>
      <c r="K229" s="30">
        <v>141.69999999999999</v>
      </c>
      <c r="L229" s="30">
        <v>33</v>
      </c>
      <c r="M229" s="30">
        <v>2.43333333333333</v>
      </c>
      <c r="N229" s="30">
        <v>48.366666666666703</v>
      </c>
      <c r="O229" s="30">
        <v>152.36666666666699</v>
      </c>
      <c r="P229" s="32">
        <v>0.44586929716399498</v>
      </c>
      <c r="Q229" s="32">
        <v>0.76561000550573999</v>
      </c>
      <c r="R229" s="30">
        <v>0</v>
      </c>
    </row>
    <row r="230" spans="1:18" ht="18.600000000000001" customHeight="1">
      <c r="A230" s="25" t="s">
        <v>100</v>
      </c>
      <c r="B230" s="26" t="s">
        <v>101</v>
      </c>
      <c r="C230" s="126" t="s">
        <v>23</v>
      </c>
      <c r="D230" s="30">
        <v>575.66666666666697</v>
      </c>
      <c r="E230" s="30">
        <v>86.5</v>
      </c>
      <c r="F230" s="30">
        <v>18.933333333333302</v>
      </c>
      <c r="G230" s="30">
        <v>60.3333333333333</v>
      </c>
      <c r="H230" s="30">
        <v>30.233333333333299</v>
      </c>
      <c r="I230" s="32">
        <v>0.26230457440648502</v>
      </c>
      <c r="J230" s="32">
        <v>0.31674136316254597</v>
      </c>
      <c r="K230" s="30">
        <v>151</v>
      </c>
      <c r="L230" s="30">
        <v>31.3333333333333</v>
      </c>
      <c r="M230" s="30">
        <v>4.1666666666666696</v>
      </c>
      <c r="N230" s="30">
        <v>48.533333333333303</v>
      </c>
      <c r="O230" s="30">
        <v>122.133333333333</v>
      </c>
      <c r="P230" s="32">
        <v>0.42987840185292397</v>
      </c>
      <c r="Q230" s="32">
        <v>0.74661976501547</v>
      </c>
      <c r="R230" s="30">
        <v>0</v>
      </c>
    </row>
    <row r="231" spans="1:18" ht="18.600000000000001" customHeight="1">
      <c r="A231" s="25" t="s">
        <v>115</v>
      </c>
      <c r="B231" s="26" t="s">
        <v>116</v>
      </c>
      <c r="C231" s="126" t="s">
        <v>23</v>
      </c>
      <c r="D231" s="30">
        <v>502.66666666666703</v>
      </c>
      <c r="E231" s="30">
        <v>73.933333333333294</v>
      </c>
      <c r="F231" s="30">
        <v>21.233333333333299</v>
      </c>
      <c r="G231" s="30">
        <v>77.1666666666667</v>
      </c>
      <c r="H231" s="30">
        <v>13.966666666666701</v>
      </c>
      <c r="I231" s="32">
        <v>0.28580901856763902</v>
      </c>
      <c r="J231" s="32">
        <v>0.32352977613696898</v>
      </c>
      <c r="K231" s="30">
        <v>143.666666666667</v>
      </c>
      <c r="L231" s="30">
        <v>30.233333333333299</v>
      </c>
      <c r="M231" s="30">
        <v>0.63333333333333297</v>
      </c>
      <c r="N231" s="30">
        <v>30.433333333333302</v>
      </c>
      <c r="O231" s="30">
        <v>114.433333333333</v>
      </c>
      <c r="P231" s="32">
        <v>0.47519893899204202</v>
      </c>
      <c r="Q231" s="32">
        <v>0.798728715129011</v>
      </c>
      <c r="R231" s="30">
        <v>0</v>
      </c>
    </row>
    <row r="232" spans="1:18" ht="18.600000000000001" customHeight="1">
      <c r="A232" s="25" t="s">
        <v>110</v>
      </c>
      <c r="B232" s="26" t="s">
        <v>97</v>
      </c>
      <c r="C232" s="126" t="s">
        <v>23</v>
      </c>
      <c r="D232" s="30">
        <v>507.66666666666703</v>
      </c>
      <c r="E232" s="30">
        <v>77.7</v>
      </c>
      <c r="F232" s="30">
        <v>15.133333333333301</v>
      </c>
      <c r="G232" s="30">
        <v>61.966666666666697</v>
      </c>
      <c r="H232" s="30">
        <v>26.466666666666701</v>
      </c>
      <c r="I232" s="32">
        <v>0.27990807616546298</v>
      </c>
      <c r="J232" s="32">
        <v>0.32196496191910601</v>
      </c>
      <c r="K232" s="30">
        <v>142.1</v>
      </c>
      <c r="L232" s="30">
        <v>25.266666666666701</v>
      </c>
      <c r="M232" s="30">
        <v>3.93333333333333</v>
      </c>
      <c r="N232" s="30">
        <v>33.9</v>
      </c>
      <c r="O232" s="30">
        <v>107.066666666667</v>
      </c>
      <c r="P232" s="32">
        <v>0.43460275771503598</v>
      </c>
      <c r="Q232" s="32">
        <v>0.75656771963414204</v>
      </c>
      <c r="R232" s="30">
        <v>0</v>
      </c>
    </row>
    <row r="233" spans="1:18" ht="18.600000000000001" customHeight="1">
      <c r="A233" s="25" t="s">
        <v>120</v>
      </c>
      <c r="B233" s="26" t="s">
        <v>95</v>
      </c>
      <c r="C233" s="126" t="s">
        <v>23</v>
      </c>
      <c r="D233" s="30">
        <v>505.66666666666703</v>
      </c>
      <c r="E233" s="30">
        <v>90.566666666666706</v>
      </c>
      <c r="F233" s="30">
        <v>27.366666666666699</v>
      </c>
      <c r="G233" s="30">
        <v>73.099999999999994</v>
      </c>
      <c r="H233" s="30">
        <v>10.5</v>
      </c>
      <c r="I233" s="32">
        <v>0.26117336849044198</v>
      </c>
      <c r="J233" s="32">
        <v>0.33200632729026103</v>
      </c>
      <c r="K233" s="30">
        <v>132.066666666667</v>
      </c>
      <c r="L233" s="30">
        <v>23.466666666666701</v>
      </c>
      <c r="M233" s="30">
        <v>3.3</v>
      </c>
      <c r="N233" s="30">
        <v>56.133333333333297</v>
      </c>
      <c r="O233" s="30">
        <v>109.5</v>
      </c>
      <c r="P233" s="32">
        <v>0.48299274884640703</v>
      </c>
      <c r="Q233" s="32">
        <v>0.814999076136669</v>
      </c>
      <c r="R233" s="30">
        <v>0</v>
      </c>
    </row>
    <row r="234" spans="1:18" ht="18.600000000000001" customHeight="1">
      <c r="A234" s="25" t="s">
        <v>127</v>
      </c>
      <c r="B234" s="26" t="s">
        <v>92</v>
      </c>
      <c r="C234" s="126" t="s">
        <v>23</v>
      </c>
      <c r="D234" s="30">
        <v>524</v>
      </c>
      <c r="E234" s="30">
        <v>91.6666666666667</v>
      </c>
      <c r="F234" s="30">
        <v>38.133333333333297</v>
      </c>
      <c r="G234" s="30">
        <v>86.033333333333303</v>
      </c>
      <c r="H234" s="30">
        <v>6</v>
      </c>
      <c r="I234" s="32">
        <v>0.22932569974554701</v>
      </c>
      <c r="J234" s="32">
        <v>0.32648782736592502</v>
      </c>
      <c r="K234" s="30">
        <v>120.166666666667</v>
      </c>
      <c r="L234" s="30">
        <v>20.5</v>
      </c>
      <c r="M234" s="30">
        <v>1.93333333333333</v>
      </c>
      <c r="N234" s="30">
        <v>78.133333333333297</v>
      </c>
      <c r="O234" s="30">
        <v>177.13333333333301</v>
      </c>
      <c r="P234" s="32">
        <v>0.49414758269720099</v>
      </c>
      <c r="Q234" s="32">
        <v>0.82063541006312601</v>
      </c>
      <c r="R234" s="30">
        <v>0</v>
      </c>
    </row>
    <row r="235" spans="1:18" ht="18.600000000000001" customHeight="1">
      <c r="A235" s="25" t="s">
        <v>137</v>
      </c>
      <c r="B235" s="26" t="s">
        <v>116</v>
      </c>
      <c r="C235" s="126" t="s">
        <v>23</v>
      </c>
      <c r="D235" s="30">
        <v>501.66666666666703</v>
      </c>
      <c r="E235" s="30">
        <v>69.933333333333294</v>
      </c>
      <c r="F235" s="30">
        <v>28.133333333333301</v>
      </c>
      <c r="G235" s="30">
        <v>90.066666666666706</v>
      </c>
      <c r="H235" s="30">
        <v>0.56666666666666698</v>
      </c>
      <c r="I235" s="32">
        <v>0.27973421926910302</v>
      </c>
      <c r="J235" s="32">
        <v>0.33162039711740199</v>
      </c>
      <c r="K235" s="30">
        <v>140.333333333333</v>
      </c>
      <c r="L235" s="30">
        <v>26.233333333333299</v>
      </c>
      <c r="M235" s="30">
        <v>0.56666666666666698</v>
      </c>
      <c r="N235" s="30">
        <v>41.433333333333302</v>
      </c>
      <c r="O235" s="30">
        <v>127</v>
      </c>
      <c r="P235" s="32">
        <v>0.50252491694352197</v>
      </c>
      <c r="Q235" s="32">
        <v>0.83414531406092396</v>
      </c>
      <c r="R235" s="30">
        <v>0</v>
      </c>
    </row>
    <row r="236" spans="1:18" ht="18.600000000000001" customHeight="1">
      <c r="A236" s="25" t="s">
        <v>133</v>
      </c>
      <c r="B236" s="26" t="s">
        <v>72</v>
      </c>
      <c r="C236" s="126" t="s">
        <v>23</v>
      </c>
      <c r="D236" s="30">
        <v>517</v>
      </c>
      <c r="E236" s="30">
        <v>73.866666666666703</v>
      </c>
      <c r="F236" s="30">
        <v>27.366666666666699</v>
      </c>
      <c r="G236" s="30">
        <v>84.8</v>
      </c>
      <c r="H236" s="30">
        <v>8.43333333333333</v>
      </c>
      <c r="I236" s="32">
        <v>0.261250805931657</v>
      </c>
      <c r="J236" s="32">
        <v>0.30817164201333203</v>
      </c>
      <c r="K236" s="30">
        <v>135.066666666667</v>
      </c>
      <c r="L236" s="30">
        <v>28.966666666666701</v>
      </c>
      <c r="M236" s="30">
        <v>0.63333333333333297</v>
      </c>
      <c r="N236" s="30">
        <v>37.366666666666703</v>
      </c>
      <c r="O236" s="30">
        <v>158.03333333333299</v>
      </c>
      <c r="P236" s="32">
        <v>0.47852998065764002</v>
      </c>
      <c r="Q236" s="32">
        <v>0.78670162267097299</v>
      </c>
      <c r="R236" s="30">
        <v>0</v>
      </c>
    </row>
    <row r="237" spans="1:18" ht="18.600000000000001" customHeight="1">
      <c r="A237" s="25" t="s">
        <v>138</v>
      </c>
      <c r="B237" s="26" t="s">
        <v>139</v>
      </c>
      <c r="C237" s="126" t="s">
        <v>23</v>
      </c>
      <c r="D237" s="30">
        <v>552</v>
      </c>
      <c r="E237" s="30">
        <v>85.266666666666694</v>
      </c>
      <c r="F237" s="30">
        <v>24.133333333333301</v>
      </c>
      <c r="G237" s="30">
        <v>74.766666666666694</v>
      </c>
      <c r="H237" s="30">
        <v>6.7666666666666702</v>
      </c>
      <c r="I237" s="32">
        <v>0.26986714975845399</v>
      </c>
      <c r="J237" s="32">
        <v>0.341842707248182</v>
      </c>
      <c r="K237" s="30">
        <v>148.96666666666701</v>
      </c>
      <c r="L237" s="30">
        <v>26.866666666666699</v>
      </c>
      <c r="M237" s="30">
        <v>4.8</v>
      </c>
      <c r="N237" s="30">
        <v>63.233333333333299</v>
      </c>
      <c r="O237" s="30">
        <v>135.76666666666699</v>
      </c>
      <c r="P237" s="32">
        <v>0.46708937198067602</v>
      </c>
      <c r="Q237" s="32">
        <v>0.80893207922885901</v>
      </c>
      <c r="R237" s="30">
        <v>0</v>
      </c>
    </row>
    <row r="238" spans="1:18" ht="18.600000000000001" customHeight="1">
      <c r="A238" s="25" t="s">
        <v>132</v>
      </c>
      <c r="B238" s="26" t="s">
        <v>87</v>
      </c>
      <c r="C238" s="126" t="s">
        <v>23</v>
      </c>
      <c r="D238" s="30">
        <v>552.66666666666697</v>
      </c>
      <c r="E238" s="30">
        <v>72.033333333333303</v>
      </c>
      <c r="F238" s="30">
        <v>25.133333333333301</v>
      </c>
      <c r="G238" s="30">
        <v>83.5</v>
      </c>
      <c r="H238" s="30">
        <v>18.433333333333302</v>
      </c>
      <c r="I238" s="32">
        <v>0.239505428226779</v>
      </c>
      <c r="J238" s="32">
        <v>0.282185561449249</v>
      </c>
      <c r="K238" s="30">
        <v>132.36666666666699</v>
      </c>
      <c r="L238" s="30">
        <v>26.733333333333299</v>
      </c>
      <c r="M238" s="30">
        <v>3</v>
      </c>
      <c r="N238" s="30">
        <v>35.033333333333303</v>
      </c>
      <c r="O238" s="30">
        <v>172.6</v>
      </c>
      <c r="P238" s="32">
        <v>0.43516284680337802</v>
      </c>
      <c r="Q238" s="32">
        <v>0.71734840825262702</v>
      </c>
      <c r="R238" s="30">
        <v>0</v>
      </c>
    </row>
    <row r="239" spans="1:18" ht="18.600000000000001" customHeight="1">
      <c r="A239" s="25" t="s">
        <v>121</v>
      </c>
      <c r="B239" s="26" t="s">
        <v>122</v>
      </c>
      <c r="C239" s="126" t="s">
        <v>23</v>
      </c>
      <c r="D239" s="30">
        <v>500.33333333333297</v>
      </c>
      <c r="E239" s="30">
        <v>72.866666666666703</v>
      </c>
      <c r="F239" s="30">
        <v>13.1</v>
      </c>
      <c r="G239" s="30">
        <v>60.4</v>
      </c>
      <c r="H239" s="30">
        <v>29.2</v>
      </c>
      <c r="I239" s="32">
        <v>0.26655562958028001</v>
      </c>
      <c r="J239" s="32">
        <v>0.32196912158754698</v>
      </c>
      <c r="K239" s="30">
        <v>133.36666666666699</v>
      </c>
      <c r="L239" s="30">
        <v>24.3</v>
      </c>
      <c r="M239" s="30">
        <v>5.0999999999999996</v>
      </c>
      <c r="N239" s="30">
        <v>43.266666666666701</v>
      </c>
      <c r="O239" s="30">
        <v>125.9</v>
      </c>
      <c r="P239" s="32">
        <v>0.41405729513657602</v>
      </c>
      <c r="Q239" s="32">
        <v>0.73602641672412195</v>
      </c>
      <c r="R239" s="30">
        <v>0</v>
      </c>
    </row>
    <row r="240" spans="1:18" ht="18.600000000000001" customHeight="1">
      <c r="A240" s="25" t="s">
        <v>143</v>
      </c>
      <c r="B240" s="26" t="s">
        <v>77</v>
      </c>
      <c r="C240" s="126" t="s">
        <v>23</v>
      </c>
      <c r="D240" s="30">
        <v>533</v>
      </c>
      <c r="E240" s="30">
        <v>84.8</v>
      </c>
      <c r="F240" s="30">
        <v>8.4</v>
      </c>
      <c r="G240" s="30">
        <v>53.133333333333297</v>
      </c>
      <c r="H240" s="30">
        <v>18.233333333333299</v>
      </c>
      <c r="I240" s="32">
        <v>0.29349593495935</v>
      </c>
      <c r="J240" s="32">
        <v>0.36044635729796398</v>
      </c>
      <c r="K240" s="30">
        <v>156.433333333333</v>
      </c>
      <c r="L240" s="30">
        <v>26.766666666666701</v>
      </c>
      <c r="M240" s="30">
        <v>5.7666666666666702</v>
      </c>
      <c r="N240" s="30">
        <v>58.8</v>
      </c>
      <c r="O240" s="30">
        <v>62.1666666666667</v>
      </c>
      <c r="P240" s="32">
        <v>0.41263289555972499</v>
      </c>
      <c r="Q240" s="32">
        <v>0.77307925285768897</v>
      </c>
      <c r="R240" s="30">
        <v>0</v>
      </c>
    </row>
    <row r="241" spans="1:18" ht="20.100000000000001" customHeight="1">
      <c r="A241" s="25" t="s">
        <v>168</v>
      </c>
      <c r="B241" s="26" t="s">
        <v>101</v>
      </c>
      <c r="C241" s="126" t="s">
        <v>23</v>
      </c>
      <c r="D241" s="30">
        <v>562</v>
      </c>
      <c r="E241" s="30">
        <v>77.066666666666706</v>
      </c>
      <c r="F241" s="30">
        <v>29.366666666666699</v>
      </c>
      <c r="G241" s="30">
        <v>87.533333333333303</v>
      </c>
      <c r="H241" s="30">
        <v>1.2666666666666699</v>
      </c>
      <c r="I241" s="32">
        <v>0.24590747330960899</v>
      </c>
      <c r="J241" s="32">
        <v>0.29961508350730698</v>
      </c>
      <c r="K241" s="30">
        <v>138.19999999999999</v>
      </c>
      <c r="L241" s="30">
        <v>29.066666666666698</v>
      </c>
      <c r="M241" s="30">
        <v>0.9</v>
      </c>
      <c r="N241" s="30">
        <v>45.5</v>
      </c>
      <c r="O241" s="30">
        <v>123.633333333333</v>
      </c>
      <c r="P241" s="32">
        <v>0.45759193357058098</v>
      </c>
      <c r="Q241" s="32">
        <v>0.75720701707788796</v>
      </c>
      <c r="R241" s="30">
        <v>0</v>
      </c>
    </row>
    <row r="242" spans="1:18" ht="18.600000000000001" customHeight="1">
      <c r="A242" s="25" t="s">
        <v>151</v>
      </c>
      <c r="B242" s="26" t="s">
        <v>125</v>
      </c>
      <c r="C242" s="126" t="s">
        <v>23</v>
      </c>
      <c r="D242" s="30">
        <v>460.33333333333297</v>
      </c>
      <c r="E242" s="30">
        <v>71.400000000000006</v>
      </c>
      <c r="F242" s="30">
        <v>24.266666666666701</v>
      </c>
      <c r="G242" s="30">
        <v>72.533333333333303</v>
      </c>
      <c r="H242" s="30">
        <v>15.0666666666667</v>
      </c>
      <c r="I242" s="32">
        <v>0.24475018102824</v>
      </c>
      <c r="J242" s="32">
        <v>0.307740680330929</v>
      </c>
      <c r="K242" s="30">
        <v>112.666666666667</v>
      </c>
      <c r="L242" s="30">
        <v>19.733333333333299</v>
      </c>
      <c r="M242" s="30">
        <v>1.4666666666666699</v>
      </c>
      <c r="N242" s="30">
        <v>43.933333333333302</v>
      </c>
      <c r="O242" s="30">
        <v>147.5</v>
      </c>
      <c r="P242" s="32">
        <v>0.45213613323678498</v>
      </c>
      <c r="Q242" s="32">
        <v>0.75987681356771397</v>
      </c>
      <c r="R242" s="30">
        <v>0</v>
      </c>
    </row>
    <row r="243" spans="1:18" ht="18.600000000000001" customHeight="1">
      <c r="A243" s="25" t="s">
        <v>159</v>
      </c>
      <c r="B243" s="26" t="s">
        <v>160</v>
      </c>
      <c r="C243" s="126" t="s">
        <v>23</v>
      </c>
      <c r="D243" s="30">
        <v>499.66666666666703</v>
      </c>
      <c r="E243" s="30">
        <v>71.633333333333297</v>
      </c>
      <c r="F243" s="30">
        <v>20.766666666666701</v>
      </c>
      <c r="G243" s="30">
        <v>69.466666666666697</v>
      </c>
      <c r="H243" s="30">
        <v>10.8333333333333</v>
      </c>
      <c r="I243" s="32">
        <v>0.26370913942628399</v>
      </c>
      <c r="J243" s="32">
        <v>0.337107946835428</v>
      </c>
      <c r="K243" s="30">
        <v>131.76666666666699</v>
      </c>
      <c r="L243" s="30">
        <v>25.933333333333302</v>
      </c>
      <c r="M243" s="30">
        <v>1.93333333333333</v>
      </c>
      <c r="N243" s="30">
        <v>57.866666666666703</v>
      </c>
      <c r="O243" s="30">
        <v>131.46666666666701</v>
      </c>
      <c r="P243" s="32">
        <v>0.44803202134756498</v>
      </c>
      <c r="Q243" s="32">
        <v>0.78513996818299303</v>
      </c>
      <c r="R243" s="30">
        <v>0</v>
      </c>
    </row>
    <row r="244" spans="1:18" ht="18.600000000000001" customHeight="1">
      <c r="A244" s="25" t="s">
        <v>157</v>
      </c>
      <c r="B244" s="26" t="s">
        <v>158</v>
      </c>
      <c r="C244" s="126" t="s">
        <v>23</v>
      </c>
      <c r="D244" s="30">
        <v>437</v>
      </c>
      <c r="E244" s="30">
        <v>74.133333333333297</v>
      </c>
      <c r="F244" s="30">
        <v>30.3333333333333</v>
      </c>
      <c r="G244" s="30">
        <v>66</v>
      </c>
      <c r="H244" s="30">
        <v>9.3000000000000007</v>
      </c>
      <c r="I244" s="32">
        <v>0.245080091533181</v>
      </c>
      <c r="J244" s="32">
        <v>0.29829754182673102</v>
      </c>
      <c r="K244" s="30">
        <v>107.1</v>
      </c>
      <c r="L244" s="30">
        <v>23.266666666666701</v>
      </c>
      <c r="M244" s="30">
        <v>2.9666666666666699</v>
      </c>
      <c r="N244" s="30">
        <v>35</v>
      </c>
      <c r="O244" s="30">
        <v>135.19999999999999</v>
      </c>
      <c r="P244" s="32">
        <v>0.52013729977116696</v>
      </c>
      <c r="Q244" s="32">
        <v>0.81843484159789803</v>
      </c>
      <c r="R244" s="30">
        <v>0</v>
      </c>
    </row>
    <row r="245" spans="1:18" ht="18.600000000000001" customHeight="1">
      <c r="A245" s="25" t="s">
        <v>175</v>
      </c>
      <c r="B245" s="26" t="s">
        <v>69</v>
      </c>
      <c r="C245" s="126" t="s">
        <v>23</v>
      </c>
      <c r="D245" s="30">
        <v>471.33333333333297</v>
      </c>
      <c r="E245" s="30">
        <v>68.433333333333294</v>
      </c>
      <c r="F245" s="30">
        <v>31.966666666666701</v>
      </c>
      <c r="G245" s="30">
        <v>87.1666666666667</v>
      </c>
      <c r="H245" s="30">
        <v>0.9</v>
      </c>
      <c r="I245" s="32">
        <v>0.244837340876945</v>
      </c>
      <c r="J245" s="32">
        <v>0.32418454158182097</v>
      </c>
      <c r="K245" s="30">
        <v>115.4</v>
      </c>
      <c r="L245" s="30">
        <v>16.6666666666667</v>
      </c>
      <c r="M245" s="30">
        <v>0.6</v>
      </c>
      <c r="N245" s="30">
        <v>57.6</v>
      </c>
      <c r="O245" s="30">
        <v>154.03333333333299</v>
      </c>
      <c r="P245" s="32">
        <v>0.48620933521923598</v>
      </c>
      <c r="Q245" s="32">
        <v>0.81039387680105701</v>
      </c>
      <c r="R245" s="30">
        <v>0</v>
      </c>
    </row>
    <row r="246" spans="1:18" ht="18.600000000000001" customHeight="1">
      <c r="A246" s="25" t="s">
        <v>170</v>
      </c>
      <c r="B246" s="26" t="s">
        <v>85</v>
      </c>
      <c r="C246" s="126" t="s">
        <v>23</v>
      </c>
      <c r="D246" s="30">
        <v>505.33333333333297</v>
      </c>
      <c r="E246" s="30">
        <v>81.633333333333297</v>
      </c>
      <c r="F246" s="30">
        <v>20.533333333333299</v>
      </c>
      <c r="G246" s="30">
        <v>65.599999999999994</v>
      </c>
      <c r="H246" s="30">
        <v>6.3</v>
      </c>
      <c r="I246" s="32">
        <v>0.26853562005276999</v>
      </c>
      <c r="J246" s="32">
        <v>0.341715664456886</v>
      </c>
      <c r="K246" s="30">
        <v>135.69999999999999</v>
      </c>
      <c r="L246" s="30">
        <v>26.9</v>
      </c>
      <c r="M246" s="30">
        <v>2.0333333333333301</v>
      </c>
      <c r="N246" s="30">
        <v>58.8</v>
      </c>
      <c r="O246" s="30">
        <v>127.8</v>
      </c>
      <c r="P246" s="32">
        <v>0.45171503957783599</v>
      </c>
      <c r="Q246" s="32">
        <v>0.79343070403472205</v>
      </c>
      <c r="R246" s="30">
        <v>0</v>
      </c>
    </row>
    <row r="247" spans="1:18" ht="18.600000000000001" customHeight="1">
      <c r="A247" s="25" t="s">
        <v>141</v>
      </c>
      <c r="B247" s="26" t="s">
        <v>142</v>
      </c>
      <c r="C247" s="126" t="s">
        <v>23</v>
      </c>
      <c r="D247" s="30">
        <v>496</v>
      </c>
      <c r="E247" s="30">
        <v>63.51</v>
      </c>
      <c r="F247" s="30">
        <v>13.01</v>
      </c>
      <c r="G247" s="30">
        <v>51.09</v>
      </c>
      <c r="H247" s="30">
        <v>39.15</v>
      </c>
      <c r="I247" s="32">
        <v>0.24038306451612901</v>
      </c>
      <c r="J247" s="32">
        <v>0.29980923731611597</v>
      </c>
      <c r="K247" s="30">
        <v>119.23</v>
      </c>
      <c r="L247" s="30">
        <v>27.6</v>
      </c>
      <c r="M247" s="30">
        <v>2.44</v>
      </c>
      <c r="N247" s="30">
        <v>44.22</v>
      </c>
      <c r="O247" s="30">
        <v>119.48</v>
      </c>
      <c r="P247" s="32">
        <v>0.38455645161290303</v>
      </c>
      <c r="Q247" s="32">
        <v>0.68436568892901894</v>
      </c>
      <c r="R247" s="30">
        <v>0</v>
      </c>
    </row>
    <row r="248" spans="1:18" ht="18.600000000000001" customHeight="1">
      <c r="A248" s="25" t="s">
        <v>167</v>
      </c>
      <c r="B248" s="26" t="s">
        <v>99</v>
      </c>
      <c r="C248" s="126" t="s">
        <v>23</v>
      </c>
      <c r="D248" s="30">
        <v>530.66666666666697</v>
      </c>
      <c r="E248" s="30">
        <v>90.3</v>
      </c>
      <c r="F248" s="30">
        <v>17.399999999999999</v>
      </c>
      <c r="G248" s="30">
        <v>60.1</v>
      </c>
      <c r="H248" s="30">
        <v>14.8</v>
      </c>
      <c r="I248" s="32">
        <v>0.24855527638191</v>
      </c>
      <c r="J248" s="32">
        <v>0.34960457554914098</v>
      </c>
      <c r="K248" s="30">
        <v>131.9</v>
      </c>
      <c r="L248" s="30">
        <v>24.733333333333299</v>
      </c>
      <c r="M248" s="30">
        <v>2.9666666666666699</v>
      </c>
      <c r="N248" s="30">
        <v>85.3</v>
      </c>
      <c r="O248" s="30">
        <v>154.76666666666699</v>
      </c>
      <c r="P248" s="32">
        <v>0.40471105527638201</v>
      </c>
      <c r="Q248" s="32">
        <v>0.754315630825523</v>
      </c>
      <c r="R248" s="30">
        <v>0</v>
      </c>
    </row>
    <row r="249" spans="1:18" ht="18.600000000000001" customHeight="1">
      <c r="A249" s="25" t="s">
        <v>177</v>
      </c>
      <c r="B249" s="26" t="s">
        <v>178</v>
      </c>
      <c r="C249" s="126" t="s">
        <v>23</v>
      </c>
      <c r="D249" s="30">
        <v>484</v>
      </c>
      <c r="E249" s="30">
        <v>79.966666666666697</v>
      </c>
      <c r="F249" s="30">
        <v>19.8</v>
      </c>
      <c r="G249" s="30">
        <v>64.033333333333303</v>
      </c>
      <c r="H249" s="30">
        <v>5.3333333333333304</v>
      </c>
      <c r="I249" s="32">
        <v>0.27307162534435298</v>
      </c>
      <c r="J249" s="32">
        <v>0.34210105630771898</v>
      </c>
      <c r="K249" s="30">
        <v>132.166666666667</v>
      </c>
      <c r="L249" s="30">
        <v>28.766666666666701</v>
      </c>
      <c r="M249" s="30">
        <v>1.93333333333333</v>
      </c>
      <c r="N249" s="30">
        <v>53.3</v>
      </c>
      <c r="O249" s="30">
        <v>114.8</v>
      </c>
      <c r="P249" s="32">
        <v>0.46322314049586799</v>
      </c>
      <c r="Q249" s="32">
        <v>0.80532419680358702</v>
      </c>
      <c r="R249" s="30">
        <v>0</v>
      </c>
    </row>
    <row r="250" spans="1:18" ht="18.600000000000001" customHeight="1">
      <c r="A250" s="25" t="s">
        <v>186</v>
      </c>
      <c r="B250" s="26" t="s">
        <v>105</v>
      </c>
      <c r="C250" s="126" t="s">
        <v>23</v>
      </c>
      <c r="D250" s="30">
        <v>553.66666666666697</v>
      </c>
      <c r="E250" s="30">
        <v>75.733333333333306</v>
      </c>
      <c r="F250" s="30">
        <v>13.5</v>
      </c>
      <c r="G250" s="30">
        <v>70.266666666666694</v>
      </c>
      <c r="H250" s="30">
        <v>4.3666666666666698</v>
      </c>
      <c r="I250" s="32">
        <v>0.28603251053582202</v>
      </c>
      <c r="J250" s="32">
        <v>0.33651326134815002</v>
      </c>
      <c r="K250" s="30">
        <v>158.36666666666699</v>
      </c>
      <c r="L250" s="30">
        <v>34.6</v>
      </c>
      <c r="M250" s="30">
        <v>1.56666666666667</v>
      </c>
      <c r="N250" s="30">
        <v>44.933333333333302</v>
      </c>
      <c r="O250" s="30">
        <v>90.8333333333333</v>
      </c>
      <c r="P250" s="32">
        <v>0.42733293196869399</v>
      </c>
      <c r="Q250" s="32">
        <v>0.763846193316843</v>
      </c>
      <c r="R250" s="30">
        <v>0</v>
      </c>
    </row>
    <row r="251" spans="1:18" ht="18.600000000000001" customHeight="1">
      <c r="A251" s="25" t="s">
        <v>189</v>
      </c>
      <c r="B251" s="26" t="s">
        <v>92</v>
      </c>
      <c r="C251" s="126" t="s">
        <v>23</v>
      </c>
      <c r="D251" s="30">
        <v>520.33333333333303</v>
      </c>
      <c r="E251" s="30">
        <v>69.533333333333303</v>
      </c>
      <c r="F251" s="30">
        <v>20.766666666666701</v>
      </c>
      <c r="G251" s="30">
        <v>75.966666666666697</v>
      </c>
      <c r="H251" s="30">
        <v>4.4000000000000004</v>
      </c>
      <c r="I251" s="32">
        <v>0.26630365150544499</v>
      </c>
      <c r="J251" s="32">
        <v>0.309848939724513</v>
      </c>
      <c r="K251" s="30">
        <v>138.566666666667</v>
      </c>
      <c r="L251" s="30">
        <v>30.4</v>
      </c>
      <c r="M251" s="30">
        <v>1.3333333333333299</v>
      </c>
      <c r="N251" s="30">
        <v>35.1666666666667</v>
      </c>
      <c r="O251" s="30">
        <v>130.03333333333299</v>
      </c>
      <c r="P251" s="32">
        <v>0.449583600256246</v>
      </c>
      <c r="Q251" s="32">
        <v>0.75943253998075899</v>
      </c>
      <c r="R251" s="30">
        <v>0</v>
      </c>
    </row>
    <row r="252" spans="1:18" ht="18.600000000000001" customHeight="1">
      <c r="A252" s="25" t="s">
        <v>197</v>
      </c>
      <c r="B252" s="26" t="s">
        <v>85</v>
      </c>
      <c r="C252" s="126" t="s">
        <v>23</v>
      </c>
      <c r="D252" s="30">
        <v>482.33333333333297</v>
      </c>
      <c r="E252" s="30">
        <v>69.466666666666697</v>
      </c>
      <c r="F252" s="30">
        <v>28.033333333333299</v>
      </c>
      <c r="G252" s="30">
        <v>80.2</v>
      </c>
      <c r="H252" s="30">
        <v>2</v>
      </c>
      <c r="I252" s="32">
        <v>0.244920525224603</v>
      </c>
      <c r="J252" s="32">
        <v>0.301652084502955</v>
      </c>
      <c r="K252" s="30">
        <v>118.133333333333</v>
      </c>
      <c r="L252" s="30">
        <v>24.766666666666701</v>
      </c>
      <c r="M252" s="30">
        <v>0.96666666666666701</v>
      </c>
      <c r="N252" s="30">
        <v>41.266666666666701</v>
      </c>
      <c r="O252" s="30">
        <v>124.26666666666701</v>
      </c>
      <c r="P252" s="32">
        <v>0.47463718037318597</v>
      </c>
      <c r="Q252" s="32">
        <v>0.77628926487614103</v>
      </c>
      <c r="R252" s="30">
        <v>0</v>
      </c>
    </row>
    <row r="253" spans="1:18" ht="18.600000000000001" customHeight="1">
      <c r="A253" s="25" t="s">
        <v>180</v>
      </c>
      <c r="B253" s="26" t="s">
        <v>122</v>
      </c>
      <c r="C253" s="126" t="s">
        <v>23</v>
      </c>
      <c r="D253" s="30">
        <v>491</v>
      </c>
      <c r="E253" s="30">
        <v>75.55</v>
      </c>
      <c r="F253" s="30">
        <v>18</v>
      </c>
      <c r="G253" s="30">
        <v>58.55</v>
      </c>
      <c r="H253" s="30">
        <v>18.100000000000001</v>
      </c>
      <c r="I253" s="32">
        <v>0.24633401221995899</v>
      </c>
      <c r="J253" s="32">
        <v>0.31783284212058399</v>
      </c>
      <c r="K253" s="30">
        <v>120.95</v>
      </c>
      <c r="L253" s="30">
        <v>22.75</v>
      </c>
      <c r="M253" s="30">
        <v>6.7</v>
      </c>
      <c r="N253" s="30">
        <v>53.75</v>
      </c>
      <c r="O253" s="30">
        <v>144.6</v>
      </c>
      <c r="P253" s="32">
        <v>0.42993890020366599</v>
      </c>
      <c r="Q253" s="32">
        <v>0.74777174232425003</v>
      </c>
      <c r="R253" s="30">
        <v>0</v>
      </c>
    </row>
    <row r="254" spans="1:18" ht="18.600000000000001" customHeight="1">
      <c r="A254" s="25" t="s">
        <v>193</v>
      </c>
      <c r="B254" s="26" t="s">
        <v>105</v>
      </c>
      <c r="C254" s="126" t="s">
        <v>23</v>
      </c>
      <c r="D254" s="30">
        <v>455.66666666666703</v>
      </c>
      <c r="E254" s="30">
        <v>71.900000000000006</v>
      </c>
      <c r="F254" s="30">
        <v>15.5</v>
      </c>
      <c r="G254" s="30">
        <v>60.4</v>
      </c>
      <c r="H254" s="30">
        <v>3.4</v>
      </c>
      <c r="I254" s="32">
        <v>0.29151426481345999</v>
      </c>
      <c r="J254" s="32">
        <v>0.364320063168659</v>
      </c>
      <c r="K254" s="30">
        <v>132.833333333333</v>
      </c>
      <c r="L254" s="30">
        <v>26.066666666666698</v>
      </c>
      <c r="M254" s="30">
        <v>1.4666666666666699</v>
      </c>
      <c r="N254" s="30">
        <v>54.8</v>
      </c>
      <c r="O254" s="30">
        <v>64.033333333333303</v>
      </c>
      <c r="P254" s="32">
        <v>0.45720555961960502</v>
      </c>
      <c r="Q254" s="32">
        <v>0.82152562278826402</v>
      </c>
      <c r="R254" s="30">
        <v>0</v>
      </c>
    </row>
    <row r="255" spans="1:18" ht="18.600000000000001" customHeight="1">
      <c r="A255" s="25" t="s">
        <v>196</v>
      </c>
      <c r="B255" s="26" t="s">
        <v>97</v>
      </c>
      <c r="C255" s="126" t="s">
        <v>23</v>
      </c>
      <c r="D255" s="30">
        <v>518</v>
      </c>
      <c r="E255" s="30">
        <v>88.233333333333306</v>
      </c>
      <c r="F255" s="30">
        <v>15.1</v>
      </c>
      <c r="G255" s="30">
        <v>56.7</v>
      </c>
      <c r="H255" s="30">
        <v>4.93333333333333</v>
      </c>
      <c r="I255" s="32">
        <v>0.27406692406692401</v>
      </c>
      <c r="J255" s="32">
        <v>0.35892462750989401</v>
      </c>
      <c r="K255" s="30">
        <v>141.96666666666701</v>
      </c>
      <c r="L255" s="30">
        <v>27.033333333333299</v>
      </c>
      <c r="M255" s="30">
        <v>5.3666666666666698</v>
      </c>
      <c r="N255" s="30">
        <v>71.466666666666697</v>
      </c>
      <c r="O255" s="30">
        <v>110.73333333333299</v>
      </c>
      <c r="P255" s="32">
        <v>0.43442728442728401</v>
      </c>
      <c r="Q255" s="32">
        <v>0.79335191193717802</v>
      </c>
      <c r="R255" s="30">
        <v>0</v>
      </c>
    </row>
    <row r="256" spans="1:18" ht="18.600000000000001" customHeight="1">
      <c r="A256" s="25" t="s">
        <v>192</v>
      </c>
      <c r="B256" s="26" t="s">
        <v>160</v>
      </c>
      <c r="C256" s="126" t="s">
        <v>23</v>
      </c>
      <c r="D256" s="30">
        <v>522.66666666666697</v>
      </c>
      <c r="E256" s="30">
        <v>71.466666666666697</v>
      </c>
      <c r="F256" s="30">
        <v>20.633333333333301</v>
      </c>
      <c r="G256" s="30">
        <v>71.266666666666694</v>
      </c>
      <c r="H256" s="30">
        <v>8.5333333333333297</v>
      </c>
      <c r="I256" s="32">
        <v>0.25274234693877601</v>
      </c>
      <c r="J256" s="32">
        <v>0.32851132173637698</v>
      </c>
      <c r="K256" s="30">
        <v>132.1</v>
      </c>
      <c r="L256" s="30">
        <v>29.033333333333299</v>
      </c>
      <c r="M256" s="30">
        <v>1.86666666666667</v>
      </c>
      <c r="N256" s="30">
        <v>61.533333333333303</v>
      </c>
      <c r="O256" s="30">
        <v>148.19999999999999</v>
      </c>
      <c r="P256" s="32">
        <v>0.43386479591836702</v>
      </c>
      <c r="Q256" s="32">
        <v>0.762376117654744</v>
      </c>
      <c r="R256" s="30">
        <v>0</v>
      </c>
    </row>
    <row r="257" spans="1:18" ht="20.100000000000001" customHeight="1">
      <c r="A257" s="25" t="s">
        <v>206</v>
      </c>
      <c r="B257" s="26" t="s">
        <v>77</v>
      </c>
      <c r="C257" s="126" t="s">
        <v>23</v>
      </c>
      <c r="D257" s="30">
        <v>492.66666666666703</v>
      </c>
      <c r="E257" s="30">
        <v>58.7</v>
      </c>
      <c r="F257" s="30">
        <v>18.266666666666701</v>
      </c>
      <c r="G257" s="30">
        <v>67.6666666666667</v>
      </c>
      <c r="H257" s="30">
        <v>2.1666666666666701</v>
      </c>
      <c r="I257" s="32">
        <v>0.28234100135318002</v>
      </c>
      <c r="J257" s="32">
        <v>0.31040408315059198</v>
      </c>
      <c r="K257" s="30">
        <v>139.1</v>
      </c>
      <c r="L257" s="30">
        <v>31.266666666666701</v>
      </c>
      <c r="M257" s="30">
        <v>0.83333333333333304</v>
      </c>
      <c r="N257" s="30">
        <v>22.266666666666701</v>
      </c>
      <c r="O257" s="30">
        <v>103.366666666667</v>
      </c>
      <c r="P257" s="32">
        <v>0.46041948579161002</v>
      </c>
      <c r="Q257" s="32">
        <v>0.77082356894220205</v>
      </c>
      <c r="R257" s="30">
        <v>0</v>
      </c>
    </row>
    <row r="258" spans="1:18" ht="18.600000000000001" customHeight="1">
      <c r="A258" s="25" t="s">
        <v>218</v>
      </c>
      <c r="B258" s="26" t="s">
        <v>219</v>
      </c>
      <c r="C258" s="126" t="s">
        <v>23</v>
      </c>
      <c r="D258" s="30">
        <v>473.66666666666703</v>
      </c>
      <c r="E258" s="30">
        <v>71.599999999999994</v>
      </c>
      <c r="F258" s="30">
        <v>23.8333333333333</v>
      </c>
      <c r="G258" s="30">
        <v>70</v>
      </c>
      <c r="H258" s="30">
        <v>1.7666666666666699</v>
      </c>
      <c r="I258" s="32">
        <v>0.24996481351161201</v>
      </c>
      <c r="J258" s="32">
        <v>0.31319355679773098</v>
      </c>
      <c r="K258" s="30">
        <v>118.4</v>
      </c>
      <c r="L258" s="30">
        <v>19.566666666666698</v>
      </c>
      <c r="M258" s="30">
        <v>1.6</v>
      </c>
      <c r="N258" s="30">
        <v>45.766666666666701</v>
      </c>
      <c r="O258" s="30">
        <v>129.69999999999999</v>
      </c>
      <c r="P258" s="32">
        <v>0.44897959183673503</v>
      </c>
      <c r="Q258" s="32">
        <v>0.76217314863446595</v>
      </c>
      <c r="R258" s="30">
        <v>0</v>
      </c>
    </row>
    <row r="259" spans="1:18" ht="18.600000000000001" customHeight="1">
      <c r="A259" s="25" t="s">
        <v>214</v>
      </c>
      <c r="B259" s="26" t="s">
        <v>178</v>
      </c>
      <c r="C259" s="126" t="s">
        <v>23</v>
      </c>
      <c r="D259" s="30">
        <v>503.66666666666703</v>
      </c>
      <c r="E259" s="30">
        <v>67.766666666666694</v>
      </c>
      <c r="F259" s="30">
        <v>14.5666666666667</v>
      </c>
      <c r="G259" s="30">
        <v>70.3</v>
      </c>
      <c r="H259" s="30">
        <v>3.8</v>
      </c>
      <c r="I259" s="32">
        <v>0.271409662475182</v>
      </c>
      <c r="J259" s="32">
        <v>0.31996636422908897</v>
      </c>
      <c r="K259" s="30">
        <v>136.69999999999999</v>
      </c>
      <c r="L259" s="30">
        <v>22.966666666666701</v>
      </c>
      <c r="M259" s="30">
        <v>4.4666666666666703</v>
      </c>
      <c r="N259" s="30">
        <v>38.3333333333333</v>
      </c>
      <c r="O259" s="30">
        <v>100.333333333333</v>
      </c>
      <c r="P259" s="32">
        <v>0.42150893448047699</v>
      </c>
      <c r="Q259" s="32">
        <v>0.74147529870956497</v>
      </c>
      <c r="R259" s="30">
        <v>0</v>
      </c>
    </row>
    <row r="260" spans="1:18" ht="18.600000000000001" customHeight="1">
      <c r="A260" s="25" t="s">
        <v>217</v>
      </c>
      <c r="B260" s="26" t="s">
        <v>122</v>
      </c>
      <c r="C260" s="126" t="s">
        <v>23</v>
      </c>
      <c r="D260" s="30">
        <v>492.66666666666703</v>
      </c>
      <c r="E260" s="30">
        <v>60.4</v>
      </c>
      <c r="F260" s="30">
        <v>13.766666666666699</v>
      </c>
      <c r="G260" s="30">
        <v>65.533333333333303</v>
      </c>
      <c r="H260" s="30">
        <v>3.8</v>
      </c>
      <c r="I260" s="32">
        <v>0.28450608930987797</v>
      </c>
      <c r="J260" s="32">
        <v>0.32653343214963099</v>
      </c>
      <c r="K260" s="30">
        <v>140.166666666667</v>
      </c>
      <c r="L260" s="30">
        <v>30</v>
      </c>
      <c r="M260" s="30">
        <v>1.86666666666667</v>
      </c>
      <c r="N260" s="30">
        <v>33.133333333333297</v>
      </c>
      <c r="O260" s="30">
        <v>98.366666666666703</v>
      </c>
      <c r="P260" s="32">
        <v>0.43680649526387</v>
      </c>
      <c r="Q260" s="32">
        <v>0.76333992741350098</v>
      </c>
      <c r="R260" s="30">
        <v>0</v>
      </c>
    </row>
    <row r="261" spans="1:18" ht="18.600000000000001" customHeight="1">
      <c r="A261" s="25" t="s">
        <v>220</v>
      </c>
      <c r="B261" s="26" t="s">
        <v>116</v>
      </c>
      <c r="C261" s="126" t="s">
        <v>23</v>
      </c>
      <c r="D261" s="30">
        <v>477.33333333333297</v>
      </c>
      <c r="E261" s="30">
        <v>64.433333333333294</v>
      </c>
      <c r="F261" s="30">
        <v>11.9333333333333</v>
      </c>
      <c r="G261" s="30">
        <v>57.933333333333302</v>
      </c>
      <c r="H261" s="30">
        <v>8.6999999999999993</v>
      </c>
      <c r="I261" s="32">
        <v>0.27709497206703898</v>
      </c>
      <c r="J261" s="32">
        <v>0.34076205072800603</v>
      </c>
      <c r="K261" s="30">
        <v>132.26666666666699</v>
      </c>
      <c r="L261" s="30">
        <v>24.6666666666667</v>
      </c>
      <c r="M261" s="30">
        <v>2.0333333333333301</v>
      </c>
      <c r="N261" s="30">
        <v>48.566666666666698</v>
      </c>
      <c r="O261" s="30">
        <v>90.966666666666697</v>
      </c>
      <c r="P261" s="32">
        <v>0.41229050279329599</v>
      </c>
      <c r="Q261" s="32">
        <v>0.75305255352130196</v>
      </c>
      <c r="R261" s="30">
        <v>0</v>
      </c>
    </row>
    <row r="262" spans="1:18" ht="18.600000000000001" customHeight="1">
      <c r="A262" s="25" t="s">
        <v>207</v>
      </c>
      <c r="B262" s="26" t="s">
        <v>69</v>
      </c>
      <c r="C262" s="126" t="s">
        <v>23</v>
      </c>
      <c r="D262" s="30">
        <v>466.5</v>
      </c>
      <c r="E262" s="30">
        <v>61.25</v>
      </c>
      <c r="F262" s="30">
        <v>15.35</v>
      </c>
      <c r="G262" s="30">
        <v>57.4</v>
      </c>
      <c r="H262" s="30">
        <v>17.5</v>
      </c>
      <c r="I262" s="32">
        <v>0.24919614147909999</v>
      </c>
      <c r="J262" s="32">
        <v>0.30026714509626101</v>
      </c>
      <c r="K262" s="30">
        <v>116.25</v>
      </c>
      <c r="L262" s="30">
        <v>21.65</v>
      </c>
      <c r="M262" s="30">
        <v>3.05</v>
      </c>
      <c r="N262" s="30">
        <v>36.049999999999997</v>
      </c>
      <c r="O262" s="30">
        <v>111.35</v>
      </c>
      <c r="P262" s="32">
        <v>0.40739549839228301</v>
      </c>
      <c r="Q262" s="32">
        <v>0.70766264348854402</v>
      </c>
      <c r="R262" s="30">
        <v>0</v>
      </c>
    </row>
    <row r="263" spans="1:18" ht="18.600000000000001" customHeight="1">
      <c r="A263" s="25" t="s">
        <v>231</v>
      </c>
      <c r="B263" s="26" t="s">
        <v>178</v>
      </c>
      <c r="C263" s="126" t="s">
        <v>23</v>
      </c>
      <c r="D263" s="30">
        <v>474</v>
      </c>
      <c r="E263" s="30">
        <v>62.1666666666667</v>
      </c>
      <c r="F263" s="30">
        <v>20.266666666666701</v>
      </c>
      <c r="G263" s="30">
        <v>69.8333333333333</v>
      </c>
      <c r="H263" s="30">
        <v>2.6333333333333302</v>
      </c>
      <c r="I263" s="32">
        <v>0.25893108298171602</v>
      </c>
      <c r="J263" s="32">
        <v>0.293973769104659</v>
      </c>
      <c r="K263" s="30">
        <v>122.73333333333299</v>
      </c>
      <c r="L263" s="30">
        <v>22.133333333333301</v>
      </c>
      <c r="M263" s="30">
        <v>2.1333333333333302</v>
      </c>
      <c r="N263" s="30">
        <v>25.5</v>
      </c>
      <c r="O263" s="30">
        <v>113.76666666666701</v>
      </c>
      <c r="P263" s="32">
        <v>0.44289732770745399</v>
      </c>
      <c r="Q263" s="32">
        <v>0.73687109681211305</v>
      </c>
      <c r="R263" s="30">
        <v>0</v>
      </c>
    </row>
    <row r="264" spans="1:18" ht="20.100000000000001" customHeight="1">
      <c r="A264" s="25" t="s">
        <v>237</v>
      </c>
      <c r="B264" s="26" t="s">
        <v>101</v>
      </c>
      <c r="C264" s="126" t="s">
        <v>23</v>
      </c>
      <c r="D264" s="30">
        <v>516.33333333333303</v>
      </c>
      <c r="E264" s="30">
        <v>67.066666666666706</v>
      </c>
      <c r="F264" s="30">
        <v>18.5</v>
      </c>
      <c r="G264" s="30">
        <v>65.766666666666694</v>
      </c>
      <c r="H264" s="30">
        <v>4.5</v>
      </c>
      <c r="I264" s="32">
        <v>0.25435765009683697</v>
      </c>
      <c r="J264" s="32">
        <v>0.29636487144497398</v>
      </c>
      <c r="K264" s="30">
        <v>131.333333333333</v>
      </c>
      <c r="L264" s="30">
        <v>28.1666666666667</v>
      </c>
      <c r="M264" s="30">
        <v>2.3666666666666698</v>
      </c>
      <c r="N264" s="30">
        <v>33</v>
      </c>
      <c r="O264" s="30">
        <v>111.166666666667</v>
      </c>
      <c r="P264" s="32">
        <v>0.42556488056810798</v>
      </c>
      <c r="Q264" s="32">
        <v>0.72192975201308296</v>
      </c>
      <c r="R264" s="30">
        <v>0</v>
      </c>
    </row>
    <row r="265" spans="1:18" ht="18.600000000000001" customHeight="1">
      <c r="A265" s="25" t="s">
        <v>259</v>
      </c>
      <c r="B265" s="26" t="s">
        <v>260</v>
      </c>
      <c r="C265" s="126" t="s">
        <v>23</v>
      </c>
      <c r="D265" s="30">
        <v>538</v>
      </c>
      <c r="E265" s="30">
        <v>69.6666666666667</v>
      </c>
      <c r="F265" s="30">
        <v>11.366666666666699</v>
      </c>
      <c r="G265" s="30">
        <v>59.2</v>
      </c>
      <c r="H265" s="30">
        <v>7.1</v>
      </c>
      <c r="I265" s="32">
        <v>0.257496902106568</v>
      </c>
      <c r="J265" s="32">
        <v>0.321387464100931</v>
      </c>
      <c r="K265" s="30">
        <v>138.53333333333299</v>
      </c>
      <c r="L265" s="30">
        <v>24.233333333333299</v>
      </c>
      <c r="M265" s="30">
        <v>5.4666666666666703</v>
      </c>
      <c r="N265" s="30">
        <v>53.2</v>
      </c>
      <c r="O265" s="30">
        <v>162.30000000000001</v>
      </c>
      <c r="P265" s="32">
        <v>0.38624535315985098</v>
      </c>
      <c r="Q265" s="32">
        <v>0.70763281726078198</v>
      </c>
      <c r="R265" s="30">
        <v>0</v>
      </c>
    </row>
    <row r="266" spans="1:18" ht="18.600000000000001" customHeight="1">
      <c r="A266" s="25" t="s">
        <v>261</v>
      </c>
      <c r="B266" s="26" t="s">
        <v>219</v>
      </c>
      <c r="C266" s="126" t="s">
        <v>23</v>
      </c>
      <c r="D266" s="30">
        <v>419.33333333333297</v>
      </c>
      <c r="E266" s="30">
        <v>58.933333333333302</v>
      </c>
      <c r="F266" s="30">
        <v>21.133333333333301</v>
      </c>
      <c r="G266" s="30">
        <v>65</v>
      </c>
      <c r="H266" s="30">
        <v>3.4</v>
      </c>
      <c r="I266" s="32">
        <v>0.24785373608903</v>
      </c>
      <c r="J266" s="32">
        <v>0.31465782212755</v>
      </c>
      <c r="K266" s="30">
        <v>103.933333333333</v>
      </c>
      <c r="L266" s="30">
        <v>19</v>
      </c>
      <c r="M266" s="30">
        <v>2.4666666666666699</v>
      </c>
      <c r="N266" s="30">
        <v>42.8</v>
      </c>
      <c r="O266" s="30">
        <v>111.7</v>
      </c>
      <c r="P266" s="32">
        <v>0.45612082670906201</v>
      </c>
      <c r="Q266" s="32">
        <v>0.77077864883661196</v>
      </c>
      <c r="R266" s="30">
        <v>0</v>
      </c>
    </row>
    <row r="267" spans="1:18" ht="18.600000000000001" customHeight="1">
      <c r="A267" s="25" t="s">
        <v>252</v>
      </c>
      <c r="B267" s="26" t="s">
        <v>142</v>
      </c>
      <c r="C267" s="126" t="s">
        <v>23</v>
      </c>
      <c r="D267" s="30">
        <v>474.33333333333297</v>
      </c>
      <c r="E267" s="30">
        <v>63.2</v>
      </c>
      <c r="F267" s="30">
        <v>17.8333333333333</v>
      </c>
      <c r="G267" s="30">
        <v>56.233333333333299</v>
      </c>
      <c r="H267" s="30">
        <v>14.366666666666699</v>
      </c>
      <c r="I267" s="32">
        <v>0.23028812368236101</v>
      </c>
      <c r="J267" s="32">
        <v>0.28667313861761701</v>
      </c>
      <c r="K267" s="30">
        <v>109.23333333333299</v>
      </c>
      <c r="L267" s="30">
        <v>25.733333333333299</v>
      </c>
      <c r="M267" s="30">
        <v>1.4</v>
      </c>
      <c r="N267" s="30">
        <v>39.4</v>
      </c>
      <c r="O267" s="30">
        <v>139.80000000000001</v>
      </c>
      <c r="P267" s="32">
        <v>0.403232607167955</v>
      </c>
      <c r="Q267" s="32">
        <v>0.68990574578557196</v>
      </c>
      <c r="R267" s="30">
        <v>0</v>
      </c>
    </row>
    <row r="268" spans="1:18" ht="18.600000000000001" customHeight="1">
      <c r="A268" s="25" t="s">
        <v>269</v>
      </c>
      <c r="B268" s="26" t="s">
        <v>79</v>
      </c>
      <c r="C268" s="126" t="s">
        <v>23</v>
      </c>
      <c r="D268" s="30">
        <v>433</v>
      </c>
      <c r="E268" s="30">
        <v>60.6</v>
      </c>
      <c r="F268" s="30">
        <v>9.3000000000000007</v>
      </c>
      <c r="G268" s="30">
        <v>49.1666666666667</v>
      </c>
      <c r="H268" s="30">
        <v>2.1333333333333302</v>
      </c>
      <c r="I268" s="32">
        <v>0.29176289453425702</v>
      </c>
      <c r="J268" s="32">
        <v>0.34928406530942502</v>
      </c>
      <c r="K268" s="30">
        <v>126.333333333333</v>
      </c>
      <c r="L268" s="30">
        <v>24.466666666666701</v>
      </c>
      <c r="M268" s="30">
        <v>2.0333333333333301</v>
      </c>
      <c r="N268" s="30">
        <v>40.6</v>
      </c>
      <c r="O268" s="30">
        <v>58.8333333333333</v>
      </c>
      <c r="P268" s="32">
        <v>0.42209391839876798</v>
      </c>
      <c r="Q268" s="32">
        <v>0.77137798370819299</v>
      </c>
      <c r="R268" s="30">
        <v>0</v>
      </c>
    </row>
    <row r="269" spans="1:18" ht="18.600000000000001" customHeight="1">
      <c r="A269" s="25" t="s">
        <v>279</v>
      </c>
      <c r="B269" s="26" t="s">
        <v>219</v>
      </c>
      <c r="C269" s="126" t="s">
        <v>23</v>
      </c>
      <c r="D269" s="30">
        <v>475</v>
      </c>
      <c r="E269" s="30">
        <v>71.466666666666697</v>
      </c>
      <c r="F269" s="30">
        <v>19.466666666666701</v>
      </c>
      <c r="G269" s="30">
        <v>62.3333333333333</v>
      </c>
      <c r="H269" s="30">
        <v>4.6333333333333302</v>
      </c>
      <c r="I269" s="32">
        <v>0.23192982456140401</v>
      </c>
      <c r="J269" s="32">
        <v>0.30964166744497401</v>
      </c>
      <c r="K269" s="30">
        <v>110.166666666667</v>
      </c>
      <c r="L269" s="30">
        <v>27.7</v>
      </c>
      <c r="M269" s="30">
        <v>3.0333333333333301</v>
      </c>
      <c r="N269" s="30">
        <v>55.6</v>
      </c>
      <c r="O269" s="30">
        <v>135.03333333333299</v>
      </c>
      <c r="P269" s="32">
        <v>0.42596491228070199</v>
      </c>
      <c r="Q269" s="32">
        <v>0.735606579725675</v>
      </c>
      <c r="R269" s="30">
        <v>0</v>
      </c>
    </row>
    <row r="270" spans="1:18" ht="18.600000000000001" customHeight="1">
      <c r="A270" s="25" t="s">
        <v>282</v>
      </c>
      <c r="B270" s="26" t="s">
        <v>219</v>
      </c>
      <c r="C270" s="126" t="s">
        <v>23</v>
      </c>
      <c r="D270" s="30">
        <v>447.33333333333297</v>
      </c>
      <c r="E270" s="30">
        <v>63.1666666666667</v>
      </c>
      <c r="F270" s="30">
        <v>17.466666666666701</v>
      </c>
      <c r="G270" s="30">
        <v>63.3</v>
      </c>
      <c r="H270" s="30">
        <v>2.6333333333333302</v>
      </c>
      <c r="I270" s="32">
        <v>0.249552906110283</v>
      </c>
      <c r="J270" s="32">
        <v>0.33308935969991199</v>
      </c>
      <c r="K270" s="30">
        <v>111.633333333333</v>
      </c>
      <c r="L270" s="30">
        <v>21.266666666666701</v>
      </c>
      <c r="M270" s="30">
        <v>1.06666666666667</v>
      </c>
      <c r="N270" s="30">
        <v>58.266666666666701</v>
      </c>
      <c r="O270" s="30">
        <v>119.133333333333</v>
      </c>
      <c r="P270" s="32">
        <v>0.41900149031296602</v>
      </c>
      <c r="Q270" s="32">
        <v>0.75209085001287801</v>
      </c>
      <c r="R270" s="30">
        <v>0</v>
      </c>
    </row>
    <row r="271" spans="1:18" ht="18.600000000000001" customHeight="1">
      <c r="A271" s="25" t="s">
        <v>283</v>
      </c>
      <c r="B271" s="26" t="s">
        <v>97</v>
      </c>
      <c r="C271" s="126" t="s">
        <v>23</v>
      </c>
      <c r="D271" s="30">
        <v>462.33333333333297</v>
      </c>
      <c r="E271" s="30">
        <v>68.599999999999994</v>
      </c>
      <c r="F271" s="30">
        <v>13.533333333333299</v>
      </c>
      <c r="G271" s="30">
        <v>58.566666666666698</v>
      </c>
      <c r="H271" s="30">
        <v>6.1333333333333302</v>
      </c>
      <c r="I271" s="32">
        <v>0.24708002883922101</v>
      </c>
      <c r="J271" s="32">
        <v>0.32766365710001499</v>
      </c>
      <c r="K271" s="30">
        <v>114.23333333333299</v>
      </c>
      <c r="L271" s="30">
        <v>21.9</v>
      </c>
      <c r="M271" s="30">
        <v>1.7666666666666699</v>
      </c>
      <c r="N271" s="30">
        <v>57.6666666666667</v>
      </c>
      <c r="O271" s="30">
        <v>108.73333333333299</v>
      </c>
      <c r="P271" s="32">
        <v>0.38990627253064197</v>
      </c>
      <c r="Q271" s="32">
        <v>0.71756992963065602</v>
      </c>
      <c r="R271" s="30">
        <v>0</v>
      </c>
    </row>
    <row r="272" spans="1:18" ht="18.600000000000001" customHeight="1">
      <c r="A272" s="25" t="s">
        <v>266</v>
      </c>
      <c r="B272" s="26" t="s">
        <v>225</v>
      </c>
      <c r="C272" s="126" t="s">
        <v>23</v>
      </c>
      <c r="D272" s="30">
        <v>395.66666666666703</v>
      </c>
      <c r="E272" s="30">
        <v>57.8</v>
      </c>
      <c r="F272" s="30">
        <v>17.8333333333333</v>
      </c>
      <c r="G272" s="30">
        <v>53.3</v>
      </c>
      <c r="H272" s="30">
        <v>11.2</v>
      </c>
      <c r="I272" s="32">
        <v>0.241870261162595</v>
      </c>
      <c r="J272" s="32">
        <v>0.33030474413685201</v>
      </c>
      <c r="K272" s="30">
        <v>95.7</v>
      </c>
      <c r="L272" s="30">
        <v>17.5</v>
      </c>
      <c r="M272" s="30">
        <v>1</v>
      </c>
      <c r="N272" s="30">
        <v>54.2</v>
      </c>
      <c r="O272" s="30">
        <v>114.1</v>
      </c>
      <c r="P272" s="32">
        <v>0.42636899747262003</v>
      </c>
      <c r="Q272" s="32">
        <v>0.75667374160947198</v>
      </c>
      <c r="R272" s="30">
        <v>0</v>
      </c>
    </row>
    <row r="273" spans="1:18" ht="18.600000000000001" customHeight="1">
      <c r="A273" s="25" t="s">
        <v>295</v>
      </c>
      <c r="B273" s="26" t="s">
        <v>125</v>
      </c>
      <c r="C273" s="126" t="s">
        <v>23</v>
      </c>
      <c r="D273" s="30">
        <v>473.33333333333297</v>
      </c>
      <c r="E273" s="30">
        <v>65.8333333333333</v>
      </c>
      <c r="F273" s="30">
        <v>13.133333333333301</v>
      </c>
      <c r="G273" s="30">
        <v>55.2</v>
      </c>
      <c r="H273" s="30">
        <v>5.3</v>
      </c>
      <c r="I273" s="32">
        <v>0.25161971830985902</v>
      </c>
      <c r="J273" s="32">
        <v>0.31970941250789597</v>
      </c>
      <c r="K273" s="30">
        <v>119.1</v>
      </c>
      <c r="L273" s="30">
        <v>29.5</v>
      </c>
      <c r="M273" s="30">
        <v>3.3</v>
      </c>
      <c r="N273" s="30">
        <v>49.6</v>
      </c>
      <c r="O273" s="30">
        <v>112.2</v>
      </c>
      <c r="P273" s="32">
        <v>0.41112676056337999</v>
      </c>
      <c r="Q273" s="32">
        <v>0.73083617307127702</v>
      </c>
      <c r="R273" s="30">
        <v>0</v>
      </c>
    </row>
    <row r="274" spans="1:18" ht="18.600000000000001" customHeight="1">
      <c r="A274" s="25" t="s">
        <v>290</v>
      </c>
      <c r="B274" s="26" t="s">
        <v>64</v>
      </c>
      <c r="C274" s="126" t="s">
        <v>23</v>
      </c>
      <c r="D274" s="30">
        <v>455.66666666666703</v>
      </c>
      <c r="E274" s="30">
        <v>64.933333333333294</v>
      </c>
      <c r="F274" s="30">
        <v>17.733333333333299</v>
      </c>
      <c r="G274" s="30">
        <v>57.566666666666698</v>
      </c>
      <c r="H274" s="30">
        <v>11.4</v>
      </c>
      <c r="I274" s="32">
        <v>0.221726408193124</v>
      </c>
      <c r="J274" s="32">
        <v>0.30607842253376</v>
      </c>
      <c r="K274" s="30">
        <v>101.033333333333</v>
      </c>
      <c r="L274" s="30">
        <v>21.1</v>
      </c>
      <c r="M274" s="30">
        <v>2.3333333333333299</v>
      </c>
      <c r="N274" s="30">
        <v>57.4</v>
      </c>
      <c r="O274" s="30">
        <v>136.23333333333301</v>
      </c>
      <c r="P274" s="32">
        <v>0.39502560351133897</v>
      </c>
      <c r="Q274" s="32">
        <v>0.70110402604509903</v>
      </c>
      <c r="R274" s="30">
        <v>0</v>
      </c>
    </row>
    <row r="275" spans="1:18" ht="20.100000000000001" customHeight="1">
      <c r="A275" s="25" t="s">
        <v>294</v>
      </c>
      <c r="B275" s="26" t="s">
        <v>136</v>
      </c>
      <c r="C275" s="126" t="s">
        <v>23</v>
      </c>
      <c r="D275" s="30">
        <v>478</v>
      </c>
      <c r="E275" s="30">
        <v>54.733333333333299</v>
      </c>
      <c r="F275" s="30">
        <v>16.633333333333301</v>
      </c>
      <c r="G275" s="30">
        <v>61.4</v>
      </c>
      <c r="H275" s="30">
        <v>6.1</v>
      </c>
      <c r="I275" s="32">
        <v>0.244769874476987</v>
      </c>
      <c r="J275" s="32">
        <v>0.29095913778398103</v>
      </c>
      <c r="K275" s="30">
        <v>117</v>
      </c>
      <c r="L275" s="30">
        <v>17.899999999999999</v>
      </c>
      <c r="M275" s="30">
        <v>0.6</v>
      </c>
      <c r="N275" s="30">
        <v>33.1</v>
      </c>
      <c r="O275" s="30">
        <v>135.066666666667</v>
      </c>
      <c r="P275" s="32">
        <v>0.38912133891213402</v>
      </c>
      <c r="Q275" s="32">
        <v>0.68008047669611504</v>
      </c>
      <c r="R275" s="30">
        <v>0</v>
      </c>
    </row>
    <row r="276" spans="1:18" ht="18.600000000000001" customHeight="1">
      <c r="A276" s="25" t="s">
        <v>311</v>
      </c>
      <c r="B276" s="26" t="s">
        <v>99</v>
      </c>
      <c r="C276" s="126" t="s">
        <v>23</v>
      </c>
      <c r="D276" s="30">
        <v>410.66666666666703</v>
      </c>
      <c r="E276" s="30">
        <v>60.533333333333303</v>
      </c>
      <c r="F276" s="30">
        <v>17.100000000000001</v>
      </c>
      <c r="G276" s="30">
        <v>56.933333333333302</v>
      </c>
      <c r="H276" s="30">
        <v>0.96666666666666701</v>
      </c>
      <c r="I276" s="32">
        <v>0.25349025974026002</v>
      </c>
      <c r="J276" s="32">
        <v>0.35137655541018298</v>
      </c>
      <c r="K276" s="30">
        <v>104.1</v>
      </c>
      <c r="L276" s="30">
        <v>20.966666666666701</v>
      </c>
      <c r="M276" s="30">
        <v>0.56666666666666698</v>
      </c>
      <c r="N276" s="30">
        <v>64.2</v>
      </c>
      <c r="O276" s="30">
        <v>91.2</v>
      </c>
      <c r="P276" s="32">
        <v>0.43222402597402598</v>
      </c>
      <c r="Q276" s="32">
        <v>0.78360058138420896</v>
      </c>
      <c r="R276" s="30">
        <v>0</v>
      </c>
    </row>
    <row r="277" spans="1:18" ht="18.600000000000001" customHeight="1">
      <c r="A277" s="25" t="s">
        <v>297</v>
      </c>
      <c r="B277" s="26" t="s">
        <v>160</v>
      </c>
      <c r="C277" s="126" t="s">
        <v>23</v>
      </c>
      <c r="D277" s="30">
        <v>461.33333333333297</v>
      </c>
      <c r="E277" s="30">
        <v>60.233333333333299</v>
      </c>
      <c r="F277" s="30">
        <v>18.066666666666698</v>
      </c>
      <c r="G277" s="30">
        <v>61.366666666666703</v>
      </c>
      <c r="H277" s="30">
        <v>11.6</v>
      </c>
      <c r="I277" s="32">
        <v>0.21871387283237001</v>
      </c>
      <c r="J277" s="32">
        <v>0.28494195385037302</v>
      </c>
      <c r="K277" s="30">
        <v>100.9</v>
      </c>
      <c r="L277" s="30">
        <v>20.7</v>
      </c>
      <c r="M277" s="30">
        <v>2.6666666666666701</v>
      </c>
      <c r="N277" s="30">
        <v>44.566666666666698</v>
      </c>
      <c r="O277" s="30">
        <v>128.933333333333</v>
      </c>
      <c r="P277" s="32">
        <v>0.39263005780346799</v>
      </c>
      <c r="Q277" s="32">
        <v>0.67757201165384096</v>
      </c>
      <c r="R277" s="30">
        <v>0</v>
      </c>
    </row>
    <row r="278" spans="1:18" ht="18.600000000000001" customHeight="1">
      <c r="A278" s="25" t="s">
        <v>307</v>
      </c>
      <c r="B278" s="26" t="s">
        <v>139</v>
      </c>
      <c r="C278" s="126" t="s">
        <v>23</v>
      </c>
      <c r="D278" s="30">
        <v>435.66666666666703</v>
      </c>
      <c r="E278" s="30">
        <v>58.9</v>
      </c>
      <c r="F278" s="30">
        <v>16.233333333333299</v>
      </c>
      <c r="G278" s="30">
        <v>59.6666666666667</v>
      </c>
      <c r="H278" s="30">
        <v>6.7666666666666702</v>
      </c>
      <c r="I278" s="32">
        <v>0.237796480489671</v>
      </c>
      <c r="J278" s="32">
        <v>0.31892136287258699</v>
      </c>
      <c r="K278" s="30">
        <v>103.6</v>
      </c>
      <c r="L278" s="30">
        <v>21.2</v>
      </c>
      <c r="M278" s="30">
        <v>0.53333333333333299</v>
      </c>
      <c r="N278" s="30">
        <v>53.933333333333302</v>
      </c>
      <c r="O278" s="30">
        <v>106.166666666667</v>
      </c>
      <c r="P278" s="32">
        <v>0.40068859984697802</v>
      </c>
      <c r="Q278" s="32">
        <v>0.71960996271956401</v>
      </c>
      <c r="R278" s="30">
        <v>0</v>
      </c>
    </row>
    <row r="279" spans="1:18" ht="18.600000000000001" customHeight="1">
      <c r="A279" s="25" t="s">
        <v>314</v>
      </c>
      <c r="B279" s="26" t="s">
        <v>260</v>
      </c>
      <c r="C279" s="126" t="s">
        <v>23</v>
      </c>
      <c r="D279" s="30">
        <v>444.66666666666703</v>
      </c>
      <c r="E279" s="30">
        <v>60.5</v>
      </c>
      <c r="F279" s="30">
        <v>16.266666666666701</v>
      </c>
      <c r="G279" s="30">
        <v>59.633333333333297</v>
      </c>
      <c r="H279" s="30">
        <v>4.3333333333333304</v>
      </c>
      <c r="I279" s="32">
        <v>0.24175412293853099</v>
      </c>
      <c r="J279" s="32">
        <v>0.31404781665818898</v>
      </c>
      <c r="K279" s="30">
        <v>107.5</v>
      </c>
      <c r="L279" s="30">
        <v>22.066666666666698</v>
      </c>
      <c r="M279" s="30">
        <v>3.3</v>
      </c>
      <c r="N279" s="30">
        <v>48.9</v>
      </c>
      <c r="O279" s="30">
        <v>98.966666666666697</v>
      </c>
      <c r="P279" s="32">
        <v>0.41596701649175399</v>
      </c>
      <c r="Q279" s="32">
        <v>0.73001483314994298</v>
      </c>
      <c r="R279" s="30">
        <v>0</v>
      </c>
    </row>
    <row r="280" spans="1:18" ht="18.600000000000001" customHeight="1">
      <c r="A280" s="25" t="s">
        <v>326</v>
      </c>
      <c r="B280" s="26" t="s">
        <v>136</v>
      </c>
      <c r="C280" s="126" t="s">
        <v>23</v>
      </c>
      <c r="D280" s="30">
        <v>453.33333333333297</v>
      </c>
      <c r="E280" s="30">
        <v>60.133333333333297</v>
      </c>
      <c r="F280" s="30">
        <v>22.8333333333333</v>
      </c>
      <c r="G280" s="30">
        <v>65.266666666666694</v>
      </c>
      <c r="H280" s="30">
        <v>1.0333333333333301</v>
      </c>
      <c r="I280" s="32">
        <v>0.22610294117647101</v>
      </c>
      <c r="J280" s="32">
        <v>0.30660162601626001</v>
      </c>
      <c r="K280" s="30">
        <v>102.5</v>
      </c>
      <c r="L280" s="30">
        <v>21.866666666666699</v>
      </c>
      <c r="M280" s="30">
        <v>0.56666666666666698</v>
      </c>
      <c r="N280" s="30">
        <v>54.633333333333297</v>
      </c>
      <c r="O280" s="30">
        <v>141.30000000000001</v>
      </c>
      <c r="P280" s="32">
        <v>0.42794117647058799</v>
      </c>
      <c r="Q280" s="32">
        <v>0.734542802486848</v>
      </c>
      <c r="R280" s="30">
        <v>0</v>
      </c>
    </row>
    <row r="281" spans="1:18" ht="18.600000000000001" customHeight="1">
      <c r="A281" s="25" t="s">
        <v>300</v>
      </c>
      <c r="B281" s="26" t="s">
        <v>103</v>
      </c>
      <c r="C281" s="126" t="s">
        <v>23</v>
      </c>
      <c r="D281" s="30">
        <v>424.33333333333297</v>
      </c>
      <c r="E281" s="30">
        <v>51.8</v>
      </c>
      <c r="F281" s="30">
        <v>8.3666666666666707</v>
      </c>
      <c r="G281" s="30">
        <v>49.766666666666701</v>
      </c>
      <c r="H281" s="30">
        <v>12.033333333333299</v>
      </c>
      <c r="I281" s="32">
        <v>0.260172820109976</v>
      </c>
      <c r="J281" s="32">
        <v>0.31305549358416201</v>
      </c>
      <c r="K281" s="30">
        <v>110.4</v>
      </c>
      <c r="L281" s="30">
        <v>22.133333333333301</v>
      </c>
      <c r="M281" s="30">
        <v>2.4666666666666699</v>
      </c>
      <c r="N281" s="30">
        <v>34.6</v>
      </c>
      <c r="O281" s="30">
        <v>80.7</v>
      </c>
      <c r="P281" s="32">
        <v>0.383110761979576</v>
      </c>
      <c r="Q281" s="32">
        <v>0.69616625556373701</v>
      </c>
      <c r="R281" s="30">
        <v>0</v>
      </c>
    </row>
    <row r="282" spans="1:18" ht="18.600000000000001" customHeight="1">
      <c r="A282" s="25" t="s">
        <v>308</v>
      </c>
      <c r="B282" s="26" t="s">
        <v>309</v>
      </c>
      <c r="C282" s="126" t="s">
        <v>23</v>
      </c>
      <c r="D282" s="30">
        <v>446.66666666666703</v>
      </c>
      <c r="E282" s="30">
        <v>62.8</v>
      </c>
      <c r="F282" s="30">
        <v>15.9333333333333</v>
      </c>
      <c r="G282" s="30">
        <v>49.766666666666701</v>
      </c>
      <c r="H282" s="30">
        <v>9</v>
      </c>
      <c r="I282" s="32">
        <v>0.23664179104477601</v>
      </c>
      <c r="J282" s="32">
        <v>0.30257756242008199</v>
      </c>
      <c r="K282" s="30">
        <v>105.7</v>
      </c>
      <c r="L282" s="30">
        <v>24.5</v>
      </c>
      <c r="M282" s="30">
        <v>2.1</v>
      </c>
      <c r="N282" s="30">
        <v>44.1666666666667</v>
      </c>
      <c r="O282" s="30">
        <v>121.833333333333</v>
      </c>
      <c r="P282" s="32">
        <v>0.40791044776119401</v>
      </c>
      <c r="Q282" s="32">
        <v>0.71048801018127605</v>
      </c>
      <c r="R282" s="30">
        <v>0</v>
      </c>
    </row>
    <row r="283" spans="1:18" ht="18.600000000000001" customHeight="1">
      <c r="A283" s="25" t="s">
        <v>318</v>
      </c>
      <c r="B283" s="26" t="s">
        <v>125</v>
      </c>
      <c r="C283" s="126" t="s">
        <v>23</v>
      </c>
      <c r="D283" s="30">
        <v>381</v>
      </c>
      <c r="E283" s="30">
        <v>58.4</v>
      </c>
      <c r="F283" s="30">
        <v>16.8</v>
      </c>
      <c r="G283" s="30">
        <v>52.2</v>
      </c>
      <c r="H283" s="30">
        <v>5.85</v>
      </c>
      <c r="I283" s="32">
        <v>0.243832020997375</v>
      </c>
      <c r="J283" s="32">
        <v>0.333934194313878</v>
      </c>
      <c r="K283" s="30">
        <v>92.9</v>
      </c>
      <c r="L283" s="30">
        <v>17.399999999999999</v>
      </c>
      <c r="M283" s="30">
        <v>2.0499999999999998</v>
      </c>
      <c r="N283" s="30">
        <v>53.45</v>
      </c>
      <c r="O283" s="30">
        <v>94.8</v>
      </c>
      <c r="P283" s="32">
        <v>0.43254593175853001</v>
      </c>
      <c r="Q283" s="32">
        <v>0.76648012607240801</v>
      </c>
      <c r="R283" s="30">
        <v>0</v>
      </c>
    </row>
    <row r="284" spans="1:18" ht="18.600000000000001" customHeight="1">
      <c r="A284" s="25" t="s">
        <v>320</v>
      </c>
      <c r="B284" s="26" t="s">
        <v>136</v>
      </c>
      <c r="C284" s="126" t="s">
        <v>23</v>
      </c>
      <c r="D284" s="30">
        <v>421</v>
      </c>
      <c r="E284" s="30">
        <v>50.7</v>
      </c>
      <c r="F284" s="30">
        <v>14.5</v>
      </c>
      <c r="G284" s="30">
        <v>53.85</v>
      </c>
      <c r="H284" s="30">
        <v>4.05</v>
      </c>
      <c r="I284" s="32">
        <v>0.260451306413302</v>
      </c>
      <c r="J284" s="32">
        <v>0.305025767519711</v>
      </c>
      <c r="K284" s="30">
        <v>109.65</v>
      </c>
      <c r="L284" s="30">
        <v>21.55</v>
      </c>
      <c r="M284" s="30">
        <v>1</v>
      </c>
      <c r="N284" s="30">
        <v>28.85</v>
      </c>
      <c r="O284" s="30">
        <v>111.05</v>
      </c>
      <c r="P284" s="32">
        <v>0.41971496437054601</v>
      </c>
      <c r="Q284" s="32">
        <v>0.72474073189025701</v>
      </c>
      <c r="R284" s="30">
        <v>0</v>
      </c>
    </row>
    <row r="285" spans="1:18" ht="18.600000000000001" customHeight="1">
      <c r="A285" s="25" t="s">
        <v>306</v>
      </c>
      <c r="B285" s="26" t="s">
        <v>225</v>
      </c>
      <c r="C285" s="126" t="s">
        <v>23</v>
      </c>
      <c r="D285" s="30">
        <v>399.66666666666703</v>
      </c>
      <c r="E285" s="30">
        <v>55.1</v>
      </c>
      <c r="F285" s="30">
        <v>12.633333333333301</v>
      </c>
      <c r="G285" s="30">
        <v>45.7</v>
      </c>
      <c r="H285" s="30">
        <v>10.8333333333333</v>
      </c>
      <c r="I285" s="32">
        <v>0.25137614678899101</v>
      </c>
      <c r="J285" s="32">
        <v>0.31153732619835101</v>
      </c>
      <c r="K285" s="30">
        <v>100.466666666667</v>
      </c>
      <c r="L285" s="30">
        <v>15.9</v>
      </c>
      <c r="M285" s="30">
        <v>4.2333333333333298</v>
      </c>
      <c r="N285" s="30">
        <v>36.733333333333299</v>
      </c>
      <c r="O285" s="30">
        <v>79.433333333333294</v>
      </c>
      <c r="P285" s="32">
        <v>0.40717264386989199</v>
      </c>
      <c r="Q285" s="32">
        <v>0.718709970068243</v>
      </c>
      <c r="R285" s="30">
        <v>0</v>
      </c>
    </row>
    <row r="286" spans="1:18" ht="18.600000000000001" customHeight="1">
      <c r="A286" s="25" t="s">
        <v>360</v>
      </c>
      <c r="B286" s="26" t="s">
        <v>82</v>
      </c>
      <c r="C286" s="126" t="s">
        <v>23</v>
      </c>
      <c r="D286" s="30">
        <v>373</v>
      </c>
      <c r="E286" s="30">
        <v>54.633333333333297</v>
      </c>
      <c r="F286" s="30">
        <v>20.366666666666699</v>
      </c>
      <c r="G286" s="30">
        <v>57.6666666666667</v>
      </c>
      <c r="H286" s="30">
        <v>6.8333333333333304</v>
      </c>
      <c r="I286" s="32">
        <v>0.219660411081323</v>
      </c>
      <c r="J286" s="32">
        <v>0.29631044168079002</v>
      </c>
      <c r="K286" s="30">
        <v>81.933333333333294</v>
      </c>
      <c r="L286" s="30">
        <v>17.899999999999999</v>
      </c>
      <c r="M286" s="30">
        <v>1.0333333333333301</v>
      </c>
      <c r="N286" s="30">
        <v>42.2</v>
      </c>
      <c r="O286" s="30">
        <v>144.6</v>
      </c>
      <c r="P286" s="32">
        <v>0.436997319034853</v>
      </c>
      <c r="Q286" s="32">
        <v>0.73330776071564197</v>
      </c>
      <c r="R286" s="30">
        <v>0</v>
      </c>
    </row>
    <row r="287" spans="1:18" ht="18.600000000000001" customHeight="1">
      <c r="A287" s="25" t="s">
        <v>358</v>
      </c>
      <c r="B287" s="26" t="s">
        <v>119</v>
      </c>
      <c r="C287" s="126" t="s">
        <v>23</v>
      </c>
      <c r="D287" s="30">
        <v>387.33333333333297</v>
      </c>
      <c r="E287" s="30">
        <v>51.1</v>
      </c>
      <c r="F287" s="30">
        <v>14.466666666666701</v>
      </c>
      <c r="G287" s="30">
        <v>53.6666666666667</v>
      </c>
      <c r="H287" s="30">
        <v>7.9666666666666703</v>
      </c>
      <c r="I287" s="32">
        <v>0.23932874354561101</v>
      </c>
      <c r="J287" s="32">
        <v>0.30827578748976497</v>
      </c>
      <c r="K287" s="30">
        <v>92.7</v>
      </c>
      <c r="L287" s="30">
        <v>21.3</v>
      </c>
      <c r="M287" s="30">
        <v>3.4666666666666699</v>
      </c>
      <c r="N287" s="30">
        <v>40.3333333333333</v>
      </c>
      <c r="O287" s="30">
        <v>138.76666666666699</v>
      </c>
      <c r="P287" s="32">
        <v>0.42426850258175602</v>
      </c>
      <c r="Q287" s="32">
        <v>0.732544290071521</v>
      </c>
      <c r="R287" s="30">
        <v>0</v>
      </c>
    </row>
    <row r="288" spans="1:18" ht="18.600000000000001" customHeight="1">
      <c r="A288" s="25" t="s">
        <v>324</v>
      </c>
      <c r="B288" s="26" t="s">
        <v>77</v>
      </c>
      <c r="C288" s="126" t="s">
        <v>23</v>
      </c>
      <c r="D288" s="30">
        <v>437.66666666666703</v>
      </c>
      <c r="E288" s="30">
        <v>57.066666666666698</v>
      </c>
      <c r="F288" s="30">
        <v>1.7666666666666699</v>
      </c>
      <c r="G288" s="30">
        <v>34.966666666666697</v>
      </c>
      <c r="H288" s="30">
        <v>21.766666666666701</v>
      </c>
      <c r="I288" s="32">
        <v>0.24935262757044899</v>
      </c>
      <c r="J288" s="32">
        <v>0.31800768899845</v>
      </c>
      <c r="K288" s="30">
        <v>109.133333333333</v>
      </c>
      <c r="L288" s="30">
        <v>20.466666666666701</v>
      </c>
      <c r="M288" s="30">
        <v>1.86666666666667</v>
      </c>
      <c r="N288" s="30">
        <v>46.1</v>
      </c>
      <c r="O288" s="30">
        <v>82.566666666666706</v>
      </c>
      <c r="P288" s="32">
        <v>0.31675552170601701</v>
      </c>
      <c r="Q288" s="32">
        <v>0.63476321070446695</v>
      </c>
      <c r="R288" s="30">
        <v>0</v>
      </c>
    </row>
    <row r="289" spans="1:18" ht="18.600000000000001" customHeight="1">
      <c r="A289" s="25" t="s">
        <v>330</v>
      </c>
      <c r="B289" s="26" t="s">
        <v>260</v>
      </c>
      <c r="C289" s="126" t="s">
        <v>23</v>
      </c>
      <c r="D289" s="30">
        <v>386.33333333333297</v>
      </c>
      <c r="E289" s="30">
        <v>50.566666666666698</v>
      </c>
      <c r="F289" s="30">
        <v>9.2666666666666693</v>
      </c>
      <c r="G289" s="30">
        <v>40.9</v>
      </c>
      <c r="H289" s="30">
        <v>17.8</v>
      </c>
      <c r="I289" s="32">
        <v>0.239948231233822</v>
      </c>
      <c r="J289" s="32">
        <v>0.31404437817522202</v>
      </c>
      <c r="K289" s="30">
        <v>92.7</v>
      </c>
      <c r="L289" s="30">
        <v>15.133333333333301</v>
      </c>
      <c r="M289" s="30">
        <v>5.0999999999999996</v>
      </c>
      <c r="N289" s="30">
        <v>43.5</v>
      </c>
      <c r="O289" s="30">
        <v>111.433333333333</v>
      </c>
      <c r="P289" s="32">
        <v>0.37748058671268298</v>
      </c>
      <c r="Q289" s="32">
        <v>0.69152496488790605</v>
      </c>
      <c r="R289" s="30">
        <v>0</v>
      </c>
    </row>
    <row r="290" spans="1:18" ht="18.600000000000001" customHeight="1">
      <c r="A290" s="25" t="s">
        <v>366</v>
      </c>
      <c r="B290" s="26" t="s">
        <v>74</v>
      </c>
      <c r="C290" s="126" t="s">
        <v>23</v>
      </c>
      <c r="D290" s="30">
        <v>374.5</v>
      </c>
      <c r="E290" s="30">
        <v>50.1</v>
      </c>
      <c r="F290" s="30">
        <v>17.149999999999999</v>
      </c>
      <c r="G290" s="30">
        <v>54.05</v>
      </c>
      <c r="H290" s="30">
        <v>1.95</v>
      </c>
      <c r="I290" s="32">
        <v>0.245527369826435</v>
      </c>
      <c r="J290" s="32">
        <v>0.30459442062691999</v>
      </c>
      <c r="K290" s="30">
        <v>91.95</v>
      </c>
      <c r="L290" s="30">
        <v>15.8</v>
      </c>
      <c r="M290" s="30">
        <v>0.75</v>
      </c>
      <c r="N290" s="30">
        <v>33.450000000000003</v>
      </c>
      <c r="O290" s="30">
        <v>96.35</v>
      </c>
      <c r="P290" s="32">
        <v>0.42910547396528698</v>
      </c>
      <c r="Q290" s="32">
        <v>0.73369989459220797</v>
      </c>
      <c r="R290" s="30">
        <v>0</v>
      </c>
    </row>
    <row r="291" spans="1:18" ht="18.600000000000001" customHeight="1">
      <c r="A291" s="25" t="s">
        <v>383</v>
      </c>
      <c r="B291" s="26" t="s">
        <v>105</v>
      </c>
      <c r="C291" s="126" t="s">
        <v>23</v>
      </c>
      <c r="D291" s="30">
        <v>456.33333333333297</v>
      </c>
      <c r="E291" s="30">
        <v>64.3</v>
      </c>
      <c r="F291" s="30">
        <v>13.5666666666667</v>
      </c>
      <c r="G291" s="30">
        <v>55.2</v>
      </c>
      <c r="H291" s="30">
        <v>1.36666666666667</v>
      </c>
      <c r="I291" s="32">
        <v>0.238056975894814</v>
      </c>
      <c r="J291" s="32">
        <v>0.30166062023802398</v>
      </c>
      <c r="K291" s="30">
        <v>108.633333333333</v>
      </c>
      <c r="L291" s="30">
        <v>27.733333333333299</v>
      </c>
      <c r="M291" s="30">
        <v>1.4</v>
      </c>
      <c r="N291" s="30">
        <v>43.533333333333303</v>
      </c>
      <c r="O291" s="30">
        <v>96.9</v>
      </c>
      <c r="P291" s="32">
        <v>0.39415631848064298</v>
      </c>
      <c r="Q291" s="32">
        <v>0.69581693871866701</v>
      </c>
      <c r="R291" s="30">
        <v>0</v>
      </c>
    </row>
    <row r="292" spans="1:18" ht="18.600000000000001" customHeight="1">
      <c r="A292" s="25" t="s">
        <v>347</v>
      </c>
      <c r="B292" s="26" t="s">
        <v>99</v>
      </c>
      <c r="C292" s="126" t="s">
        <v>23</v>
      </c>
      <c r="D292" s="30">
        <v>375</v>
      </c>
      <c r="E292" s="30">
        <v>48.25</v>
      </c>
      <c r="F292" s="30">
        <v>10.75</v>
      </c>
      <c r="G292" s="30">
        <v>42.75</v>
      </c>
      <c r="H292" s="30">
        <v>14.9</v>
      </c>
      <c r="I292" s="32">
        <v>0.242933333333333</v>
      </c>
      <c r="J292" s="32">
        <v>0.30878289078457299</v>
      </c>
      <c r="K292" s="30">
        <v>91.1</v>
      </c>
      <c r="L292" s="30">
        <v>18</v>
      </c>
      <c r="M292" s="30">
        <v>1.85</v>
      </c>
      <c r="N292" s="30">
        <v>37.4</v>
      </c>
      <c r="O292" s="30">
        <v>121.85</v>
      </c>
      <c r="P292" s="32">
        <v>0.38679999999999998</v>
      </c>
      <c r="Q292" s="32">
        <v>0.69558289078457303</v>
      </c>
      <c r="R292" s="30">
        <v>0</v>
      </c>
    </row>
    <row r="293" spans="1:18" ht="18.600000000000001" customHeight="1">
      <c r="A293" s="25" t="s">
        <v>345</v>
      </c>
      <c r="B293" s="26" t="s">
        <v>103</v>
      </c>
      <c r="C293" s="126" t="s">
        <v>23</v>
      </c>
      <c r="D293" s="30">
        <v>359.33333333333297</v>
      </c>
      <c r="E293" s="30">
        <v>51.033333333333303</v>
      </c>
      <c r="F293" s="30">
        <v>13.266666666666699</v>
      </c>
      <c r="G293" s="30">
        <v>41.8</v>
      </c>
      <c r="H293" s="30">
        <v>15.766666666666699</v>
      </c>
      <c r="I293" s="32">
        <v>0.232282003710575</v>
      </c>
      <c r="J293" s="32">
        <v>0.27705918874172197</v>
      </c>
      <c r="K293" s="30">
        <v>83.466666666666697</v>
      </c>
      <c r="L293" s="30">
        <v>15.966666666666701</v>
      </c>
      <c r="M293" s="30">
        <v>2.8666666666666698</v>
      </c>
      <c r="N293" s="30">
        <v>23.633333333333301</v>
      </c>
      <c r="O293" s="30">
        <v>126.966666666667</v>
      </c>
      <c r="P293" s="32">
        <v>0.40343228200371101</v>
      </c>
      <c r="Q293" s="32">
        <v>0.68049147074543304</v>
      </c>
      <c r="R293" s="30">
        <v>0</v>
      </c>
    </row>
    <row r="294" spans="1:18" ht="20.100000000000001" customHeight="1">
      <c r="A294" s="25" t="s">
        <v>373</v>
      </c>
      <c r="B294" s="26" t="s">
        <v>158</v>
      </c>
      <c r="C294" s="126" t="s">
        <v>23</v>
      </c>
      <c r="D294" s="30">
        <v>419.66666666666703</v>
      </c>
      <c r="E294" s="30">
        <v>57.8</v>
      </c>
      <c r="F294" s="30">
        <v>15.5666666666667</v>
      </c>
      <c r="G294" s="30">
        <v>55.7</v>
      </c>
      <c r="H294" s="30">
        <v>5.4</v>
      </c>
      <c r="I294" s="32">
        <v>0.22875297855440799</v>
      </c>
      <c r="J294" s="32">
        <v>0.30936883421453598</v>
      </c>
      <c r="K294" s="30">
        <v>96</v>
      </c>
      <c r="L294" s="30">
        <v>20.933333333333302</v>
      </c>
      <c r="M294" s="30">
        <v>1.86666666666667</v>
      </c>
      <c r="N294" s="30">
        <v>50.866666666666703</v>
      </c>
      <c r="O294" s="30">
        <v>83.133333333333297</v>
      </c>
      <c r="P294" s="32">
        <v>0.39880857823669602</v>
      </c>
      <c r="Q294" s="32">
        <v>0.708177412451232</v>
      </c>
      <c r="R294" s="30">
        <v>0</v>
      </c>
    </row>
    <row r="295" spans="1:18" ht="18.600000000000001" customHeight="1">
      <c r="A295" s="25" t="s">
        <v>375</v>
      </c>
      <c r="B295" s="26" t="s">
        <v>79</v>
      </c>
      <c r="C295" s="126" t="s">
        <v>23</v>
      </c>
      <c r="D295" s="30">
        <v>377</v>
      </c>
      <c r="E295" s="30">
        <v>52.6666666666667</v>
      </c>
      <c r="F295" s="30">
        <v>14.3333333333333</v>
      </c>
      <c r="G295" s="30">
        <v>50.633333333333297</v>
      </c>
      <c r="H295" s="30">
        <v>5.2333333333333298</v>
      </c>
      <c r="I295" s="32">
        <v>0.240848806366048</v>
      </c>
      <c r="J295" s="32">
        <v>0.31487505020831502</v>
      </c>
      <c r="K295" s="30">
        <v>90.8</v>
      </c>
      <c r="L295" s="30">
        <v>14.6666666666667</v>
      </c>
      <c r="M295" s="30">
        <v>1.4666666666666699</v>
      </c>
      <c r="N295" s="30">
        <v>42.466666666666697</v>
      </c>
      <c r="O295" s="30">
        <v>118.76666666666701</v>
      </c>
      <c r="P295" s="32">
        <v>0.40159151193634002</v>
      </c>
      <c r="Q295" s="32">
        <v>0.71646656214465498</v>
      </c>
      <c r="R295" s="30">
        <v>0</v>
      </c>
    </row>
    <row r="296" spans="1:18" ht="18.600000000000001" customHeight="1">
      <c r="A296" s="25" t="s">
        <v>376</v>
      </c>
      <c r="B296" s="26" t="s">
        <v>260</v>
      </c>
      <c r="C296" s="126" t="s">
        <v>23</v>
      </c>
      <c r="D296" s="30">
        <v>400.66666666666703</v>
      </c>
      <c r="E296" s="30">
        <v>46.2</v>
      </c>
      <c r="F296" s="30">
        <v>15.3333333333333</v>
      </c>
      <c r="G296" s="30">
        <v>49.766666666666701</v>
      </c>
      <c r="H296" s="30">
        <v>4.3333333333333304</v>
      </c>
      <c r="I296" s="32">
        <v>0.24775374376039899</v>
      </c>
      <c r="J296" s="32">
        <v>0.29441209992915002</v>
      </c>
      <c r="K296" s="30">
        <v>99.266666666666694</v>
      </c>
      <c r="L296" s="30">
        <v>17.399999999999999</v>
      </c>
      <c r="M296" s="30">
        <v>1.9</v>
      </c>
      <c r="N296" s="30">
        <v>28.1666666666667</v>
      </c>
      <c r="O296" s="30">
        <v>101.833333333333</v>
      </c>
      <c r="P296" s="32">
        <v>0.41547420965058202</v>
      </c>
      <c r="Q296" s="32">
        <v>0.70988630957973198</v>
      </c>
      <c r="R296" s="30">
        <v>0</v>
      </c>
    </row>
    <row r="297" spans="1:18" ht="18.600000000000001" customHeight="1">
      <c r="A297" s="25" t="s">
        <v>371</v>
      </c>
      <c r="B297" s="26" t="s">
        <v>119</v>
      </c>
      <c r="C297" s="126" t="s">
        <v>23</v>
      </c>
      <c r="D297" s="30">
        <v>358.66666666666703</v>
      </c>
      <c r="E297" s="30">
        <v>45.966666666666697</v>
      </c>
      <c r="F297" s="30">
        <v>11.533333333333299</v>
      </c>
      <c r="G297" s="30">
        <v>41.466666666666697</v>
      </c>
      <c r="H297" s="30">
        <v>6.2333333333333298</v>
      </c>
      <c r="I297" s="32">
        <v>0.26124535315985098</v>
      </c>
      <c r="J297" s="32">
        <v>0.30478228603972901</v>
      </c>
      <c r="K297" s="30">
        <v>93.7</v>
      </c>
      <c r="L297" s="30">
        <v>15.3333333333333</v>
      </c>
      <c r="M297" s="30">
        <v>1.1666666666666701</v>
      </c>
      <c r="N297" s="30">
        <v>24.033333333333299</v>
      </c>
      <c r="O297" s="30">
        <v>78.3</v>
      </c>
      <c r="P297" s="32">
        <v>0.406970260223048</v>
      </c>
      <c r="Q297" s="32">
        <v>0.71175254626277695</v>
      </c>
      <c r="R297" s="30">
        <v>0</v>
      </c>
    </row>
    <row r="298" spans="1:18" ht="18.600000000000001" customHeight="1">
      <c r="A298" s="25" t="s">
        <v>382</v>
      </c>
      <c r="B298" s="26" t="s">
        <v>92</v>
      </c>
      <c r="C298" s="126" t="s">
        <v>23</v>
      </c>
      <c r="D298" s="30">
        <v>416.33333333333297</v>
      </c>
      <c r="E298" s="30">
        <v>50.1666666666667</v>
      </c>
      <c r="F298" s="30">
        <v>9.6333333333333293</v>
      </c>
      <c r="G298" s="30">
        <v>44.633333333333297</v>
      </c>
      <c r="H298" s="30">
        <v>10.733333333333301</v>
      </c>
      <c r="I298" s="32">
        <v>0.24283426741393099</v>
      </c>
      <c r="J298" s="32">
        <v>0.29740649220187898</v>
      </c>
      <c r="K298" s="30">
        <v>101.1</v>
      </c>
      <c r="L298" s="30">
        <v>19.2</v>
      </c>
      <c r="M298" s="30">
        <v>3.5</v>
      </c>
      <c r="N298" s="30">
        <v>34.1</v>
      </c>
      <c r="O298" s="30">
        <v>148.26666666666699</v>
      </c>
      <c r="P298" s="32">
        <v>0.37518014411529199</v>
      </c>
      <c r="Q298" s="32">
        <v>0.67258663631717097</v>
      </c>
      <c r="R298" s="30">
        <v>0</v>
      </c>
    </row>
    <row r="299" spans="1:18" ht="18.600000000000001" customHeight="1">
      <c r="A299" s="25" t="s">
        <v>372</v>
      </c>
      <c r="B299" s="26" t="s">
        <v>119</v>
      </c>
      <c r="C299" s="126" t="s">
        <v>23</v>
      </c>
      <c r="D299" s="30">
        <v>407.66666666666703</v>
      </c>
      <c r="E299" s="30">
        <v>45</v>
      </c>
      <c r="F299" s="30">
        <v>8.56666666666667</v>
      </c>
      <c r="G299" s="30">
        <v>43.733333333333299</v>
      </c>
      <c r="H299" s="30">
        <v>13.4333333333333</v>
      </c>
      <c r="I299" s="32">
        <v>0.245298446443173</v>
      </c>
      <c r="J299" s="32">
        <v>0.29236624471296802</v>
      </c>
      <c r="K299" s="30">
        <v>100</v>
      </c>
      <c r="L299" s="30">
        <v>18.3333333333333</v>
      </c>
      <c r="M299" s="30">
        <v>3.5333333333333301</v>
      </c>
      <c r="N299" s="30">
        <v>28.8</v>
      </c>
      <c r="O299" s="30">
        <v>106.23333333333299</v>
      </c>
      <c r="P299" s="32">
        <v>0.37064595257563399</v>
      </c>
      <c r="Q299" s="32">
        <v>0.66301219728860195</v>
      </c>
      <c r="R299" s="30">
        <v>0</v>
      </c>
    </row>
    <row r="300" spans="1:18" ht="18.600000000000001" customHeight="1">
      <c r="A300" s="25" t="s">
        <v>395</v>
      </c>
      <c r="B300" s="26" t="s">
        <v>74</v>
      </c>
      <c r="C300" s="126" t="s">
        <v>23</v>
      </c>
      <c r="D300" s="30">
        <v>374</v>
      </c>
      <c r="E300" s="30">
        <v>45.4</v>
      </c>
      <c r="F300" s="30">
        <v>12.7</v>
      </c>
      <c r="G300" s="30">
        <v>50.933333333333302</v>
      </c>
      <c r="H300" s="30">
        <v>6.6333333333333302</v>
      </c>
      <c r="I300" s="32">
        <v>0.24322638146167599</v>
      </c>
      <c r="J300" s="32">
        <v>0.28970789782203099</v>
      </c>
      <c r="K300" s="30">
        <v>90.966666666666697</v>
      </c>
      <c r="L300" s="30">
        <v>17.366666666666699</v>
      </c>
      <c r="M300" s="30">
        <v>1.8</v>
      </c>
      <c r="N300" s="30">
        <v>26</v>
      </c>
      <c r="O300" s="30">
        <v>80.5</v>
      </c>
      <c r="P300" s="32">
        <v>0.40115864527629203</v>
      </c>
      <c r="Q300" s="32">
        <v>0.69086654309832296</v>
      </c>
      <c r="R300" s="30">
        <v>0</v>
      </c>
    </row>
    <row r="301" spans="1:18" ht="18.600000000000001" customHeight="1">
      <c r="A301" s="25" t="s">
        <v>399</v>
      </c>
      <c r="B301" s="26"/>
      <c r="C301" s="126" t="s">
        <v>23</v>
      </c>
      <c r="D301" s="30">
        <v>395.33333333333297</v>
      </c>
      <c r="E301" s="30">
        <v>55.433333333333302</v>
      </c>
      <c r="F301" s="30">
        <v>10.633333333333301</v>
      </c>
      <c r="G301" s="30">
        <v>43.1666666666667</v>
      </c>
      <c r="H301" s="30">
        <v>6.6</v>
      </c>
      <c r="I301" s="32">
        <v>0.24502529510961199</v>
      </c>
      <c r="J301" s="32">
        <v>0.32317264222729503</v>
      </c>
      <c r="K301" s="30">
        <v>96.866666666666703</v>
      </c>
      <c r="L301" s="30">
        <v>21.3</v>
      </c>
      <c r="M301" s="30">
        <v>1.6666666666666701</v>
      </c>
      <c r="N301" s="30">
        <v>47.533333333333303</v>
      </c>
      <c r="O301" s="30">
        <v>71.133333333333297</v>
      </c>
      <c r="P301" s="32">
        <v>0.38802698145025299</v>
      </c>
      <c r="Q301" s="32">
        <v>0.71119962367754797</v>
      </c>
      <c r="R301" s="30">
        <v>0</v>
      </c>
    </row>
    <row r="302" spans="1:18" ht="18.600000000000001" customHeight="1">
      <c r="A302" s="25" t="s">
        <v>401</v>
      </c>
      <c r="B302" s="26" t="s">
        <v>178</v>
      </c>
      <c r="C302" s="126" t="s">
        <v>23</v>
      </c>
      <c r="D302" s="30">
        <v>385.33333333333297</v>
      </c>
      <c r="E302" s="30">
        <v>49.9</v>
      </c>
      <c r="F302" s="30">
        <v>3.7666666666666702</v>
      </c>
      <c r="G302" s="30">
        <v>36.633333333333297</v>
      </c>
      <c r="H302" s="30">
        <v>2.8666666666666698</v>
      </c>
      <c r="I302" s="32">
        <v>0.28486159169550201</v>
      </c>
      <c r="J302" s="32">
        <v>0.32748744444266198</v>
      </c>
      <c r="K302" s="30">
        <v>109.76666666666701</v>
      </c>
      <c r="L302" s="30">
        <v>19.100000000000001</v>
      </c>
      <c r="M302" s="30">
        <v>2.06666666666667</v>
      </c>
      <c r="N302" s="30">
        <v>26.3</v>
      </c>
      <c r="O302" s="30">
        <v>69.5</v>
      </c>
      <c r="P302" s="32">
        <v>0.37448096885813098</v>
      </c>
      <c r="Q302" s="32">
        <v>0.70196841330079296</v>
      </c>
      <c r="R302" s="30">
        <v>0</v>
      </c>
    </row>
    <row r="303" spans="1:18" ht="18.600000000000001" customHeight="1">
      <c r="A303" s="25" t="s">
        <v>400</v>
      </c>
      <c r="B303" s="26" t="s">
        <v>116</v>
      </c>
      <c r="C303" s="126" t="s">
        <v>23</v>
      </c>
      <c r="D303" s="30">
        <v>323.5</v>
      </c>
      <c r="E303" s="30">
        <v>42.15</v>
      </c>
      <c r="F303" s="30">
        <v>14.15</v>
      </c>
      <c r="G303" s="30">
        <v>45.3</v>
      </c>
      <c r="H303" s="30">
        <v>2.75</v>
      </c>
      <c r="I303" s="32">
        <v>0.25795981452859401</v>
      </c>
      <c r="J303" s="32">
        <v>0.29976830198454402</v>
      </c>
      <c r="K303" s="30">
        <v>83.45</v>
      </c>
      <c r="L303" s="30">
        <v>14.7</v>
      </c>
      <c r="M303" s="30">
        <v>1.2</v>
      </c>
      <c r="N303" s="30">
        <v>20.7</v>
      </c>
      <c r="O303" s="30">
        <v>85.3</v>
      </c>
      <c r="P303" s="32">
        <v>0.442040185471406</v>
      </c>
      <c r="Q303" s="32">
        <v>0.74180848745594996</v>
      </c>
      <c r="R303" s="30">
        <v>0</v>
      </c>
    </row>
    <row r="304" spans="1:18" ht="18.600000000000001" customHeight="1">
      <c r="A304" s="25" t="s">
        <v>404</v>
      </c>
      <c r="B304" s="26" t="s">
        <v>99</v>
      </c>
      <c r="C304" s="126" t="s">
        <v>23</v>
      </c>
      <c r="D304" s="30">
        <v>370.66666666666703</v>
      </c>
      <c r="E304" s="30">
        <v>48.1</v>
      </c>
      <c r="F304" s="30">
        <v>15.966666666666701</v>
      </c>
      <c r="G304" s="30">
        <v>50.7</v>
      </c>
      <c r="H304" s="30">
        <v>4.7</v>
      </c>
      <c r="I304" s="32">
        <v>0.23552158273381299</v>
      </c>
      <c r="J304" s="32">
        <v>0.28280674872170702</v>
      </c>
      <c r="K304" s="30">
        <v>87.3</v>
      </c>
      <c r="L304" s="30">
        <v>18.2</v>
      </c>
      <c r="M304" s="30">
        <v>2.43333333333333</v>
      </c>
      <c r="N304" s="30">
        <v>25.9</v>
      </c>
      <c r="O304" s="30">
        <v>97.4</v>
      </c>
      <c r="P304" s="32">
        <v>0.42697841726618702</v>
      </c>
      <c r="Q304" s="32">
        <v>0.70978516598789398</v>
      </c>
      <c r="R304" s="30">
        <v>0</v>
      </c>
    </row>
    <row r="305" spans="1:18" ht="18.600000000000001" customHeight="1">
      <c r="A305" s="25" t="s">
        <v>398</v>
      </c>
      <c r="B305" s="26" t="s">
        <v>72</v>
      </c>
      <c r="C305" s="126" t="s">
        <v>23</v>
      </c>
      <c r="D305" s="30">
        <v>388.66666666666703</v>
      </c>
      <c r="E305" s="30">
        <v>49.133333333333297</v>
      </c>
      <c r="F305" s="30">
        <v>16.266666666666701</v>
      </c>
      <c r="G305" s="30">
        <v>49.133333333333297</v>
      </c>
      <c r="H305" s="30">
        <v>9.6</v>
      </c>
      <c r="I305" s="32">
        <v>0.22161234991423701</v>
      </c>
      <c r="J305" s="32">
        <v>0.28715220695430999</v>
      </c>
      <c r="K305" s="30">
        <v>86.133333333333297</v>
      </c>
      <c r="L305" s="30">
        <v>18.6666666666667</v>
      </c>
      <c r="M305" s="30">
        <v>1.1000000000000001</v>
      </c>
      <c r="N305" s="30">
        <v>37.299999999999997</v>
      </c>
      <c r="O305" s="30">
        <v>112.466666666667</v>
      </c>
      <c r="P305" s="32">
        <v>0.400857632933105</v>
      </c>
      <c r="Q305" s="32">
        <v>0.68800983988741504</v>
      </c>
      <c r="R305" s="30">
        <v>0</v>
      </c>
    </row>
    <row r="306" spans="1:18" ht="18.600000000000001" customHeight="1">
      <c r="A306" s="25" t="s">
        <v>390</v>
      </c>
      <c r="B306" s="26" t="s">
        <v>87</v>
      </c>
      <c r="C306" s="126" t="s">
        <v>23</v>
      </c>
      <c r="D306" s="30">
        <v>384.66666666666703</v>
      </c>
      <c r="E306" s="30">
        <v>46</v>
      </c>
      <c r="F306" s="30">
        <v>9.2666666666666693</v>
      </c>
      <c r="G306" s="30">
        <v>39.6666666666667</v>
      </c>
      <c r="H306" s="30">
        <v>14.8333333333333</v>
      </c>
      <c r="I306" s="32">
        <v>0.23795493934142101</v>
      </c>
      <c r="J306" s="32">
        <v>0.29056249203720202</v>
      </c>
      <c r="K306" s="30">
        <v>91.533333333333303</v>
      </c>
      <c r="L306" s="30">
        <v>18.5</v>
      </c>
      <c r="M306" s="30">
        <v>2.4666666666666699</v>
      </c>
      <c r="N306" s="30">
        <v>30.1</v>
      </c>
      <c r="O306" s="30">
        <v>107.833333333333</v>
      </c>
      <c r="P306" s="32">
        <v>0.37114384748700202</v>
      </c>
      <c r="Q306" s="32">
        <v>0.66170633952420399</v>
      </c>
      <c r="R306" s="30">
        <v>0</v>
      </c>
    </row>
    <row r="307" spans="1:18" ht="18.600000000000001" customHeight="1">
      <c r="A307" s="25" t="s">
        <v>416</v>
      </c>
      <c r="B307" s="26"/>
      <c r="C307" s="126" t="s">
        <v>23</v>
      </c>
      <c r="D307" s="30">
        <v>380</v>
      </c>
      <c r="E307" s="30">
        <v>43.3333333333333</v>
      </c>
      <c r="F307" s="30">
        <v>10.0666666666667</v>
      </c>
      <c r="G307" s="30">
        <v>49.9</v>
      </c>
      <c r="H307" s="30">
        <v>2.2000000000000002</v>
      </c>
      <c r="I307" s="32">
        <v>0.25684210526315798</v>
      </c>
      <c r="J307" s="32">
        <v>0.31465517241379298</v>
      </c>
      <c r="K307" s="30">
        <v>97.6</v>
      </c>
      <c r="L307" s="30">
        <v>21.5</v>
      </c>
      <c r="M307" s="30">
        <v>2.8</v>
      </c>
      <c r="N307" s="30">
        <v>33.799999999999997</v>
      </c>
      <c r="O307" s="30">
        <v>89.533333333333303</v>
      </c>
      <c r="P307" s="32">
        <v>0.40763157894736901</v>
      </c>
      <c r="Q307" s="32">
        <v>0.72228675136116205</v>
      </c>
      <c r="R307" s="30">
        <v>0</v>
      </c>
    </row>
    <row r="308" spans="1:18" ht="18.600000000000001" customHeight="1">
      <c r="A308" s="25" t="s">
        <v>415</v>
      </c>
      <c r="B308" s="26" t="s">
        <v>125</v>
      </c>
      <c r="C308" s="126" t="s">
        <v>23</v>
      </c>
      <c r="D308" s="30">
        <v>323</v>
      </c>
      <c r="E308" s="30">
        <v>41.5</v>
      </c>
      <c r="F308" s="30">
        <v>16.133333333333301</v>
      </c>
      <c r="G308" s="30">
        <v>45.633333333333297</v>
      </c>
      <c r="H308" s="30">
        <v>1</v>
      </c>
      <c r="I308" s="32">
        <v>0.25118679050567599</v>
      </c>
      <c r="J308" s="32">
        <v>0.30151326601373601</v>
      </c>
      <c r="K308" s="30">
        <v>81.133333333333297</v>
      </c>
      <c r="L308" s="30">
        <v>16.8333333333333</v>
      </c>
      <c r="M308" s="30">
        <v>0.5</v>
      </c>
      <c r="N308" s="30">
        <v>24.6666666666667</v>
      </c>
      <c r="O308" s="30">
        <v>78.766666666666694</v>
      </c>
      <c r="P308" s="32">
        <v>0.4562435500516</v>
      </c>
      <c r="Q308" s="32">
        <v>0.75775681606533596</v>
      </c>
      <c r="R308" s="30">
        <v>0</v>
      </c>
    </row>
    <row r="309" spans="1:18" ht="18.600000000000001" customHeight="1">
      <c r="A309" s="25" t="s">
        <v>422</v>
      </c>
      <c r="B309" s="26" t="s">
        <v>105</v>
      </c>
      <c r="C309" s="126" t="s">
        <v>23</v>
      </c>
      <c r="D309" s="30">
        <v>356.33333333333297</v>
      </c>
      <c r="E309" s="30">
        <v>47.033333333333303</v>
      </c>
      <c r="F309" s="30">
        <v>20.100000000000001</v>
      </c>
      <c r="G309" s="30">
        <v>55.533333333333303</v>
      </c>
      <c r="H309" s="30">
        <v>2</v>
      </c>
      <c r="I309" s="32">
        <v>0.219270346117867</v>
      </c>
      <c r="J309" s="32">
        <v>0.26965845566317298</v>
      </c>
      <c r="K309" s="30">
        <v>78.133333333333297</v>
      </c>
      <c r="L309" s="30">
        <v>14.966666666666701</v>
      </c>
      <c r="M309" s="30">
        <v>1.0333333333333301</v>
      </c>
      <c r="N309" s="30">
        <v>25.9</v>
      </c>
      <c r="O309" s="30">
        <v>119</v>
      </c>
      <c r="P309" s="32">
        <v>0.43629560336763301</v>
      </c>
      <c r="Q309" s="32">
        <v>0.70595405903080699</v>
      </c>
      <c r="R309" s="30">
        <v>0</v>
      </c>
    </row>
    <row r="310" spans="1:18" ht="18.600000000000001" customHeight="1">
      <c r="A310" s="25" t="s">
        <v>432</v>
      </c>
      <c r="B310" s="26" t="s">
        <v>158</v>
      </c>
      <c r="C310" s="126" t="s">
        <v>23</v>
      </c>
      <c r="D310" s="30">
        <v>408.66666666666703</v>
      </c>
      <c r="E310" s="30">
        <v>59.2</v>
      </c>
      <c r="F310" s="30">
        <v>23.633333333333301</v>
      </c>
      <c r="G310" s="30">
        <v>58.233333333333299</v>
      </c>
      <c r="H310" s="30">
        <v>4.06666666666667</v>
      </c>
      <c r="I310" s="32">
        <v>0.18686786296900501</v>
      </c>
      <c r="J310" s="32">
        <v>0.30573213352046003</v>
      </c>
      <c r="K310" s="30">
        <v>76.366666666666703</v>
      </c>
      <c r="L310" s="30">
        <v>12.9</v>
      </c>
      <c r="M310" s="30">
        <v>1.56666666666667</v>
      </c>
      <c r="N310" s="30">
        <v>71.766666666666694</v>
      </c>
      <c r="O310" s="30">
        <v>175.36666666666699</v>
      </c>
      <c r="P310" s="32">
        <v>0.399592169657423</v>
      </c>
      <c r="Q310" s="32">
        <v>0.70532430317788297</v>
      </c>
      <c r="R310" s="30">
        <v>0</v>
      </c>
    </row>
    <row r="311" spans="1:18" ht="18.600000000000001" customHeight="1">
      <c r="A311" s="25" t="s">
        <v>423</v>
      </c>
      <c r="B311" s="26" t="s">
        <v>139</v>
      </c>
      <c r="C311" s="126" t="s">
        <v>23</v>
      </c>
      <c r="D311" s="30">
        <v>361</v>
      </c>
      <c r="E311" s="30">
        <v>49.766666666666701</v>
      </c>
      <c r="F311" s="30">
        <v>19.066666666666698</v>
      </c>
      <c r="G311" s="30">
        <v>47.233333333333299</v>
      </c>
      <c r="H311" s="30">
        <v>4.8</v>
      </c>
      <c r="I311" s="32">
        <v>0.218559556786704</v>
      </c>
      <c r="J311" s="32">
        <v>0.30168726526156298</v>
      </c>
      <c r="K311" s="30">
        <v>78.900000000000006</v>
      </c>
      <c r="L311" s="30">
        <v>15.133333333333301</v>
      </c>
      <c r="M311" s="30">
        <v>0.6</v>
      </c>
      <c r="N311" s="30">
        <v>44.533333333333303</v>
      </c>
      <c r="O311" s="30">
        <v>121.566666666667</v>
      </c>
      <c r="P311" s="32">
        <v>0.42225300092336099</v>
      </c>
      <c r="Q311" s="32">
        <v>0.72394026618492402</v>
      </c>
      <c r="R311" s="30">
        <v>0</v>
      </c>
    </row>
    <row r="312" spans="1:18" ht="18.600000000000001" customHeight="1">
      <c r="A312" s="25" t="s">
        <v>428</v>
      </c>
      <c r="B312" s="26" t="s">
        <v>116</v>
      </c>
      <c r="C312" s="126" t="s">
        <v>23</v>
      </c>
      <c r="D312" s="30">
        <v>318.66666666666703</v>
      </c>
      <c r="E312" s="30">
        <v>38.933333333333302</v>
      </c>
      <c r="F312" s="30">
        <v>15.133333333333301</v>
      </c>
      <c r="G312" s="30">
        <v>48.6666666666667</v>
      </c>
      <c r="H312" s="30">
        <v>0.6</v>
      </c>
      <c r="I312" s="32">
        <v>0.24905857740585799</v>
      </c>
      <c r="J312" s="32">
        <v>0.30463791389462402</v>
      </c>
      <c r="K312" s="30">
        <v>79.366666666666703</v>
      </c>
      <c r="L312" s="30">
        <v>15.866666666666699</v>
      </c>
      <c r="M312" s="30">
        <v>0.43333333333333302</v>
      </c>
      <c r="N312" s="30">
        <v>26.866666666666699</v>
      </c>
      <c r="O312" s="30">
        <v>75.6666666666667</v>
      </c>
      <c r="P312" s="32">
        <v>0.44403765690376601</v>
      </c>
      <c r="Q312" s="32">
        <v>0.74867557079838998</v>
      </c>
      <c r="R312" s="30">
        <v>0</v>
      </c>
    </row>
    <row r="313" spans="1:18" ht="18.600000000000001" customHeight="1">
      <c r="A313" s="25" t="s">
        <v>419</v>
      </c>
      <c r="B313" s="26" t="s">
        <v>225</v>
      </c>
      <c r="C313" s="126" t="s">
        <v>23</v>
      </c>
      <c r="D313" s="30">
        <v>396.33333333333297</v>
      </c>
      <c r="E313" s="30">
        <v>48.8333333333333</v>
      </c>
      <c r="F313" s="30">
        <v>7.9</v>
      </c>
      <c r="G313" s="30">
        <v>36.933333333333302</v>
      </c>
      <c r="H313" s="30">
        <v>9.43333333333333</v>
      </c>
      <c r="I313" s="32">
        <v>0.24440706476030299</v>
      </c>
      <c r="J313" s="32">
        <v>0.30073975065102698</v>
      </c>
      <c r="K313" s="30">
        <v>96.866666666666703</v>
      </c>
      <c r="L313" s="30">
        <v>20.3</v>
      </c>
      <c r="M313" s="30">
        <v>0.56666666666666698</v>
      </c>
      <c r="N313" s="30">
        <v>33.633333333333297</v>
      </c>
      <c r="O313" s="30">
        <v>78.900000000000006</v>
      </c>
      <c r="P313" s="32">
        <v>0.35828427249789702</v>
      </c>
      <c r="Q313" s="32">
        <v>0.65902402314892405</v>
      </c>
      <c r="R313" s="30">
        <v>0</v>
      </c>
    </row>
    <row r="314" spans="1:18" ht="20.100000000000001" customHeight="1">
      <c r="A314" s="25" t="s">
        <v>433</v>
      </c>
      <c r="B314" s="26" t="s">
        <v>158</v>
      </c>
      <c r="C314" s="126" t="s">
        <v>23</v>
      </c>
      <c r="D314" s="30">
        <v>311.66666666666703</v>
      </c>
      <c r="E314" s="30">
        <v>38.6</v>
      </c>
      <c r="F314" s="30">
        <v>11.366666666666699</v>
      </c>
      <c r="G314" s="30">
        <v>43.433333333333302</v>
      </c>
      <c r="H314" s="30">
        <v>1.86666666666667</v>
      </c>
      <c r="I314" s="32">
        <v>0.258288770053476</v>
      </c>
      <c r="J314" s="32">
        <v>0.30503782073466201</v>
      </c>
      <c r="K314" s="30">
        <v>80.5</v>
      </c>
      <c r="L314" s="30">
        <v>16.066666666666698</v>
      </c>
      <c r="M314" s="30">
        <v>0.93333333333333302</v>
      </c>
      <c r="N314" s="30">
        <v>22.3333333333333</v>
      </c>
      <c r="O314" s="30">
        <v>74.633333333333297</v>
      </c>
      <c r="P314" s="32">
        <v>0.42524064171122999</v>
      </c>
      <c r="Q314" s="32">
        <v>0.73027846244589201</v>
      </c>
      <c r="R314" s="30">
        <v>0</v>
      </c>
    </row>
    <row r="315" spans="1:18" ht="18.600000000000001" customHeight="1">
      <c r="A315" s="25" t="s">
        <v>438</v>
      </c>
      <c r="B315" s="26" t="s">
        <v>69</v>
      </c>
      <c r="C315" s="126" t="s">
        <v>23</v>
      </c>
      <c r="D315" s="30">
        <v>299.33333333333297</v>
      </c>
      <c r="E315" s="30">
        <v>39.133333333333297</v>
      </c>
      <c r="F315" s="30">
        <v>12.0666666666667</v>
      </c>
      <c r="G315" s="30">
        <v>39.966666666666697</v>
      </c>
      <c r="H315" s="30">
        <v>7.3666666666666698</v>
      </c>
      <c r="I315" s="32">
        <v>0.24064587973273899</v>
      </c>
      <c r="J315" s="32">
        <v>0.29879831113998001</v>
      </c>
      <c r="K315" s="30">
        <v>72.033333333333303</v>
      </c>
      <c r="L315" s="30">
        <v>15.4</v>
      </c>
      <c r="M315" s="30">
        <v>1.6</v>
      </c>
      <c r="N315" s="30">
        <v>26.1</v>
      </c>
      <c r="O315" s="30">
        <v>82.3333333333333</v>
      </c>
      <c r="P315" s="32">
        <v>0.42371937639198198</v>
      </c>
      <c r="Q315" s="32">
        <v>0.72251768753196299</v>
      </c>
      <c r="R315" s="30">
        <v>0</v>
      </c>
    </row>
    <row r="316" spans="1:18" ht="20.100000000000001" customHeight="1">
      <c r="A316" s="25" t="s">
        <v>455</v>
      </c>
      <c r="B316" s="26" t="s">
        <v>101</v>
      </c>
      <c r="C316" s="126" t="s">
        <v>23</v>
      </c>
      <c r="D316" s="30">
        <v>333.66666666666703</v>
      </c>
      <c r="E316" s="30">
        <v>42.233333333333299</v>
      </c>
      <c r="F316" s="30">
        <v>12.6</v>
      </c>
      <c r="G316" s="30">
        <v>42.8333333333333</v>
      </c>
      <c r="H316" s="30">
        <v>2.06666666666667</v>
      </c>
      <c r="I316" s="32">
        <v>0.24565434565434599</v>
      </c>
      <c r="J316" s="32">
        <v>0.29903528139916302</v>
      </c>
      <c r="K316" s="30">
        <v>81.966666666666697</v>
      </c>
      <c r="L316" s="30">
        <v>16.6666666666667</v>
      </c>
      <c r="M316" s="30">
        <v>2.4666666666666699</v>
      </c>
      <c r="N316" s="30">
        <v>26.8333333333333</v>
      </c>
      <c r="O316" s="30">
        <v>106.566666666667</v>
      </c>
      <c r="P316" s="32">
        <v>0.42367632367632402</v>
      </c>
      <c r="Q316" s="32">
        <v>0.72271160507548604</v>
      </c>
      <c r="R316" s="30">
        <v>0</v>
      </c>
    </row>
    <row r="317" spans="1:18" ht="18.600000000000001" customHeight="1">
      <c r="A317" s="25" t="s">
        <v>459</v>
      </c>
      <c r="B317" s="26" t="s">
        <v>82</v>
      </c>
      <c r="C317" s="126" t="s">
        <v>23</v>
      </c>
      <c r="D317" s="30">
        <v>334.66666666666703</v>
      </c>
      <c r="E317" s="30">
        <v>43.733333333333299</v>
      </c>
      <c r="F317" s="30">
        <v>12.766666666666699</v>
      </c>
      <c r="G317" s="30">
        <v>43.3333333333333</v>
      </c>
      <c r="H317" s="30">
        <v>5.0999999999999996</v>
      </c>
      <c r="I317" s="32">
        <v>0.23356573705179301</v>
      </c>
      <c r="J317" s="32">
        <v>0.29506981118425801</v>
      </c>
      <c r="K317" s="30">
        <v>78.1666666666667</v>
      </c>
      <c r="L317" s="30">
        <v>15.1</v>
      </c>
      <c r="M317" s="30">
        <v>1.9</v>
      </c>
      <c r="N317" s="30">
        <v>30.6</v>
      </c>
      <c r="O317" s="30">
        <v>113.633333333333</v>
      </c>
      <c r="P317" s="32">
        <v>0.40448207171314698</v>
      </c>
      <c r="Q317" s="32">
        <v>0.699551882897405</v>
      </c>
      <c r="R317" s="30">
        <v>0</v>
      </c>
    </row>
    <row r="318" spans="1:18" ht="18.600000000000001" customHeight="1">
      <c r="A318" s="25" t="s">
        <v>464</v>
      </c>
      <c r="B318" s="26" t="s">
        <v>309</v>
      </c>
      <c r="C318" s="126" t="s">
        <v>23</v>
      </c>
      <c r="D318" s="30">
        <v>311.33333333333297</v>
      </c>
      <c r="E318" s="30">
        <v>36.5</v>
      </c>
      <c r="F318" s="30">
        <v>7.8333333333333304</v>
      </c>
      <c r="G318" s="30">
        <v>35.200000000000003</v>
      </c>
      <c r="H318" s="30">
        <v>2.6333333333333302</v>
      </c>
      <c r="I318" s="32">
        <v>0.26766595289079198</v>
      </c>
      <c r="J318" s="32">
        <v>0.306479684718027</v>
      </c>
      <c r="K318" s="30">
        <v>83.3333333333333</v>
      </c>
      <c r="L318" s="30">
        <v>17.566666666666698</v>
      </c>
      <c r="M318" s="30">
        <v>2.06666666666667</v>
      </c>
      <c r="N318" s="30">
        <v>18.8</v>
      </c>
      <c r="O318" s="30">
        <v>60.4</v>
      </c>
      <c r="P318" s="32">
        <v>0.41284796573875798</v>
      </c>
      <c r="Q318" s="32">
        <v>0.71932765045678504</v>
      </c>
      <c r="R318" s="30">
        <v>0</v>
      </c>
    </row>
    <row r="319" spans="1:18" ht="18.600000000000001" customHeight="1">
      <c r="A319" s="25" t="s">
        <v>465</v>
      </c>
      <c r="B319" s="26" t="s">
        <v>97</v>
      </c>
      <c r="C319" s="126" t="s">
        <v>23</v>
      </c>
      <c r="D319" s="30">
        <v>333.66666666666703</v>
      </c>
      <c r="E319" s="30">
        <v>47.966666666666697</v>
      </c>
      <c r="F319" s="30">
        <v>10.3</v>
      </c>
      <c r="G319" s="30">
        <v>37.133333333333297</v>
      </c>
      <c r="H319" s="30">
        <v>7.43333333333333</v>
      </c>
      <c r="I319" s="32">
        <v>0.233566433566434</v>
      </c>
      <c r="J319" s="32">
        <v>0.31239217559784499</v>
      </c>
      <c r="K319" s="30">
        <v>77.933333333333294</v>
      </c>
      <c r="L319" s="30">
        <v>13.733333333333301</v>
      </c>
      <c r="M319" s="30">
        <v>0.96666666666666701</v>
      </c>
      <c r="N319" s="30">
        <v>39.766666666666701</v>
      </c>
      <c r="O319" s="30">
        <v>96.633333333333297</v>
      </c>
      <c r="P319" s="32">
        <v>0.37312687312687298</v>
      </c>
      <c r="Q319" s="32">
        <v>0.68551904872471803</v>
      </c>
      <c r="R319" s="30">
        <v>0</v>
      </c>
    </row>
    <row r="320" spans="1:18" ht="18.600000000000001" customHeight="1">
      <c r="A320" s="25" t="s">
        <v>475</v>
      </c>
      <c r="B320" s="26" t="s">
        <v>72</v>
      </c>
      <c r="C320" s="126" t="s">
        <v>23</v>
      </c>
      <c r="D320" s="30">
        <v>313.5</v>
      </c>
      <c r="E320" s="30">
        <v>39.200000000000003</v>
      </c>
      <c r="F320" s="30">
        <v>11.3</v>
      </c>
      <c r="G320" s="30">
        <v>40.35</v>
      </c>
      <c r="H320" s="30">
        <v>3.05</v>
      </c>
      <c r="I320" s="32">
        <v>0.24720893141945799</v>
      </c>
      <c r="J320" s="32">
        <v>0.29393093877791998</v>
      </c>
      <c r="K320" s="30">
        <v>77.5</v>
      </c>
      <c r="L320" s="30">
        <v>17.350000000000001</v>
      </c>
      <c r="M320" s="30">
        <v>0.75</v>
      </c>
      <c r="N320" s="30">
        <v>22.05</v>
      </c>
      <c r="O320" s="30">
        <v>70.150000000000006</v>
      </c>
      <c r="P320" s="32">
        <v>0.41547049441786299</v>
      </c>
      <c r="Q320" s="32">
        <v>0.70940143319578297</v>
      </c>
      <c r="R320" s="30">
        <v>0</v>
      </c>
    </row>
    <row r="321" spans="1:18" ht="18.600000000000001" customHeight="1">
      <c r="A321" s="25" t="s">
        <v>472</v>
      </c>
      <c r="B321" s="26"/>
      <c r="C321" s="126" t="s">
        <v>23</v>
      </c>
      <c r="D321" s="30">
        <v>357.66666666666703</v>
      </c>
      <c r="E321" s="30">
        <v>47.9</v>
      </c>
      <c r="F321" s="30">
        <v>10.3333333333333</v>
      </c>
      <c r="G321" s="30">
        <v>39.6</v>
      </c>
      <c r="H321" s="30">
        <v>8.8333333333333304</v>
      </c>
      <c r="I321" s="32">
        <v>0.22469711090400701</v>
      </c>
      <c r="J321" s="32">
        <v>0.31954325583648902</v>
      </c>
      <c r="K321" s="30">
        <v>80.366666666666703</v>
      </c>
      <c r="L321" s="30">
        <v>16.733333333333299</v>
      </c>
      <c r="M321" s="30">
        <v>1.2666666666666699</v>
      </c>
      <c r="N321" s="30">
        <v>51.533333333333303</v>
      </c>
      <c r="O321" s="30">
        <v>103.966666666667</v>
      </c>
      <c r="P321" s="32">
        <v>0.36523765144454801</v>
      </c>
      <c r="Q321" s="32">
        <v>0.68478090728103702</v>
      </c>
      <c r="R321" s="30">
        <v>0</v>
      </c>
    </row>
    <row r="322" spans="1:18" ht="18.600000000000001" customHeight="1">
      <c r="A322" s="25" t="s">
        <v>451</v>
      </c>
      <c r="B322" s="26" t="s">
        <v>139</v>
      </c>
      <c r="C322" s="126" t="s">
        <v>23</v>
      </c>
      <c r="D322" s="30">
        <v>251</v>
      </c>
      <c r="E322" s="30">
        <v>33.35</v>
      </c>
      <c r="F322" s="30">
        <v>4.3499999999999996</v>
      </c>
      <c r="G322" s="30">
        <v>26.25</v>
      </c>
      <c r="H322" s="30">
        <v>10.95</v>
      </c>
      <c r="I322" s="32">
        <v>0.26454183266932302</v>
      </c>
      <c r="J322" s="32">
        <v>0.32356024727956301</v>
      </c>
      <c r="K322" s="30">
        <v>66.400000000000006</v>
      </c>
      <c r="L322" s="30">
        <v>14</v>
      </c>
      <c r="M322" s="30">
        <v>2.4500000000000002</v>
      </c>
      <c r="N322" s="30">
        <v>23.1</v>
      </c>
      <c r="O322" s="30">
        <v>51.7</v>
      </c>
      <c r="P322" s="32">
        <v>0.39183266932270899</v>
      </c>
      <c r="Q322" s="32">
        <v>0.715392916602272</v>
      </c>
      <c r="R322" s="30">
        <v>0</v>
      </c>
    </row>
    <row r="323" spans="1:18" ht="18.600000000000001" customHeight="1">
      <c r="A323" s="25" t="s">
        <v>461</v>
      </c>
      <c r="B323" s="26" t="s">
        <v>309</v>
      </c>
      <c r="C323" s="126" t="s">
        <v>23</v>
      </c>
      <c r="D323" s="30">
        <v>386.33333333333297</v>
      </c>
      <c r="E323" s="30">
        <v>44.7</v>
      </c>
      <c r="F323" s="30">
        <v>7.3333333333333304</v>
      </c>
      <c r="G323" s="30">
        <v>34.933333333333302</v>
      </c>
      <c r="H323" s="30">
        <v>14.3</v>
      </c>
      <c r="I323" s="32">
        <v>0.22562553925798101</v>
      </c>
      <c r="J323" s="32">
        <v>0.27179006560449898</v>
      </c>
      <c r="K323" s="30">
        <v>87.1666666666667</v>
      </c>
      <c r="L323" s="30">
        <v>18.133333333333301</v>
      </c>
      <c r="M323" s="30">
        <v>1.9666666666666699</v>
      </c>
      <c r="N323" s="30">
        <v>25.933333333333302</v>
      </c>
      <c r="O323" s="30">
        <v>107.9</v>
      </c>
      <c r="P323" s="32">
        <v>0.33968938740293397</v>
      </c>
      <c r="Q323" s="32">
        <v>0.61147945300743201</v>
      </c>
      <c r="R323" s="30">
        <v>0</v>
      </c>
    </row>
    <row r="324" spans="1:18" ht="18.600000000000001" customHeight="1">
      <c r="A324" s="25" t="s">
        <v>463</v>
      </c>
      <c r="B324" s="26" t="s">
        <v>219</v>
      </c>
      <c r="C324" s="126" t="s">
        <v>23</v>
      </c>
      <c r="D324" s="30">
        <v>239</v>
      </c>
      <c r="E324" s="30">
        <v>36.8333333333333</v>
      </c>
      <c r="F324" s="30">
        <v>7.4</v>
      </c>
      <c r="G324" s="30">
        <v>26.6</v>
      </c>
      <c r="H324" s="30">
        <v>10.9333333333333</v>
      </c>
      <c r="I324" s="32">
        <v>0.251046025104602</v>
      </c>
      <c r="J324" s="32">
        <v>0.33416129308551601</v>
      </c>
      <c r="K324" s="30">
        <v>60</v>
      </c>
      <c r="L324" s="30">
        <v>10.5666666666667</v>
      </c>
      <c r="M324" s="30">
        <v>1.43333333333333</v>
      </c>
      <c r="N324" s="30">
        <v>31.033333333333299</v>
      </c>
      <c r="O324" s="30">
        <v>72.866666666666703</v>
      </c>
      <c r="P324" s="32">
        <v>0.40013947001394701</v>
      </c>
      <c r="Q324" s="32">
        <v>0.73430076309946302</v>
      </c>
      <c r="R324" s="30">
        <v>0</v>
      </c>
    </row>
    <row r="325" spans="1:18" ht="18.600000000000001" customHeight="1">
      <c r="A325" s="25" t="s">
        <v>480</v>
      </c>
      <c r="B325" s="26" t="s">
        <v>260</v>
      </c>
      <c r="C325" s="126" t="s">
        <v>23</v>
      </c>
      <c r="D325" s="30">
        <v>280.33333333333297</v>
      </c>
      <c r="E325" s="30">
        <v>34.433333333333302</v>
      </c>
      <c r="F325" s="30">
        <v>6.56666666666667</v>
      </c>
      <c r="G325" s="30">
        <v>29.4</v>
      </c>
      <c r="H325" s="30">
        <v>7.3666666666666698</v>
      </c>
      <c r="I325" s="32">
        <v>0.25945303210463699</v>
      </c>
      <c r="J325" s="32">
        <v>0.30720769171669698</v>
      </c>
      <c r="K325" s="30">
        <v>72.733333333333306</v>
      </c>
      <c r="L325" s="30">
        <v>12.0666666666667</v>
      </c>
      <c r="M325" s="30">
        <v>2.43333333333333</v>
      </c>
      <c r="N325" s="30">
        <v>20.566666666666698</v>
      </c>
      <c r="O325" s="30">
        <v>63.3</v>
      </c>
      <c r="P325" s="32">
        <v>0.39013079667063</v>
      </c>
      <c r="Q325" s="32">
        <v>0.69733848838732704</v>
      </c>
      <c r="R325" s="30">
        <v>0</v>
      </c>
    </row>
    <row r="326" spans="1:18" ht="18.600000000000001" customHeight="1">
      <c r="A326" s="25" t="s">
        <v>442</v>
      </c>
      <c r="B326" s="26" t="s">
        <v>87</v>
      </c>
      <c r="C326" s="126" t="s">
        <v>23</v>
      </c>
      <c r="D326" s="30">
        <v>262.66666666666703</v>
      </c>
      <c r="E326" s="30">
        <v>29.533333333333299</v>
      </c>
      <c r="F326" s="30">
        <v>4.5</v>
      </c>
      <c r="G326" s="30">
        <v>22.7</v>
      </c>
      <c r="H326" s="30">
        <v>20.466666666666701</v>
      </c>
      <c r="I326" s="32">
        <v>0.24416243654822301</v>
      </c>
      <c r="J326" s="32">
        <v>0.27742522569984901</v>
      </c>
      <c r="K326" s="30">
        <v>64.133333333333297</v>
      </c>
      <c r="L326" s="30">
        <v>10.1</v>
      </c>
      <c r="M326" s="30">
        <v>1.3</v>
      </c>
      <c r="N326" s="30">
        <v>13.1</v>
      </c>
      <c r="O326" s="30">
        <v>80.566666666666706</v>
      </c>
      <c r="P326" s="32">
        <v>0.34390862944162398</v>
      </c>
      <c r="Q326" s="32">
        <v>0.62133385514147399</v>
      </c>
      <c r="R326" s="30">
        <v>0</v>
      </c>
    </row>
    <row r="327" spans="1:18" ht="18.600000000000001" customHeight="1">
      <c r="A327" s="25" t="s">
        <v>486</v>
      </c>
      <c r="B327" s="26" t="s">
        <v>95</v>
      </c>
      <c r="C327" s="126" t="s">
        <v>23</v>
      </c>
      <c r="D327" s="30">
        <v>325.33333333333297</v>
      </c>
      <c r="E327" s="30">
        <v>41.066666666666698</v>
      </c>
      <c r="F327" s="30">
        <v>7.7333333333333298</v>
      </c>
      <c r="G327" s="30">
        <v>36.200000000000003</v>
      </c>
      <c r="H327" s="30">
        <v>9.6999999999999993</v>
      </c>
      <c r="I327" s="32">
        <v>0.23483606557376999</v>
      </c>
      <c r="J327" s="32">
        <v>0.29012160336285803</v>
      </c>
      <c r="K327" s="30">
        <v>76.400000000000006</v>
      </c>
      <c r="L327" s="30">
        <v>16</v>
      </c>
      <c r="M327" s="30">
        <v>3</v>
      </c>
      <c r="N327" s="30">
        <v>26.6666666666667</v>
      </c>
      <c r="O327" s="30">
        <v>92.8</v>
      </c>
      <c r="P327" s="32">
        <v>0.37377049180327898</v>
      </c>
      <c r="Q327" s="32">
        <v>0.66389209516613701</v>
      </c>
      <c r="R327" s="30">
        <v>0</v>
      </c>
    </row>
    <row r="328" spans="1:18" ht="18.600000000000001" customHeight="1">
      <c r="A328" s="25" t="s">
        <v>502</v>
      </c>
      <c r="B328" s="26" t="s">
        <v>158</v>
      </c>
      <c r="C328" s="126" t="s">
        <v>23</v>
      </c>
      <c r="D328" s="30">
        <v>344</v>
      </c>
      <c r="E328" s="30">
        <v>40.233333333333299</v>
      </c>
      <c r="F328" s="30">
        <v>8.4666666666666703</v>
      </c>
      <c r="G328" s="30">
        <v>37.3333333333333</v>
      </c>
      <c r="H328" s="30">
        <v>5.6</v>
      </c>
      <c r="I328" s="32">
        <v>0.24156976744186001</v>
      </c>
      <c r="J328" s="32">
        <v>0.29296909826857598</v>
      </c>
      <c r="K328" s="30">
        <v>83.1</v>
      </c>
      <c r="L328" s="30">
        <v>13.3333333333333</v>
      </c>
      <c r="M328" s="30">
        <v>1.8</v>
      </c>
      <c r="N328" s="30">
        <v>26.433333333333302</v>
      </c>
      <c r="O328" s="30">
        <v>97.366666666666703</v>
      </c>
      <c r="P328" s="32">
        <v>0.364631782945737</v>
      </c>
      <c r="Q328" s="32">
        <v>0.65760088121431204</v>
      </c>
      <c r="R328" s="30">
        <v>0</v>
      </c>
    </row>
    <row r="329" spans="1:18" ht="18.600000000000001" customHeight="1">
      <c r="A329" s="25" t="s">
        <v>493</v>
      </c>
      <c r="B329" s="26" t="s">
        <v>77</v>
      </c>
      <c r="C329" s="126" t="s">
        <v>23</v>
      </c>
      <c r="D329" s="30">
        <v>253</v>
      </c>
      <c r="E329" s="30">
        <v>29.566666666666698</v>
      </c>
      <c r="F329" s="30">
        <v>4.6333333333333302</v>
      </c>
      <c r="G329" s="30">
        <v>28.033333333333299</v>
      </c>
      <c r="H329" s="30">
        <v>4.8333333333333304</v>
      </c>
      <c r="I329" s="32">
        <v>0.274967061923584</v>
      </c>
      <c r="J329" s="32">
        <v>0.32187093558934698</v>
      </c>
      <c r="K329" s="30">
        <v>69.566666666666706</v>
      </c>
      <c r="L329" s="30">
        <v>13.9333333333333</v>
      </c>
      <c r="M329" s="30">
        <v>1.06666666666667</v>
      </c>
      <c r="N329" s="30">
        <v>18.7</v>
      </c>
      <c r="O329" s="30">
        <v>39.733333333333299</v>
      </c>
      <c r="P329" s="32">
        <v>0.39341238471673301</v>
      </c>
      <c r="Q329" s="32">
        <v>0.71528332030607999</v>
      </c>
      <c r="R329" s="30">
        <v>0</v>
      </c>
    </row>
    <row r="330" spans="1:18" ht="18.600000000000001" customHeight="1">
      <c r="A330" s="25" t="s">
        <v>508</v>
      </c>
      <c r="B330" s="26" t="s">
        <v>178</v>
      </c>
      <c r="C330" s="126" t="s">
        <v>23</v>
      </c>
      <c r="D330" s="30">
        <v>193</v>
      </c>
      <c r="E330" s="30">
        <v>27.3</v>
      </c>
      <c r="F330" s="30">
        <v>8.3333333333333304</v>
      </c>
      <c r="G330" s="30">
        <v>27.566666666666698</v>
      </c>
      <c r="H330" s="30">
        <v>2.2999999999999998</v>
      </c>
      <c r="I330" s="32">
        <v>0.270811744386874</v>
      </c>
      <c r="J330" s="32">
        <v>0.37682552162961003</v>
      </c>
      <c r="K330" s="30">
        <v>52.266666666666701</v>
      </c>
      <c r="L330" s="30">
        <v>12.5666666666667</v>
      </c>
      <c r="M330" s="30">
        <v>0.83333333333333304</v>
      </c>
      <c r="N330" s="30">
        <v>34</v>
      </c>
      <c r="O330" s="30">
        <v>60.1</v>
      </c>
      <c r="P330" s="32">
        <v>0.47409326424870502</v>
      </c>
      <c r="Q330" s="32">
        <v>0.85091878587831504</v>
      </c>
      <c r="R330" s="30">
        <v>0</v>
      </c>
    </row>
    <row r="331" spans="1:18" ht="18.600000000000001" customHeight="1">
      <c r="A331" s="25" t="s">
        <v>547</v>
      </c>
      <c r="B331" s="26" t="s">
        <v>260</v>
      </c>
      <c r="C331" s="126" t="s">
        <v>23</v>
      </c>
      <c r="D331" s="30">
        <v>333</v>
      </c>
      <c r="E331" s="30">
        <v>37.466666666666697</v>
      </c>
      <c r="F331" s="30">
        <v>9.1</v>
      </c>
      <c r="G331" s="30">
        <v>36.866666666666703</v>
      </c>
      <c r="H331" s="30">
        <v>3.6</v>
      </c>
      <c r="I331" s="32">
        <v>0.239039039039039</v>
      </c>
      <c r="J331" s="32">
        <v>0.30973570295485697</v>
      </c>
      <c r="K331" s="30">
        <v>79.599999999999994</v>
      </c>
      <c r="L331" s="30">
        <v>14.266666666666699</v>
      </c>
      <c r="M331" s="30">
        <v>2.06666666666667</v>
      </c>
      <c r="N331" s="30">
        <v>35.6</v>
      </c>
      <c r="O331" s="30">
        <v>92.1</v>
      </c>
      <c r="P331" s="32">
        <v>0.37627627627627602</v>
      </c>
      <c r="Q331" s="32">
        <v>0.686011979231133</v>
      </c>
      <c r="R331" s="30">
        <v>0</v>
      </c>
    </row>
    <row r="332" spans="1:18" ht="18.600000000000001" customHeight="1">
      <c r="A332" s="25" t="s">
        <v>518</v>
      </c>
      <c r="B332" s="26" t="s">
        <v>119</v>
      </c>
      <c r="C332" s="126" t="s">
        <v>23</v>
      </c>
      <c r="D332" s="30">
        <v>221.666666666667</v>
      </c>
      <c r="E332" s="30">
        <v>28.4</v>
      </c>
      <c r="F332" s="30">
        <v>3.9</v>
      </c>
      <c r="G332" s="30">
        <v>23.766666666666701</v>
      </c>
      <c r="H332" s="30">
        <v>13.4</v>
      </c>
      <c r="I332" s="32">
        <v>0.24842105263157899</v>
      </c>
      <c r="J332" s="32">
        <v>0.302266308465936</v>
      </c>
      <c r="K332" s="30">
        <v>55.066666666666698</v>
      </c>
      <c r="L332" s="30">
        <v>9.43333333333333</v>
      </c>
      <c r="M332" s="30">
        <v>3.43333333333333</v>
      </c>
      <c r="N332" s="30">
        <v>18.066666666666698</v>
      </c>
      <c r="O332" s="30">
        <v>58.9</v>
      </c>
      <c r="P332" s="32">
        <v>0.37473684210526298</v>
      </c>
      <c r="Q332" s="32">
        <v>0.67700315057119997</v>
      </c>
      <c r="R332" s="30">
        <v>0</v>
      </c>
    </row>
    <row r="333" spans="1:18" ht="20.100000000000001" customHeight="1">
      <c r="A333" s="25" t="s">
        <v>570</v>
      </c>
      <c r="B333" s="26" t="s">
        <v>136</v>
      </c>
      <c r="C333" s="126" t="s">
        <v>23</v>
      </c>
      <c r="D333" s="30">
        <v>263</v>
      </c>
      <c r="E333" s="30">
        <v>32.3333333333333</v>
      </c>
      <c r="F333" s="30">
        <v>11.5666666666667</v>
      </c>
      <c r="G333" s="30">
        <v>35.700000000000003</v>
      </c>
      <c r="H333" s="30">
        <v>1.56666666666667</v>
      </c>
      <c r="I333" s="32">
        <v>0.23891001267427101</v>
      </c>
      <c r="J333" s="32">
        <v>0.29681341670615702</v>
      </c>
      <c r="K333" s="30">
        <v>62.8333333333333</v>
      </c>
      <c r="L333" s="30">
        <v>10.966666666666701</v>
      </c>
      <c r="M333" s="30">
        <v>2</v>
      </c>
      <c r="N333" s="30">
        <v>22.766666666666701</v>
      </c>
      <c r="O333" s="30">
        <v>76.866666666666703</v>
      </c>
      <c r="P333" s="32">
        <v>0.42775665399239499</v>
      </c>
      <c r="Q333" s="32">
        <v>0.72457007069855295</v>
      </c>
      <c r="R333" s="30">
        <v>0</v>
      </c>
    </row>
    <row r="334" spans="1:18" ht="18.600000000000001" customHeight="1">
      <c r="A334" s="25" t="s">
        <v>565</v>
      </c>
      <c r="B334" s="26" t="s">
        <v>139</v>
      </c>
      <c r="C334" s="126" t="s">
        <v>23</v>
      </c>
      <c r="D334" s="30">
        <v>261.66666666666703</v>
      </c>
      <c r="E334" s="30">
        <v>29.9</v>
      </c>
      <c r="F334" s="30">
        <v>7.43333333333333</v>
      </c>
      <c r="G334" s="30">
        <v>29.033333333333299</v>
      </c>
      <c r="H334" s="30">
        <v>4.06666666666667</v>
      </c>
      <c r="I334" s="32">
        <v>0.25210191082802502</v>
      </c>
      <c r="J334" s="32">
        <v>0.30272487547612098</v>
      </c>
      <c r="K334" s="30">
        <v>65.966666666666697</v>
      </c>
      <c r="L334" s="30">
        <v>14.6666666666667</v>
      </c>
      <c r="M334" s="30">
        <v>0.6</v>
      </c>
      <c r="N334" s="30">
        <v>20.133333333333301</v>
      </c>
      <c r="O334" s="30">
        <v>57.733333333333299</v>
      </c>
      <c r="P334" s="32">
        <v>0.39796178343949001</v>
      </c>
      <c r="Q334" s="32">
        <v>0.70068665891561099</v>
      </c>
      <c r="R334" s="30">
        <v>0</v>
      </c>
    </row>
    <row r="335" spans="1:18" ht="18.600000000000001" customHeight="1">
      <c r="A335" s="25" t="s">
        <v>572</v>
      </c>
      <c r="B335" s="26" t="s">
        <v>69</v>
      </c>
      <c r="C335" s="126" t="s">
        <v>23</v>
      </c>
      <c r="D335" s="30">
        <v>307</v>
      </c>
      <c r="E335" s="30">
        <v>42.2</v>
      </c>
      <c r="F335" s="30">
        <v>8.7333333333333307</v>
      </c>
      <c r="G335" s="30">
        <v>35.233333333333299</v>
      </c>
      <c r="H335" s="30">
        <v>6.43333333333333</v>
      </c>
      <c r="I335" s="32">
        <v>0.22128121606949</v>
      </c>
      <c r="J335" s="32">
        <v>0.32415031493938501</v>
      </c>
      <c r="K335" s="30">
        <v>67.933333333333294</v>
      </c>
      <c r="L335" s="30">
        <v>11.1666666666667</v>
      </c>
      <c r="M335" s="30">
        <v>1.8333333333333299</v>
      </c>
      <c r="N335" s="30">
        <v>48.2</v>
      </c>
      <c r="O335" s="30">
        <v>83.466666666666697</v>
      </c>
      <c r="P335" s="32">
        <v>0.35494028230184599</v>
      </c>
      <c r="Q335" s="32">
        <v>0.67909059724123</v>
      </c>
      <c r="R335" s="30">
        <v>0</v>
      </c>
    </row>
    <row r="336" spans="1:18" ht="18.600000000000001" customHeight="1">
      <c r="A336" s="25" t="s">
        <v>611</v>
      </c>
      <c r="B336" s="26" t="s">
        <v>178</v>
      </c>
      <c r="C336" s="126" t="s">
        <v>23</v>
      </c>
      <c r="D336" s="30">
        <v>192.666666666667</v>
      </c>
      <c r="E336" s="30">
        <v>26.3</v>
      </c>
      <c r="F336" s="30">
        <v>6.9</v>
      </c>
      <c r="G336" s="30">
        <v>27.033333333333299</v>
      </c>
      <c r="H336" s="30">
        <v>1.93333333333333</v>
      </c>
      <c r="I336" s="32">
        <v>0.25363321799307997</v>
      </c>
      <c r="J336" s="32">
        <v>0.32427586633280803</v>
      </c>
      <c r="K336" s="30">
        <v>48.866666666666703</v>
      </c>
      <c r="L336" s="30">
        <v>9.9</v>
      </c>
      <c r="M336" s="30">
        <v>0.63333333333333297</v>
      </c>
      <c r="N336" s="30">
        <v>21.066666666666698</v>
      </c>
      <c r="O336" s="30">
        <v>61.566666666666698</v>
      </c>
      <c r="P336" s="32">
        <v>0.41903114186851198</v>
      </c>
      <c r="Q336" s="32">
        <v>0.74330700820132001</v>
      </c>
      <c r="R336" s="30">
        <v>0</v>
      </c>
    </row>
    <row r="337" spans="1:18" ht="18.600000000000001" customHeight="1">
      <c r="A337" s="25" t="s">
        <v>609</v>
      </c>
      <c r="B337" s="26" t="s">
        <v>309</v>
      </c>
      <c r="C337" s="126" t="s">
        <v>23</v>
      </c>
      <c r="D337" s="30">
        <v>226.666666666667</v>
      </c>
      <c r="E337" s="30">
        <v>32.200000000000003</v>
      </c>
      <c r="F337" s="30">
        <v>8.0333333333333297</v>
      </c>
      <c r="G337" s="30">
        <v>27.1666666666667</v>
      </c>
      <c r="H337" s="30">
        <v>4.9666666666666703</v>
      </c>
      <c r="I337" s="32">
        <v>0.23617647058823499</v>
      </c>
      <c r="J337" s="32">
        <v>0.31493295143861499</v>
      </c>
      <c r="K337" s="30">
        <v>53.533333333333303</v>
      </c>
      <c r="L337" s="30">
        <v>10.5</v>
      </c>
      <c r="M337" s="30">
        <v>1</v>
      </c>
      <c r="N337" s="30">
        <v>27.1</v>
      </c>
      <c r="O337" s="30">
        <v>54.433333333333302</v>
      </c>
      <c r="P337" s="32">
        <v>0.39764705882352902</v>
      </c>
      <c r="Q337" s="32">
        <v>0.71258001026214401</v>
      </c>
      <c r="R337" s="30">
        <v>0</v>
      </c>
    </row>
    <row r="338" spans="1:18" ht="18.600000000000001" customHeight="1">
      <c r="A338" s="25" t="s">
        <v>627</v>
      </c>
      <c r="B338" s="26" t="s">
        <v>105</v>
      </c>
      <c r="C338" s="126" t="s">
        <v>23</v>
      </c>
      <c r="D338" s="30">
        <v>174</v>
      </c>
      <c r="E338" s="30">
        <v>25.3</v>
      </c>
      <c r="F338" s="30">
        <v>4.6666666666666696</v>
      </c>
      <c r="G338" s="30">
        <v>20.433333333333302</v>
      </c>
      <c r="H338" s="30">
        <v>1.4</v>
      </c>
      <c r="I338" s="32">
        <v>0.26494252873563201</v>
      </c>
      <c r="J338" s="32">
        <v>0.33085578610508898</v>
      </c>
      <c r="K338" s="30">
        <v>46.1</v>
      </c>
      <c r="L338" s="30">
        <v>9.6999999999999993</v>
      </c>
      <c r="M338" s="30">
        <v>0.1</v>
      </c>
      <c r="N338" s="30">
        <v>18</v>
      </c>
      <c r="O338" s="30">
        <v>51.8333333333333</v>
      </c>
      <c r="P338" s="32">
        <v>0.40229885057471299</v>
      </c>
      <c r="Q338" s="32">
        <v>0.73315463667980196</v>
      </c>
      <c r="R338" s="30">
        <v>0</v>
      </c>
    </row>
    <row r="339" spans="1:18" ht="18.600000000000001" customHeight="1">
      <c r="A339" s="25" t="s">
        <v>615</v>
      </c>
      <c r="B339" s="26" t="s">
        <v>64</v>
      </c>
      <c r="C339" s="126" t="s">
        <v>23</v>
      </c>
      <c r="D339" s="30">
        <v>234</v>
      </c>
      <c r="E339" s="30">
        <v>28.3</v>
      </c>
      <c r="F339" s="30">
        <v>5.2</v>
      </c>
      <c r="G339" s="30">
        <v>23.8333333333333</v>
      </c>
      <c r="H339" s="30">
        <v>9.6333333333333293</v>
      </c>
      <c r="I339" s="32">
        <v>0.23475783475783499</v>
      </c>
      <c r="J339" s="32">
        <v>0.274876085913766</v>
      </c>
      <c r="K339" s="30">
        <v>54.933333333333302</v>
      </c>
      <c r="L339" s="30">
        <v>12.5</v>
      </c>
      <c r="M339" s="30">
        <v>0.96666666666666701</v>
      </c>
      <c r="N339" s="30">
        <v>13.8333333333333</v>
      </c>
      <c r="O339" s="30">
        <v>67.400000000000006</v>
      </c>
      <c r="P339" s="32">
        <v>0.363105413105413</v>
      </c>
      <c r="Q339" s="32">
        <v>0.63798149901918</v>
      </c>
      <c r="R339" s="30">
        <v>0</v>
      </c>
    </row>
    <row r="340" spans="1:18" ht="20.100000000000001" customHeight="1">
      <c r="A340" s="25" t="s">
        <v>626</v>
      </c>
      <c r="B340" s="26" t="s">
        <v>309</v>
      </c>
      <c r="C340" s="126" t="s">
        <v>23</v>
      </c>
      <c r="D340" s="30">
        <v>177</v>
      </c>
      <c r="E340" s="30">
        <v>24</v>
      </c>
      <c r="F340" s="30">
        <v>8.6</v>
      </c>
      <c r="G340" s="30">
        <v>24.6</v>
      </c>
      <c r="H340" s="30">
        <v>4.56666666666667</v>
      </c>
      <c r="I340" s="32">
        <v>0.243126177024482</v>
      </c>
      <c r="J340" s="32">
        <v>0.27813724273634599</v>
      </c>
      <c r="K340" s="30">
        <v>43.033333333333303</v>
      </c>
      <c r="L340" s="30">
        <v>10.866666666666699</v>
      </c>
      <c r="M340" s="30">
        <v>0.63333333333333297</v>
      </c>
      <c r="N340" s="30">
        <v>9.2666666666666693</v>
      </c>
      <c r="O340" s="30">
        <v>54.633333333333297</v>
      </c>
      <c r="P340" s="32">
        <v>0.45743879472693</v>
      </c>
      <c r="Q340" s="32">
        <v>0.73557603746327604</v>
      </c>
      <c r="R340" s="30">
        <v>0</v>
      </c>
    </row>
    <row r="341" spans="1:18" ht="18.600000000000001" customHeight="1">
      <c r="A341" s="25" t="s">
        <v>635</v>
      </c>
      <c r="B341" s="26" t="s">
        <v>79</v>
      </c>
      <c r="C341" s="126" t="s">
        <v>23</v>
      </c>
      <c r="D341" s="30">
        <v>214</v>
      </c>
      <c r="E341" s="30">
        <v>26.9</v>
      </c>
      <c r="F341" s="30">
        <v>6.06666666666667</v>
      </c>
      <c r="G341" s="30">
        <v>27.8</v>
      </c>
      <c r="H341" s="30">
        <v>3.8</v>
      </c>
      <c r="I341" s="32">
        <v>0.24158878504672901</v>
      </c>
      <c r="J341" s="32">
        <v>0.29244714724190402</v>
      </c>
      <c r="K341" s="30">
        <v>51.7</v>
      </c>
      <c r="L341" s="30">
        <v>10.033333333333299</v>
      </c>
      <c r="M341" s="30">
        <v>1.1000000000000001</v>
      </c>
      <c r="N341" s="30">
        <v>16.266666666666701</v>
      </c>
      <c r="O341" s="30">
        <v>65.900000000000006</v>
      </c>
      <c r="P341" s="32">
        <v>0.38380062305295898</v>
      </c>
      <c r="Q341" s="32">
        <v>0.67624777029486305</v>
      </c>
      <c r="R341" s="30">
        <v>0</v>
      </c>
    </row>
    <row r="342" spans="1:18" ht="18.600000000000001" customHeight="1">
      <c r="A342" s="25" t="s">
        <v>648</v>
      </c>
      <c r="B342" s="26" t="s">
        <v>122</v>
      </c>
      <c r="C342" s="126" t="s">
        <v>23</v>
      </c>
      <c r="D342" s="30">
        <v>199</v>
      </c>
      <c r="E342" s="30">
        <v>25</v>
      </c>
      <c r="F342" s="30">
        <v>4.9000000000000004</v>
      </c>
      <c r="G342" s="30">
        <v>21.5</v>
      </c>
      <c r="H342" s="30">
        <v>3.1666666666666701</v>
      </c>
      <c r="I342" s="32">
        <v>0.24991624790619801</v>
      </c>
      <c r="J342" s="32">
        <v>0.293490276674919</v>
      </c>
      <c r="K342" s="30">
        <v>49.733333333333299</v>
      </c>
      <c r="L342" s="30">
        <v>9.6666666666666696</v>
      </c>
      <c r="M342" s="30">
        <v>1.3333333333333299</v>
      </c>
      <c r="N342" s="30">
        <v>13.1</v>
      </c>
      <c r="O342" s="30">
        <v>40.299999999999997</v>
      </c>
      <c r="P342" s="32">
        <v>0.38576214405360099</v>
      </c>
      <c r="Q342" s="32">
        <v>0.67925242072851999</v>
      </c>
      <c r="R342" s="30">
        <v>0</v>
      </c>
    </row>
    <row r="343" spans="1:18" ht="18.600000000000001" customHeight="1">
      <c r="A343" s="25" t="s">
        <v>657</v>
      </c>
      <c r="B343" s="26" t="s">
        <v>142</v>
      </c>
      <c r="C343" s="126" t="s">
        <v>23</v>
      </c>
      <c r="D343" s="30">
        <v>169.333333333333</v>
      </c>
      <c r="E343" s="30">
        <v>20</v>
      </c>
      <c r="F343" s="30">
        <v>5.4666666666666703</v>
      </c>
      <c r="G343" s="30">
        <v>20.733333333333299</v>
      </c>
      <c r="H343" s="30">
        <v>4.1666666666666696</v>
      </c>
      <c r="I343" s="32">
        <v>0.246259842519685</v>
      </c>
      <c r="J343" s="32">
        <v>0.30715382692239002</v>
      </c>
      <c r="K343" s="30">
        <v>41.7</v>
      </c>
      <c r="L343" s="30">
        <v>7.4</v>
      </c>
      <c r="M343" s="30">
        <v>1.13333333333333</v>
      </c>
      <c r="N343" s="30">
        <v>15.633333333333301</v>
      </c>
      <c r="O343" s="30">
        <v>39.1666666666667</v>
      </c>
      <c r="P343" s="32">
        <v>0.40019685039370101</v>
      </c>
      <c r="Q343" s="32">
        <v>0.70735067731609103</v>
      </c>
      <c r="R343" s="30">
        <v>0</v>
      </c>
    </row>
    <row r="344" spans="1:18" ht="20.100000000000001" customHeight="1">
      <c r="A344" s="25" t="s">
        <v>664</v>
      </c>
      <c r="B344" s="26" t="s">
        <v>103</v>
      </c>
      <c r="C344" s="126" t="s">
        <v>23</v>
      </c>
      <c r="D344" s="30">
        <v>202.333333333333</v>
      </c>
      <c r="E344" s="30">
        <v>25.7</v>
      </c>
      <c r="F344" s="30">
        <v>5.8333333333333304</v>
      </c>
      <c r="G344" s="30">
        <v>22.933333333333302</v>
      </c>
      <c r="H344" s="30">
        <v>6.2333333333333298</v>
      </c>
      <c r="I344" s="32">
        <v>0.229489291598023</v>
      </c>
      <c r="J344" s="32">
        <v>0.29839915885497698</v>
      </c>
      <c r="K344" s="30">
        <v>46.433333333333302</v>
      </c>
      <c r="L344" s="30">
        <v>11.4333333333333</v>
      </c>
      <c r="M344" s="30">
        <v>1.06666666666667</v>
      </c>
      <c r="N344" s="30">
        <v>20.733333333333299</v>
      </c>
      <c r="O344" s="30">
        <v>72.2</v>
      </c>
      <c r="P344" s="32">
        <v>0.38303130148270198</v>
      </c>
      <c r="Q344" s="32">
        <v>0.68143046033767796</v>
      </c>
      <c r="R344" s="30">
        <v>0</v>
      </c>
    </row>
    <row r="345" spans="1:18" ht="18.600000000000001" customHeight="1">
      <c r="A345" s="25" t="s">
        <v>672</v>
      </c>
      <c r="B345" s="26" t="s">
        <v>160</v>
      </c>
      <c r="C345" s="126" t="s">
        <v>23</v>
      </c>
      <c r="D345" s="30">
        <v>211.333333333333</v>
      </c>
      <c r="E345" s="30">
        <v>25</v>
      </c>
      <c r="F345" s="30">
        <v>7.93333333333333</v>
      </c>
      <c r="G345" s="30">
        <v>27.966666666666701</v>
      </c>
      <c r="H345" s="30">
        <v>5.8333333333333304</v>
      </c>
      <c r="I345" s="32">
        <v>0.21798107255520499</v>
      </c>
      <c r="J345" s="32">
        <v>0.28156923341059298</v>
      </c>
      <c r="K345" s="30">
        <v>46.066666666666698</v>
      </c>
      <c r="L345" s="30">
        <v>8.5</v>
      </c>
      <c r="M345" s="30">
        <v>2.1666666666666701</v>
      </c>
      <c r="N345" s="30">
        <v>19.533333333333299</v>
      </c>
      <c r="O345" s="30">
        <v>74.3</v>
      </c>
      <c r="P345" s="32">
        <v>0.39132492113564699</v>
      </c>
      <c r="Q345" s="32">
        <v>0.67289415454624002</v>
      </c>
      <c r="R345" s="30">
        <v>0</v>
      </c>
    </row>
    <row r="346" spans="1:18" ht="18.600000000000001" customHeight="1">
      <c r="A346" s="25" t="s">
        <v>667</v>
      </c>
      <c r="B346" s="26" t="s">
        <v>64</v>
      </c>
      <c r="C346" s="126" t="s">
        <v>23</v>
      </c>
      <c r="D346" s="30">
        <v>191.666666666667</v>
      </c>
      <c r="E346" s="30">
        <v>22.433333333333302</v>
      </c>
      <c r="F346" s="30">
        <v>1.5333333333333301</v>
      </c>
      <c r="G346" s="30">
        <v>14.766666666666699</v>
      </c>
      <c r="H346" s="30">
        <v>5.9666666666666703</v>
      </c>
      <c r="I346" s="32">
        <v>0.250782608695652</v>
      </c>
      <c r="J346" s="32">
        <v>0.289642828085591</v>
      </c>
      <c r="K346" s="30">
        <v>48.066666666666698</v>
      </c>
      <c r="L346" s="30">
        <v>8.7333333333333307</v>
      </c>
      <c r="M346" s="30">
        <v>2.1</v>
      </c>
      <c r="N346" s="30">
        <v>11.266666666666699</v>
      </c>
      <c r="O346" s="30">
        <v>45.566666666666698</v>
      </c>
      <c r="P346" s="32">
        <v>0.34226086956521701</v>
      </c>
      <c r="Q346" s="32">
        <v>0.63190369765080801</v>
      </c>
      <c r="R346" s="30">
        <v>0</v>
      </c>
    </row>
    <row r="347" spans="1:18" ht="18.600000000000001" customHeight="1">
      <c r="A347" s="25" t="s">
        <v>680</v>
      </c>
      <c r="B347" s="26" t="s">
        <v>225</v>
      </c>
      <c r="C347" s="126" t="s">
        <v>23</v>
      </c>
      <c r="D347" s="30">
        <v>194.666666666667</v>
      </c>
      <c r="E347" s="30">
        <v>26.266666666666701</v>
      </c>
      <c r="F347" s="30">
        <v>7.6666666666666696</v>
      </c>
      <c r="G347" s="30">
        <v>22.4</v>
      </c>
      <c r="H347" s="30">
        <v>2.8</v>
      </c>
      <c r="I347" s="32">
        <v>0.23065068493150701</v>
      </c>
      <c r="J347" s="32">
        <v>0.29032962235319798</v>
      </c>
      <c r="K347" s="30">
        <v>44.9</v>
      </c>
      <c r="L347" s="30">
        <v>9.8333333333333304</v>
      </c>
      <c r="M347" s="30">
        <v>1.0333333333333301</v>
      </c>
      <c r="N347" s="30">
        <v>17.1666666666667</v>
      </c>
      <c r="O347" s="30">
        <v>62.5</v>
      </c>
      <c r="P347" s="32">
        <v>0.40993150684931501</v>
      </c>
      <c r="Q347" s="32">
        <v>0.70026112920251304</v>
      </c>
      <c r="R347" s="30">
        <v>0</v>
      </c>
    </row>
    <row r="348" spans="1:18" ht="20.100000000000001" customHeight="1">
      <c r="A348" s="25" t="s">
        <v>676</v>
      </c>
      <c r="B348" s="26" t="s">
        <v>225</v>
      </c>
      <c r="C348" s="126" t="s">
        <v>23</v>
      </c>
      <c r="D348" s="30">
        <v>146.666666666667</v>
      </c>
      <c r="E348" s="30">
        <v>19.033333333333299</v>
      </c>
      <c r="F348" s="30">
        <v>3.9666666666666699</v>
      </c>
      <c r="G348" s="30">
        <v>16.866666666666699</v>
      </c>
      <c r="H348" s="30">
        <v>3.56666666666667</v>
      </c>
      <c r="I348" s="32">
        <v>0.25022727272727302</v>
      </c>
      <c r="J348" s="32">
        <v>0.30441115272575903</v>
      </c>
      <c r="K348" s="30">
        <v>36.700000000000003</v>
      </c>
      <c r="L348" s="30">
        <v>7.06666666666667</v>
      </c>
      <c r="M348" s="30">
        <v>0.133333333333333</v>
      </c>
      <c r="N348" s="30">
        <v>12.0666666666667</v>
      </c>
      <c r="O348" s="30">
        <v>34.4</v>
      </c>
      <c r="P348" s="32">
        <v>0.38136363636363602</v>
      </c>
      <c r="Q348" s="32">
        <v>0.68577478908939604</v>
      </c>
      <c r="R348" s="30">
        <v>0</v>
      </c>
    </row>
    <row r="349" spans="1:18" ht="18.600000000000001" customHeight="1">
      <c r="A349" s="25" t="s">
        <v>679</v>
      </c>
      <c r="B349" s="26" t="s">
        <v>72</v>
      </c>
      <c r="C349" s="126" t="s">
        <v>23</v>
      </c>
      <c r="D349" s="30">
        <v>157.666666666667</v>
      </c>
      <c r="E349" s="30">
        <v>21.3</v>
      </c>
      <c r="F349" s="30">
        <v>3.6333333333333302</v>
      </c>
      <c r="G349" s="30">
        <v>16.8</v>
      </c>
      <c r="H349" s="30">
        <v>8.9666666666666703</v>
      </c>
      <c r="I349" s="32">
        <v>0.23192389006342501</v>
      </c>
      <c r="J349" s="32">
        <v>0.29459682211105398</v>
      </c>
      <c r="K349" s="30">
        <v>36.566666666666698</v>
      </c>
      <c r="L349" s="30">
        <v>8.1666666666666696</v>
      </c>
      <c r="M349" s="30">
        <v>0.83333333333333304</v>
      </c>
      <c r="N349" s="30">
        <v>14.6666666666667</v>
      </c>
      <c r="O349" s="30">
        <v>46.533333333333303</v>
      </c>
      <c r="P349" s="32">
        <v>0.36342494714587698</v>
      </c>
      <c r="Q349" s="32">
        <v>0.65802176925693101</v>
      </c>
      <c r="R349" s="30">
        <v>0</v>
      </c>
    </row>
    <row r="350" spans="1:18" ht="18.600000000000001" customHeight="1">
      <c r="A350" s="25" t="s">
        <v>686</v>
      </c>
      <c r="B350" s="26" t="s">
        <v>122</v>
      </c>
      <c r="C350" s="126" t="s">
        <v>23</v>
      </c>
      <c r="D350" s="30">
        <v>146.333333333333</v>
      </c>
      <c r="E350" s="30">
        <v>18</v>
      </c>
      <c r="F350" s="30">
        <v>4.43333333333333</v>
      </c>
      <c r="G350" s="30">
        <v>17.366666666666699</v>
      </c>
      <c r="H350" s="30">
        <v>0.8</v>
      </c>
      <c r="I350" s="32">
        <v>0.25239179954441898</v>
      </c>
      <c r="J350" s="32">
        <v>0.313808826260084</v>
      </c>
      <c r="K350" s="30">
        <v>36.933333333333302</v>
      </c>
      <c r="L350" s="30">
        <v>6.9666666666666703</v>
      </c>
      <c r="M350" s="30">
        <v>0.76666666666666705</v>
      </c>
      <c r="N350" s="30">
        <v>13.766666666666699</v>
      </c>
      <c r="O350" s="30">
        <v>34.066666666666698</v>
      </c>
      <c r="P350" s="32">
        <v>0.40136674259681099</v>
      </c>
      <c r="Q350" s="32">
        <v>0.71517556885689504</v>
      </c>
      <c r="R350" s="30">
        <v>0</v>
      </c>
    </row>
    <row r="351" spans="1:18" ht="18.600000000000001" customHeight="1">
      <c r="A351" s="25" t="s">
        <v>693</v>
      </c>
      <c r="B351" s="26" t="s">
        <v>158</v>
      </c>
      <c r="C351" s="126" t="s">
        <v>23</v>
      </c>
      <c r="D351" s="30">
        <v>204.333333333333</v>
      </c>
      <c r="E351" s="30">
        <v>24.533333333333299</v>
      </c>
      <c r="F351" s="30">
        <v>6.3</v>
      </c>
      <c r="G351" s="30">
        <v>23.466666666666701</v>
      </c>
      <c r="H351" s="30">
        <v>0.8</v>
      </c>
      <c r="I351" s="32">
        <v>0.23132137030995101</v>
      </c>
      <c r="J351" s="32">
        <v>0.30522684598925798</v>
      </c>
      <c r="K351" s="30">
        <v>47.266666666666701</v>
      </c>
      <c r="L351" s="30">
        <v>10.733333333333301</v>
      </c>
      <c r="M351" s="30">
        <v>6.6666666666666693E-2</v>
      </c>
      <c r="N351" s="30">
        <v>22.633333333333301</v>
      </c>
      <c r="O351" s="30">
        <v>75.099999999999994</v>
      </c>
      <c r="P351" s="32">
        <v>0.37699836867863001</v>
      </c>
      <c r="Q351" s="32">
        <v>0.68222521466788799</v>
      </c>
      <c r="R351" s="30">
        <v>0</v>
      </c>
    </row>
    <row r="352" spans="1:18" ht="18.600000000000001" customHeight="1">
      <c r="A352" s="25" t="s">
        <v>694</v>
      </c>
      <c r="B352" s="26" t="s">
        <v>105</v>
      </c>
      <c r="C352" s="126" t="s">
        <v>23</v>
      </c>
      <c r="D352" s="30">
        <v>161.333333333333</v>
      </c>
      <c r="E352" s="30">
        <v>21.6</v>
      </c>
      <c r="F352" s="30">
        <v>3.5333333333333301</v>
      </c>
      <c r="G352" s="30">
        <v>16</v>
      </c>
      <c r="H352" s="30">
        <v>5.2666666666666702</v>
      </c>
      <c r="I352" s="32">
        <v>0.23409090909090899</v>
      </c>
      <c r="J352" s="32">
        <v>0.27924919391985298</v>
      </c>
      <c r="K352" s="30">
        <v>37.766666666666701</v>
      </c>
      <c r="L352" s="30">
        <v>7.9666666666666703</v>
      </c>
      <c r="M352" s="30">
        <v>2.2666666666666702</v>
      </c>
      <c r="N352" s="30">
        <v>10.733333333333301</v>
      </c>
      <c r="O352" s="30">
        <v>50.3333333333333</v>
      </c>
      <c r="P352" s="32">
        <v>0.37727272727272698</v>
      </c>
      <c r="Q352" s="32">
        <v>0.65652192119258002</v>
      </c>
      <c r="R352" s="30">
        <v>0</v>
      </c>
    </row>
    <row r="353" spans="1:18" ht="18.600000000000001" customHeight="1">
      <c r="A353" s="25" t="s">
        <v>703</v>
      </c>
      <c r="B353" s="26" t="s">
        <v>178</v>
      </c>
      <c r="C353" s="126" t="s">
        <v>23</v>
      </c>
      <c r="D353" s="30">
        <v>138.333333333333</v>
      </c>
      <c r="E353" s="30">
        <v>17.8</v>
      </c>
      <c r="F353" s="30">
        <v>5.3</v>
      </c>
      <c r="G353" s="30">
        <v>19.100000000000001</v>
      </c>
      <c r="H353" s="30">
        <v>1.8333333333333299</v>
      </c>
      <c r="I353" s="32">
        <v>0.23638554216867499</v>
      </c>
      <c r="J353" s="32">
        <v>0.30001090155892302</v>
      </c>
      <c r="K353" s="30">
        <v>32.700000000000003</v>
      </c>
      <c r="L353" s="30">
        <v>7.1666666666666696</v>
      </c>
      <c r="M353" s="30">
        <v>0.9</v>
      </c>
      <c r="N353" s="30">
        <v>13.1666666666667</v>
      </c>
      <c r="O353" s="30">
        <v>45.266666666666701</v>
      </c>
      <c r="P353" s="32">
        <v>0.41614457831325302</v>
      </c>
      <c r="Q353" s="32">
        <v>0.71615547987217598</v>
      </c>
      <c r="R353" s="30">
        <v>0</v>
      </c>
    </row>
    <row r="354" spans="1:18" ht="18.600000000000001" customHeight="1">
      <c r="A354" s="25" t="s">
        <v>710</v>
      </c>
      <c r="B354" s="26" t="s">
        <v>74</v>
      </c>
      <c r="C354" s="126" t="s">
        <v>23</v>
      </c>
      <c r="D354" s="30">
        <v>171.666666666667</v>
      </c>
      <c r="E354" s="30">
        <v>23.5</v>
      </c>
      <c r="F354" s="30">
        <v>8.7333333333333307</v>
      </c>
      <c r="G354" s="30">
        <v>24.066666666666698</v>
      </c>
      <c r="H354" s="30">
        <v>2.7666666666666702</v>
      </c>
      <c r="I354" s="32">
        <v>0.207766990291262</v>
      </c>
      <c r="J354" s="32">
        <v>0.296226897197854</v>
      </c>
      <c r="K354" s="30">
        <v>35.6666666666667</v>
      </c>
      <c r="L354" s="30">
        <v>7.3333333333333304</v>
      </c>
      <c r="M354" s="30">
        <v>0.1</v>
      </c>
      <c r="N354" s="30">
        <v>22.3</v>
      </c>
      <c r="O354" s="30">
        <v>51.2</v>
      </c>
      <c r="P354" s="32">
        <v>0.404271844660194</v>
      </c>
      <c r="Q354" s="32">
        <v>0.70049874185804795</v>
      </c>
      <c r="R354" s="30">
        <v>0</v>
      </c>
    </row>
    <row r="355" spans="1:18" ht="18.600000000000001" customHeight="1">
      <c r="A355" s="25" t="s">
        <v>726</v>
      </c>
      <c r="B355" s="26" t="s">
        <v>142</v>
      </c>
      <c r="C355" s="126" t="s">
        <v>23</v>
      </c>
      <c r="D355" s="30">
        <v>209.333333333333</v>
      </c>
      <c r="E355" s="30">
        <v>20.566666666666698</v>
      </c>
      <c r="F355" s="30">
        <v>4.6333333333333302</v>
      </c>
      <c r="G355" s="30">
        <v>19.533333333333299</v>
      </c>
      <c r="H355" s="30">
        <v>2.8666666666666698</v>
      </c>
      <c r="I355" s="32">
        <v>0.20812101910827999</v>
      </c>
      <c r="J355" s="32">
        <v>0.25415444770283502</v>
      </c>
      <c r="K355" s="30">
        <v>43.566666666666698</v>
      </c>
      <c r="L355" s="30">
        <v>8.8333333333333304</v>
      </c>
      <c r="M355" s="30">
        <v>1.13333333333333</v>
      </c>
      <c r="N355" s="30">
        <v>13.633333333333301</v>
      </c>
      <c r="O355" s="30">
        <v>60.366666666666703</v>
      </c>
      <c r="P355" s="32">
        <v>0.32754777070063701</v>
      </c>
      <c r="Q355" s="32">
        <v>0.58170221840347203</v>
      </c>
      <c r="R355" s="30">
        <v>0</v>
      </c>
    </row>
    <row r="356" spans="1:18" ht="18.600000000000001" customHeight="1">
      <c r="A356" s="25" t="s">
        <v>730</v>
      </c>
      <c r="B356" s="26" t="s">
        <v>139</v>
      </c>
      <c r="C356" s="126" t="s">
        <v>23</v>
      </c>
      <c r="D356" s="30">
        <v>115.333333333333</v>
      </c>
      <c r="E356" s="30">
        <v>14.366666666666699</v>
      </c>
      <c r="F356" s="30">
        <v>1.7666666666666699</v>
      </c>
      <c r="G356" s="30">
        <v>10.8</v>
      </c>
      <c r="H356" s="30">
        <v>1.86666666666667</v>
      </c>
      <c r="I356" s="32">
        <v>0.22398843930635801</v>
      </c>
      <c r="J356" s="32">
        <v>0.28854706220896797</v>
      </c>
      <c r="K356" s="30">
        <v>25.8333333333333</v>
      </c>
      <c r="L356" s="30">
        <v>4.8666666666666698</v>
      </c>
      <c r="M356" s="30">
        <v>0.83333333333333304</v>
      </c>
      <c r="N356" s="30">
        <v>10.9333333333333</v>
      </c>
      <c r="O356" s="30">
        <v>27.133333333333301</v>
      </c>
      <c r="P356" s="32">
        <v>0.32658959537572302</v>
      </c>
      <c r="Q356" s="32">
        <v>0.61513665758469005</v>
      </c>
      <c r="R356" s="30">
        <v>0</v>
      </c>
    </row>
    <row r="357" spans="1:18" ht="18.600000000000001" customHeight="1">
      <c r="A357" s="25" t="s">
        <v>735</v>
      </c>
      <c r="B357" s="26" t="s">
        <v>136</v>
      </c>
      <c r="C357" s="126" t="s">
        <v>23</v>
      </c>
      <c r="D357" s="30">
        <v>159.333333333333</v>
      </c>
      <c r="E357" s="30">
        <v>19</v>
      </c>
      <c r="F357" s="30">
        <v>5.2666666666666702</v>
      </c>
      <c r="G357" s="30">
        <v>17.100000000000001</v>
      </c>
      <c r="H357" s="30">
        <v>1.93333333333333</v>
      </c>
      <c r="I357" s="32">
        <v>0.19393305439330499</v>
      </c>
      <c r="J357" s="32">
        <v>0.28879813302217</v>
      </c>
      <c r="K357" s="30">
        <v>30.9</v>
      </c>
      <c r="L357" s="30">
        <v>6.7</v>
      </c>
      <c r="M357" s="30">
        <v>0.96666666666666701</v>
      </c>
      <c r="N357" s="30">
        <v>21.9</v>
      </c>
      <c r="O357" s="30">
        <v>50.533333333333303</v>
      </c>
      <c r="P357" s="32">
        <v>0.34728033472803299</v>
      </c>
      <c r="Q357" s="32">
        <v>0.63607846775020405</v>
      </c>
      <c r="R357" s="30">
        <v>0</v>
      </c>
    </row>
    <row r="358" spans="1:18" ht="18.600000000000001" customHeight="1">
      <c r="A358" s="25" t="s">
        <v>91</v>
      </c>
      <c r="B358" s="26" t="s">
        <v>92</v>
      </c>
      <c r="C358" s="127" t="s">
        <v>27</v>
      </c>
      <c r="D358" s="30">
        <v>607</v>
      </c>
      <c r="E358" s="30">
        <v>99.3</v>
      </c>
      <c r="F358" s="30">
        <v>21.8333333333333</v>
      </c>
      <c r="G358" s="30">
        <v>80.099999999999994</v>
      </c>
      <c r="H358" s="30">
        <v>27.6666666666667</v>
      </c>
      <c r="I358" s="32">
        <v>0.29851729818780898</v>
      </c>
      <c r="J358" s="32">
        <v>0.34353291683767301</v>
      </c>
      <c r="K358" s="30">
        <v>181.2</v>
      </c>
      <c r="L358" s="30">
        <v>34.700000000000003</v>
      </c>
      <c r="M358" s="30">
        <v>4.0999999999999996</v>
      </c>
      <c r="N358" s="30">
        <v>44.8</v>
      </c>
      <c r="O358" s="30">
        <v>116.8</v>
      </c>
      <c r="P358" s="32">
        <v>0.47710049423393702</v>
      </c>
      <c r="Q358" s="32">
        <v>0.82063341107161003</v>
      </c>
      <c r="R358" s="30">
        <v>0</v>
      </c>
    </row>
    <row r="359" spans="1:18" ht="18.600000000000001" customHeight="1">
      <c r="A359" s="25" t="s">
        <v>126</v>
      </c>
      <c r="B359" s="26" t="s">
        <v>95</v>
      </c>
      <c r="C359" s="127" t="s">
        <v>27</v>
      </c>
      <c r="D359" s="30">
        <v>594.33333333333303</v>
      </c>
      <c r="E359" s="30">
        <v>93.4</v>
      </c>
      <c r="F359" s="30">
        <v>24.433333333333302</v>
      </c>
      <c r="G359" s="30">
        <v>89.1666666666667</v>
      </c>
      <c r="H359" s="30">
        <v>16.133333333333301</v>
      </c>
      <c r="I359" s="32">
        <v>0.28799775659001697</v>
      </c>
      <c r="J359" s="32">
        <v>0.32861695081437098</v>
      </c>
      <c r="K359" s="30">
        <v>171.166666666667</v>
      </c>
      <c r="L359" s="30">
        <v>37.133333333333297</v>
      </c>
      <c r="M359" s="30">
        <v>1.43333333333333</v>
      </c>
      <c r="N359" s="30">
        <v>38.866666666666703</v>
      </c>
      <c r="O359" s="30">
        <v>133.73333333333301</v>
      </c>
      <c r="P359" s="32">
        <v>0.47863151991026398</v>
      </c>
      <c r="Q359" s="32">
        <v>0.80724847072463501</v>
      </c>
      <c r="R359" s="30">
        <v>0</v>
      </c>
    </row>
    <row r="360" spans="1:18" ht="18.600000000000001" customHeight="1">
      <c r="A360" s="25" t="s">
        <v>118</v>
      </c>
      <c r="B360" s="26" t="s">
        <v>119</v>
      </c>
      <c r="C360" s="127" t="s">
        <v>27</v>
      </c>
      <c r="D360" s="30">
        <v>585.66666666666697</v>
      </c>
      <c r="E360" s="30">
        <v>85.9</v>
      </c>
      <c r="F360" s="30">
        <v>24.3333333333333</v>
      </c>
      <c r="G360" s="30">
        <v>79.7</v>
      </c>
      <c r="H360" s="30">
        <v>31.433333333333302</v>
      </c>
      <c r="I360" s="32">
        <v>0.26402959590210601</v>
      </c>
      <c r="J360" s="32">
        <v>0.30515249672634398</v>
      </c>
      <c r="K360" s="30">
        <v>154.63333333333301</v>
      </c>
      <c r="L360" s="30">
        <v>32.299999999999997</v>
      </c>
      <c r="M360" s="30">
        <v>5.1666666666666696</v>
      </c>
      <c r="N360" s="30">
        <v>37.233333333333299</v>
      </c>
      <c r="O360" s="30">
        <v>133.26666666666699</v>
      </c>
      <c r="P360" s="32">
        <v>0.46146841206602202</v>
      </c>
      <c r="Q360" s="32">
        <v>0.766620908792365</v>
      </c>
      <c r="R360" s="30">
        <v>0</v>
      </c>
    </row>
    <row r="361" spans="1:18" ht="18.600000000000001" customHeight="1">
      <c r="A361" s="25" t="s">
        <v>128</v>
      </c>
      <c r="B361" s="26" t="s">
        <v>64</v>
      </c>
      <c r="C361" s="127" t="s">
        <v>27</v>
      </c>
      <c r="D361" s="30">
        <v>445</v>
      </c>
      <c r="E361" s="30">
        <v>82.433333333333294</v>
      </c>
      <c r="F361" s="30">
        <v>31.066666666666698</v>
      </c>
      <c r="G361" s="30">
        <v>81.6666666666667</v>
      </c>
      <c r="H361" s="30">
        <v>19</v>
      </c>
      <c r="I361" s="32">
        <v>0.27655430711610501</v>
      </c>
      <c r="J361" s="32">
        <v>0.35123405665065399</v>
      </c>
      <c r="K361" s="30">
        <v>123.066666666667</v>
      </c>
      <c r="L361" s="30">
        <v>25.566666666666698</v>
      </c>
      <c r="M361" s="30">
        <v>1.8333333333333299</v>
      </c>
      <c r="N361" s="30">
        <v>53.633333333333297</v>
      </c>
      <c r="O361" s="30">
        <v>120.26666666666701</v>
      </c>
      <c r="P361" s="32">
        <v>0.55168539325842703</v>
      </c>
      <c r="Q361" s="32">
        <v>0.90291944990908102</v>
      </c>
      <c r="R361" s="30">
        <v>0</v>
      </c>
    </row>
    <row r="362" spans="1:18" ht="18.600000000000001" customHeight="1">
      <c r="A362" s="25" t="s">
        <v>185</v>
      </c>
      <c r="B362" s="26" t="s">
        <v>116</v>
      </c>
      <c r="C362" s="127" t="s">
        <v>27</v>
      </c>
      <c r="D362" s="30">
        <v>558.66666666666697</v>
      </c>
      <c r="E362" s="30">
        <v>88.6</v>
      </c>
      <c r="F362" s="30">
        <v>15.866666666666699</v>
      </c>
      <c r="G362" s="30">
        <v>57.2</v>
      </c>
      <c r="H362" s="30">
        <v>17.8</v>
      </c>
      <c r="I362" s="32">
        <v>0.298031026252983</v>
      </c>
      <c r="J362" s="32">
        <v>0.32510208929561202</v>
      </c>
      <c r="K362" s="30">
        <v>166.5</v>
      </c>
      <c r="L362" s="30">
        <v>29.633333333333301</v>
      </c>
      <c r="M362" s="30">
        <v>1.1000000000000001</v>
      </c>
      <c r="N362" s="30">
        <v>25.1</v>
      </c>
      <c r="O362" s="30">
        <v>112.633333333333</v>
      </c>
      <c r="P362" s="32">
        <v>0.44021479713603801</v>
      </c>
      <c r="Q362" s="32">
        <v>0.76531688643164997</v>
      </c>
      <c r="R362" s="30">
        <v>0</v>
      </c>
    </row>
    <row r="363" spans="1:18" ht="18.600000000000001" customHeight="1">
      <c r="A363" s="25" t="s">
        <v>204</v>
      </c>
      <c r="B363" s="26" t="s">
        <v>97</v>
      </c>
      <c r="C363" s="127" t="s">
        <v>27</v>
      </c>
      <c r="D363" s="30">
        <v>573.33333333333303</v>
      </c>
      <c r="E363" s="30">
        <v>84.133333333333297</v>
      </c>
      <c r="F363" s="30">
        <v>23.1</v>
      </c>
      <c r="G363" s="30">
        <v>84.766666666666694</v>
      </c>
      <c r="H363" s="30">
        <v>13.6</v>
      </c>
      <c r="I363" s="32">
        <v>0.25622093023255799</v>
      </c>
      <c r="J363" s="32">
        <v>0.32059948645391201</v>
      </c>
      <c r="K363" s="30">
        <v>146.9</v>
      </c>
      <c r="L363" s="30">
        <v>25</v>
      </c>
      <c r="M363" s="30">
        <v>3.2333333333333298</v>
      </c>
      <c r="N363" s="30">
        <v>57.033333333333303</v>
      </c>
      <c r="O363" s="30">
        <v>118.8</v>
      </c>
      <c r="P363" s="32">
        <v>0.43197674418604598</v>
      </c>
      <c r="Q363" s="32">
        <v>0.75257623063995804</v>
      </c>
      <c r="R363" s="30">
        <v>0</v>
      </c>
    </row>
    <row r="364" spans="1:18" ht="18.600000000000001" customHeight="1">
      <c r="A364" s="25" t="s">
        <v>213</v>
      </c>
      <c r="B364" s="26" t="s">
        <v>87</v>
      </c>
      <c r="C364" s="127" t="s">
        <v>27</v>
      </c>
      <c r="D364" s="30">
        <v>542</v>
      </c>
      <c r="E364" s="30">
        <v>86.2</v>
      </c>
      <c r="F364" s="30">
        <v>27.6666666666667</v>
      </c>
      <c r="G364" s="30">
        <v>81.133333333333297</v>
      </c>
      <c r="H364" s="30">
        <v>2.93333333333333</v>
      </c>
      <c r="I364" s="32">
        <v>0.27281672816728197</v>
      </c>
      <c r="J364" s="32">
        <v>0.33869223639493301</v>
      </c>
      <c r="K364" s="30">
        <v>147.86666666666699</v>
      </c>
      <c r="L364" s="30">
        <v>29.8</v>
      </c>
      <c r="M364" s="30">
        <v>2</v>
      </c>
      <c r="N364" s="30">
        <v>56.766666666666701</v>
      </c>
      <c r="O364" s="30">
        <v>96.8333333333333</v>
      </c>
      <c r="P364" s="32">
        <v>0.48831488314883198</v>
      </c>
      <c r="Q364" s="32">
        <v>0.82700711954376505</v>
      </c>
      <c r="R364" s="30">
        <v>0</v>
      </c>
    </row>
    <row r="365" spans="1:18" ht="18.600000000000001" customHeight="1">
      <c r="A365" s="25" t="s">
        <v>211</v>
      </c>
      <c r="B365" s="26" t="s">
        <v>160</v>
      </c>
      <c r="C365" s="127" t="s">
        <v>27</v>
      </c>
      <c r="D365" s="30">
        <v>584</v>
      </c>
      <c r="E365" s="30">
        <v>85.533333333333303</v>
      </c>
      <c r="F365" s="30">
        <v>22.633333333333301</v>
      </c>
      <c r="G365" s="30">
        <v>77.033333333333303</v>
      </c>
      <c r="H365" s="30">
        <v>13.466666666666701</v>
      </c>
      <c r="I365" s="32">
        <v>0.25827625570776302</v>
      </c>
      <c r="J365" s="32">
        <v>0.312842399641035</v>
      </c>
      <c r="K365" s="30">
        <v>150.833333333333</v>
      </c>
      <c r="L365" s="30">
        <v>29.566666666666698</v>
      </c>
      <c r="M365" s="30">
        <v>1.5</v>
      </c>
      <c r="N365" s="30">
        <v>49.033333333333303</v>
      </c>
      <c r="O365" s="30">
        <v>164.066666666667</v>
      </c>
      <c r="P365" s="32">
        <v>0.43030821917808199</v>
      </c>
      <c r="Q365" s="32">
        <v>0.74315061881911704</v>
      </c>
      <c r="R365" s="30">
        <v>0</v>
      </c>
    </row>
    <row r="366" spans="1:18" ht="18.600000000000001" customHeight="1">
      <c r="A366" s="25" t="s">
        <v>228</v>
      </c>
      <c r="B366" s="26" t="s">
        <v>64</v>
      </c>
      <c r="C366" s="127" t="s">
        <v>27</v>
      </c>
      <c r="D366" s="30">
        <v>544.33333333333303</v>
      </c>
      <c r="E366" s="30">
        <v>80.966666666666697</v>
      </c>
      <c r="F366" s="30">
        <v>18.7</v>
      </c>
      <c r="G366" s="30">
        <v>79.566666666666706</v>
      </c>
      <c r="H366" s="30">
        <v>7.2333333333333298</v>
      </c>
      <c r="I366" s="32">
        <v>0.28322106552357601</v>
      </c>
      <c r="J366" s="32">
        <v>0.35072459011012502</v>
      </c>
      <c r="K366" s="30">
        <v>154.166666666667</v>
      </c>
      <c r="L366" s="30">
        <v>32.8333333333333</v>
      </c>
      <c r="M366" s="30">
        <v>0.53333333333333299</v>
      </c>
      <c r="N366" s="30">
        <v>59.533333333333303</v>
      </c>
      <c r="O366" s="30">
        <v>115.8</v>
      </c>
      <c r="P366" s="32">
        <v>0.44856093080220399</v>
      </c>
      <c r="Q366" s="32">
        <v>0.79928552091232896</v>
      </c>
      <c r="R366" s="30">
        <v>0</v>
      </c>
    </row>
    <row r="367" spans="1:18" ht="18.600000000000001" customHeight="1">
      <c r="A367" s="25" t="s">
        <v>208</v>
      </c>
      <c r="B367" s="26" t="s">
        <v>139</v>
      </c>
      <c r="C367" s="127" t="s">
        <v>27</v>
      </c>
      <c r="D367" s="30">
        <v>516</v>
      </c>
      <c r="E367" s="30">
        <v>81.2</v>
      </c>
      <c r="F367" s="30">
        <v>25.25</v>
      </c>
      <c r="G367" s="30">
        <v>70.2</v>
      </c>
      <c r="H367" s="30">
        <v>18.3</v>
      </c>
      <c r="I367" s="32">
        <v>0.24932170542635701</v>
      </c>
      <c r="J367" s="32">
        <v>0.31091448534962501</v>
      </c>
      <c r="K367" s="30">
        <v>128.65</v>
      </c>
      <c r="L367" s="30">
        <v>24.25</v>
      </c>
      <c r="M367" s="30">
        <v>5.25</v>
      </c>
      <c r="N367" s="30">
        <v>48.45</v>
      </c>
      <c r="O367" s="30">
        <v>158</v>
      </c>
      <c r="P367" s="32">
        <v>0.46346899224806198</v>
      </c>
      <c r="Q367" s="32">
        <v>0.774383477597687</v>
      </c>
      <c r="R367" s="30">
        <v>0</v>
      </c>
    </row>
    <row r="368" spans="1:18" ht="18.600000000000001" customHeight="1">
      <c r="A368" s="25" t="s">
        <v>245</v>
      </c>
      <c r="B368" s="26" t="s">
        <v>99</v>
      </c>
      <c r="C368" s="127" t="s">
        <v>27</v>
      </c>
      <c r="D368" s="30">
        <v>548.66666666666697</v>
      </c>
      <c r="E368" s="30">
        <v>83.1</v>
      </c>
      <c r="F368" s="30">
        <v>27.1666666666667</v>
      </c>
      <c r="G368" s="30">
        <v>81.366666666666703</v>
      </c>
      <c r="H368" s="30">
        <v>7.6333333333333302</v>
      </c>
      <c r="I368" s="32">
        <v>0.24835965978128799</v>
      </c>
      <c r="J368" s="32">
        <v>0.31379997372684698</v>
      </c>
      <c r="K368" s="30">
        <v>136.26666666666699</v>
      </c>
      <c r="L368" s="30">
        <v>30.133333333333301</v>
      </c>
      <c r="M368" s="30">
        <v>0.93333333333333302</v>
      </c>
      <c r="N368" s="30">
        <v>54.8333333333333</v>
      </c>
      <c r="O368" s="30">
        <v>166</v>
      </c>
      <c r="P368" s="32">
        <v>0.45522478736330502</v>
      </c>
      <c r="Q368" s="32">
        <v>0.76902476109015205</v>
      </c>
      <c r="R368" s="30">
        <v>0</v>
      </c>
    </row>
    <row r="369" spans="1:18" ht="18.600000000000001" customHeight="1">
      <c r="A369" s="25" t="s">
        <v>248</v>
      </c>
      <c r="B369" s="26" t="s">
        <v>77</v>
      </c>
      <c r="C369" s="127" t="s">
        <v>27</v>
      </c>
      <c r="D369" s="30">
        <v>578.66666666666697</v>
      </c>
      <c r="E369" s="30">
        <v>79.133333333333297</v>
      </c>
      <c r="F369" s="30">
        <v>11.966666666666701</v>
      </c>
      <c r="G369" s="30">
        <v>64.3</v>
      </c>
      <c r="H369" s="30">
        <v>15.533333333333299</v>
      </c>
      <c r="I369" s="32">
        <v>0.28035714285714303</v>
      </c>
      <c r="J369" s="32">
        <v>0.31042104460873399</v>
      </c>
      <c r="K369" s="30">
        <v>162.23333333333301</v>
      </c>
      <c r="L369" s="30">
        <v>26.066666666666698</v>
      </c>
      <c r="M369" s="30">
        <v>6.5333333333333297</v>
      </c>
      <c r="N369" s="30">
        <v>27.8333333333333</v>
      </c>
      <c r="O369" s="30">
        <v>110.933333333333</v>
      </c>
      <c r="P369" s="32">
        <v>0.41002304147465402</v>
      </c>
      <c r="Q369" s="32">
        <v>0.72044408608338895</v>
      </c>
      <c r="R369" s="30">
        <v>0</v>
      </c>
    </row>
    <row r="370" spans="1:18" ht="18.600000000000001" customHeight="1">
      <c r="A370" s="25" t="s">
        <v>275</v>
      </c>
      <c r="B370" s="26" t="s">
        <v>103</v>
      </c>
      <c r="C370" s="127" t="s">
        <v>27</v>
      </c>
      <c r="D370" s="30">
        <v>511.33333333333297</v>
      </c>
      <c r="E370" s="30">
        <v>79.866666666666703</v>
      </c>
      <c r="F370" s="30">
        <v>13</v>
      </c>
      <c r="G370" s="30">
        <v>63.966666666666697</v>
      </c>
      <c r="H370" s="30">
        <v>9.2333333333333307</v>
      </c>
      <c r="I370" s="32">
        <v>0.28591916558018299</v>
      </c>
      <c r="J370" s="32">
        <v>0.33996101827862402</v>
      </c>
      <c r="K370" s="30">
        <v>146.19999999999999</v>
      </c>
      <c r="L370" s="30">
        <v>32.1</v>
      </c>
      <c r="M370" s="30">
        <v>5.6666666666666696</v>
      </c>
      <c r="N370" s="30">
        <v>44.5</v>
      </c>
      <c r="O370" s="30">
        <v>61.966666666666697</v>
      </c>
      <c r="P370" s="32">
        <v>0.44713168187744501</v>
      </c>
      <c r="Q370" s="32">
        <v>0.78709270015606903</v>
      </c>
      <c r="R370" s="30">
        <v>0</v>
      </c>
    </row>
    <row r="371" spans="1:18" ht="18.600000000000001" customHeight="1">
      <c r="A371" s="25" t="s">
        <v>293</v>
      </c>
      <c r="B371" s="26" t="s">
        <v>158</v>
      </c>
      <c r="C371" s="127" t="s">
        <v>27</v>
      </c>
      <c r="D371" s="30">
        <v>519.66666666666697</v>
      </c>
      <c r="E371" s="30">
        <v>78.133333333333297</v>
      </c>
      <c r="F371" s="30">
        <v>21.8</v>
      </c>
      <c r="G371" s="30">
        <v>71.3</v>
      </c>
      <c r="H371" s="30">
        <v>0.76666666666666705</v>
      </c>
      <c r="I371" s="32">
        <v>0.27601026298909598</v>
      </c>
      <c r="J371" s="32">
        <v>0.348350503134984</v>
      </c>
      <c r="K371" s="30">
        <v>143.433333333333</v>
      </c>
      <c r="L371" s="30">
        <v>28</v>
      </c>
      <c r="M371" s="30">
        <v>1.1000000000000001</v>
      </c>
      <c r="N371" s="30">
        <v>60.466666666666697</v>
      </c>
      <c r="O371" s="30">
        <v>116.633333333333</v>
      </c>
      <c r="P371" s="32">
        <v>0.45997434252726099</v>
      </c>
      <c r="Q371" s="32">
        <v>0.80832484566224505</v>
      </c>
      <c r="R371" s="30">
        <v>0</v>
      </c>
    </row>
    <row r="372" spans="1:18" ht="18.600000000000001" customHeight="1">
      <c r="A372" s="25" t="s">
        <v>303</v>
      </c>
      <c r="B372" s="26" t="s">
        <v>79</v>
      </c>
      <c r="C372" s="127" t="s">
        <v>27</v>
      </c>
      <c r="D372" s="30">
        <v>532.66666666666697</v>
      </c>
      <c r="E372" s="30">
        <v>70.733333333333306</v>
      </c>
      <c r="F372" s="30">
        <v>21.6666666666667</v>
      </c>
      <c r="G372" s="30">
        <v>68.466666666666697</v>
      </c>
      <c r="H372" s="30">
        <v>10.966666666666701</v>
      </c>
      <c r="I372" s="32">
        <v>0.251564455569462</v>
      </c>
      <c r="J372" s="32">
        <v>0.28415668485836498</v>
      </c>
      <c r="K372" s="30">
        <v>134</v>
      </c>
      <c r="L372" s="30">
        <v>22.566666666666698</v>
      </c>
      <c r="M372" s="30">
        <v>2.4666666666666699</v>
      </c>
      <c r="N372" s="30">
        <v>26.366666666666699</v>
      </c>
      <c r="O372" s="30">
        <v>135.30000000000001</v>
      </c>
      <c r="P372" s="32">
        <v>0.42521902377972498</v>
      </c>
      <c r="Q372" s="32">
        <v>0.70937570863808896</v>
      </c>
      <c r="R372" s="30">
        <v>0</v>
      </c>
    </row>
    <row r="373" spans="1:18" ht="18.600000000000001" customHeight="1">
      <c r="A373" s="25" t="s">
        <v>335</v>
      </c>
      <c r="B373" s="26" t="s">
        <v>260</v>
      </c>
      <c r="C373" s="127" t="s">
        <v>27</v>
      </c>
      <c r="D373" s="30">
        <v>552</v>
      </c>
      <c r="E373" s="30">
        <v>70.066666666666706</v>
      </c>
      <c r="F373" s="30">
        <v>19.600000000000001</v>
      </c>
      <c r="G373" s="30">
        <v>70.400000000000006</v>
      </c>
      <c r="H373" s="30">
        <v>11.8333333333333</v>
      </c>
      <c r="I373" s="32">
        <v>0.24480676328502399</v>
      </c>
      <c r="J373" s="32">
        <v>0.27836624980067898</v>
      </c>
      <c r="K373" s="30">
        <v>135.13333333333301</v>
      </c>
      <c r="L373" s="30">
        <v>24.8333333333333</v>
      </c>
      <c r="M373" s="30">
        <v>3.1</v>
      </c>
      <c r="N373" s="30">
        <v>27.8</v>
      </c>
      <c r="O373" s="30">
        <v>163.86666666666699</v>
      </c>
      <c r="P373" s="32">
        <v>0.40754830917874402</v>
      </c>
      <c r="Q373" s="32">
        <v>0.68591455897942299</v>
      </c>
      <c r="R373" s="30">
        <v>0</v>
      </c>
    </row>
    <row r="374" spans="1:18" ht="18.600000000000001" customHeight="1">
      <c r="A374" s="25" t="s">
        <v>323</v>
      </c>
      <c r="B374" s="26" t="s">
        <v>160</v>
      </c>
      <c r="C374" s="127" t="s">
        <v>27</v>
      </c>
      <c r="D374" s="30">
        <v>481.33333333333297</v>
      </c>
      <c r="E374" s="30">
        <v>64.3</v>
      </c>
      <c r="F374" s="30">
        <v>8.8333333333333304</v>
      </c>
      <c r="G374" s="30">
        <v>52.3</v>
      </c>
      <c r="H374" s="30">
        <v>17.7</v>
      </c>
      <c r="I374" s="32">
        <v>0.28005540166205001</v>
      </c>
      <c r="J374" s="32">
        <v>0.32521574351489102</v>
      </c>
      <c r="K374" s="30">
        <v>134.80000000000001</v>
      </c>
      <c r="L374" s="30">
        <v>23.6</v>
      </c>
      <c r="M374" s="30">
        <v>3.7</v>
      </c>
      <c r="N374" s="30">
        <v>34.533333333333303</v>
      </c>
      <c r="O374" s="30">
        <v>67.3</v>
      </c>
      <c r="P374" s="32">
        <v>0.39951523545706402</v>
      </c>
      <c r="Q374" s="32">
        <v>0.72473097897195404</v>
      </c>
      <c r="R374" s="30">
        <v>0</v>
      </c>
    </row>
    <row r="375" spans="1:18" ht="18.600000000000001" customHeight="1">
      <c r="A375" s="25" t="s">
        <v>357</v>
      </c>
      <c r="B375" s="26" t="s">
        <v>178</v>
      </c>
      <c r="C375" s="128" t="s">
        <v>27</v>
      </c>
      <c r="D375" s="30">
        <v>452.33333333333297</v>
      </c>
      <c r="E375" s="30">
        <v>60.566666666666698</v>
      </c>
      <c r="F375" s="30">
        <v>14.4</v>
      </c>
      <c r="G375" s="30">
        <v>55.1</v>
      </c>
      <c r="H375" s="30">
        <v>11.9333333333333</v>
      </c>
      <c r="I375" s="32">
        <v>0.276271186440678</v>
      </c>
      <c r="J375" s="32">
        <v>0.31412097790820198</v>
      </c>
      <c r="K375" s="30">
        <v>124.966666666667</v>
      </c>
      <c r="L375" s="30">
        <v>21.4</v>
      </c>
      <c r="M375" s="30">
        <v>2.56666666666667</v>
      </c>
      <c r="N375" s="30">
        <v>27.033333333333299</v>
      </c>
      <c r="O375" s="30">
        <v>89.1666666666667</v>
      </c>
      <c r="P375" s="32">
        <v>0.430434782608696</v>
      </c>
      <c r="Q375" s="32">
        <v>0.74455576051689798</v>
      </c>
      <c r="R375" s="30">
        <v>0</v>
      </c>
    </row>
    <row r="376" spans="1:18" ht="18.600000000000001" customHeight="1">
      <c r="A376" s="25" t="s">
        <v>329</v>
      </c>
      <c r="B376" s="26" t="s">
        <v>105</v>
      </c>
      <c r="C376" s="129" t="s">
        <v>27</v>
      </c>
      <c r="D376" s="30">
        <v>413.75</v>
      </c>
      <c r="E376" s="30">
        <v>52.816666666666698</v>
      </c>
      <c r="F376" s="30">
        <v>12.1833333333333</v>
      </c>
      <c r="G376" s="30">
        <v>44.783333333333303</v>
      </c>
      <c r="H376" s="30">
        <v>35.316666666666698</v>
      </c>
      <c r="I376" s="32">
        <v>0.23258811681772401</v>
      </c>
      <c r="J376" s="32">
        <v>0.27134834112039302</v>
      </c>
      <c r="K376" s="30">
        <v>96.233333333333306</v>
      </c>
      <c r="L376" s="30">
        <v>20.100000000000001</v>
      </c>
      <c r="M376" s="30">
        <v>3.5</v>
      </c>
      <c r="N376" s="30">
        <v>23.55</v>
      </c>
      <c r="O376" s="30">
        <v>131.96666666666701</v>
      </c>
      <c r="P376" s="32">
        <v>0.38642497482376598</v>
      </c>
      <c r="Q376" s="32">
        <v>0.657773315944159</v>
      </c>
      <c r="R376" s="30">
        <v>0</v>
      </c>
    </row>
    <row r="377" spans="1:18" ht="18.600000000000001" customHeight="1">
      <c r="A377" s="25" t="s">
        <v>429</v>
      </c>
      <c r="B377" s="26" t="s">
        <v>225</v>
      </c>
      <c r="C377" s="127" t="s">
        <v>27</v>
      </c>
      <c r="D377" s="30">
        <v>358</v>
      </c>
      <c r="E377" s="30">
        <v>47.4</v>
      </c>
      <c r="F377" s="30">
        <v>15.5</v>
      </c>
      <c r="G377" s="30">
        <v>50.9</v>
      </c>
      <c r="H377" s="30">
        <v>13.9</v>
      </c>
      <c r="I377" s="32">
        <v>0.25614525139664801</v>
      </c>
      <c r="J377" s="32">
        <v>0.29531568228105898</v>
      </c>
      <c r="K377" s="30">
        <v>91.7</v>
      </c>
      <c r="L377" s="30">
        <v>19.600000000000001</v>
      </c>
      <c r="M377" s="30">
        <v>3.6</v>
      </c>
      <c r="N377" s="30">
        <v>21.4</v>
      </c>
      <c r="O377" s="30">
        <v>113.3</v>
      </c>
      <c r="P377" s="32">
        <v>0.460893854748603</v>
      </c>
      <c r="Q377" s="32">
        <v>0.75620953702966198</v>
      </c>
      <c r="R377" s="30">
        <v>0</v>
      </c>
    </row>
    <row r="378" spans="1:18" ht="18.600000000000001" customHeight="1">
      <c r="A378" s="25" t="s">
        <v>477</v>
      </c>
      <c r="B378" s="26" t="s">
        <v>309</v>
      </c>
      <c r="C378" s="127" t="s">
        <v>27</v>
      </c>
      <c r="D378" s="30">
        <v>471.66666666666703</v>
      </c>
      <c r="E378" s="30">
        <v>57.566666666666698</v>
      </c>
      <c r="F378" s="30">
        <v>7.5333333333333297</v>
      </c>
      <c r="G378" s="30">
        <v>45.2</v>
      </c>
      <c r="H378" s="30">
        <v>14</v>
      </c>
      <c r="I378" s="32">
        <v>0.26007067137809198</v>
      </c>
      <c r="J378" s="32">
        <v>0.28269172271605802</v>
      </c>
      <c r="K378" s="30">
        <v>122.666666666667</v>
      </c>
      <c r="L378" s="30">
        <v>25.133333333333301</v>
      </c>
      <c r="M378" s="30">
        <v>2.9666666666666699</v>
      </c>
      <c r="N378" s="30">
        <v>16.733333333333299</v>
      </c>
      <c r="O378" s="30">
        <v>87.066666666666706</v>
      </c>
      <c r="P378" s="32">
        <v>0.37385159010600699</v>
      </c>
      <c r="Q378" s="32">
        <v>0.65654331282206502</v>
      </c>
      <c r="R378" s="30">
        <v>0</v>
      </c>
    </row>
    <row r="379" spans="1:18" ht="18.600000000000001" customHeight="1">
      <c r="A379" s="25" t="s">
        <v>512</v>
      </c>
      <c r="B379" s="26" t="s">
        <v>219</v>
      </c>
      <c r="C379" s="127" t="s">
        <v>27</v>
      </c>
      <c r="D379" s="30">
        <v>434</v>
      </c>
      <c r="E379" s="30">
        <v>56.266666666666701</v>
      </c>
      <c r="F379" s="30">
        <v>13.9</v>
      </c>
      <c r="G379" s="30">
        <v>58.1</v>
      </c>
      <c r="H379" s="30">
        <v>4.2</v>
      </c>
      <c r="I379" s="32">
        <v>0.25291858678955498</v>
      </c>
      <c r="J379" s="32">
        <v>0.31681013570646399</v>
      </c>
      <c r="K379" s="30">
        <v>109.76666666666701</v>
      </c>
      <c r="L379" s="30">
        <v>20.866666666666699</v>
      </c>
      <c r="M379" s="30">
        <v>2</v>
      </c>
      <c r="N379" s="30">
        <v>42.6</v>
      </c>
      <c r="O379" s="30">
        <v>102.166666666667</v>
      </c>
      <c r="P379" s="32">
        <v>0.40629800307219699</v>
      </c>
      <c r="Q379" s="32">
        <v>0.72310813877865998</v>
      </c>
      <c r="R379" s="30">
        <v>0</v>
      </c>
    </row>
    <row r="380" spans="1:18" ht="18.600000000000001" customHeight="1">
      <c r="A380" s="25" t="s">
        <v>532</v>
      </c>
      <c r="B380" s="26" t="s">
        <v>85</v>
      </c>
      <c r="C380" s="127" t="s">
        <v>27</v>
      </c>
      <c r="D380" s="30">
        <v>430.66666666666703</v>
      </c>
      <c r="E380" s="30">
        <v>50.533333333333303</v>
      </c>
      <c r="F380" s="30">
        <v>13.8333333333333</v>
      </c>
      <c r="G380" s="30">
        <v>48.8</v>
      </c>
      <c r="H380" s="30">
        <v>7.43333333333333</v>
      </c>
      <c r="I380" s="32">
        <v>0.25348297213622301</v>
      </c>
      <c r="J380" s="32">
        <v>0.29122130208408897</v>
      </c>
      <c r="K380" s="30">
        <v>109.166666666667</v>
      </c>
      <c r="L380" s="30">
        <v>18.899999999999999</v>
      </c>
      <c r="M380" s="30">
        <v>2.8666666666666698</v>
      </c>
      <c r="N380" s="30">
        <v>24.7</v>
      </c>
      <c r="O380" s="30">
        <v>80.1666666666667</v>
      </c>
      <c r="P380" s="32">
        <v>0.40704334365325101</v>
      </c>
      <c r="Q380" s="32">
        <v>0.69826464573733904</v>
      </c>
      <c r="R380" s="30">
        <v>0</v>
      </c>
    </row>
    <row r="381" spans="1:18" ht="18.600000000000001" customHeight="1">
      <c r="A381" s="25" t="s">
        <v>556</v>
      </c>
      <c r="B381" s="26"/>
      <c r="C381" s="127" t="s">
        <v>27</v>
      </c>
      <c r="D381" s="30">
        <v>426.66666666666703</v>
      </c>
      <c r="E381" s="30">
        <v>52.033333333333303</v>
      </c>
      <c r="F381" s="30">
        <v>9.6</v>
      </c>
      <c r="G381" s="30">
        <v>43.866666666666703</v>
      </c>
      <c r="H381" s="30">
        <v>12.0666666666667</v>
      </c>
      <c r="I381" s="32">
        <v>0.249140625</v>
      </c>
      <c r="J381" s="32">
        <v>0.29407074514352</v>
      </c>
      <c r="K381" s="30">
        <v>106.3</v>
      </c>
      <c r="L381" s="30">
        <v>22.8</v>
      </c>
      <c r="M381" s="30">
        <v>0.86666666666666703</v>
      </c>
      <c r="N381" s="30">
        <v>28.933333333333302</v>
      </c>
      <c r="O381" s="30">
        <v>73.566666666666706</v>
      </c>
      <c r="P381" s="32">
        <v>0.374140625</v>
      </c>
      <c r="Q381" s="32">
        <v>0.66821137014351994</v>
      </c>
      <c r="R381" s="30">
        <v>0</v>
      </c>
    </row>
    <row r="382" spans="1:18" ht="18.600000000000001" customHeight="1">
      <c r="A382" s="25" t="s">
        <v>595</v>
      </c>
      <c r="B382" s="26" t="s">
        <v>72</v>
      </c>
      <c r="C382" s="127" t="s">
        <v>27</v>
      </c>
      <c r="D382" s="30">
        <v>509</v>
      </c>
      <c r="E382" s="30">
        <v>62</v>
      </c>
      <c r="F382" s="30">
        <v>7.1333333333333302</v>
      </c>
      <c r="G382" s="30">
        <v>47.933333333333302</v>
      </c>
      <c r="H382" s="30">
        <v>5.1666666666666696</v>
      </c>
      <c r="I382" s="32">
        <v>0.25343811394891902</v>
      </c>
      <c r="J382" s="32">
        <v>0.32890494751578597</v>
      </c>
      <c r="K382" s="30">
        <v>129</v>
      </c>
      <c r="L382" s="30">
        <v>27.033333333333299</v>
      </c>
      <c r="M382" s="30">
        <v>2.2999999999999998</v>
      </c>
      <c r="N382" s="30">
        <v>59.733333333333299</v>
      </c>
      <c r="O382" s="30">
        <v>85.033333333333303</v>
      </c>
      <c r="P382" s="32">
        <v>0.35762933857236401</v>
      </c>
      <c r="Q382" s="32">
        <v>0.68653428608815004</v>
      </c>
      <c r="R382" s="30">
        <v>0</v>
      </c>
    </row>
    <row r="383" spans="1:18" ht="18.600000000000001" customHeight="1">
      <c r="A383" s="25" t="s">
        <v>583</v>
      </c>
      <c r="B383" s="26" t="s">
        <v>69</v>
      </c>
      <c r="C383" s="127" t="s">
        <v>27</v>
      </c>
      <c r="D383" s="30">
        <v>350</v>
      </c>
      <c r="E383" s="30">
        <v>43.7</v>
      </c>
      <c r="F383" s="30">
        <v>3.93333333333333</v>
      </c>
      <c r="G383" s="30">
        <v>31.4</v>
      </c>
      <c r="H383" s="30">
        <v>13.4</v>
      </c>
      <c r="I383" s="32">
        <v>0.27019047619047598</v>
      </c>
      <c r="J383" s="32">
        <v>0.30926551662813401</v>
      </c>
      <c r="K383" s="30">
        <v>94.566666666666706</v>
      </c>
      <c r="L383" s="30">
        <v>13.9333333333333</v>
      </c>
      <c r="M383" s="30">
        <v>1.2</v>
      </c>
      <c r="N383" s="30">
        <v>21.366666666666699</v>
      </c>
      <c r="O383" s="30">
        <v>51.7</v>
      </c>
      <c r="P383" s="32">
        <v>0.35057142857142798</v>
      </c>
      <c r="Q383" s="32">
        <v>0.65983694519956304</v>
      </c>
      <c r="R383" s="30">
        <v>0</v>
      </c>
    </row>
    <row r="384" spans="1:18" ht="18.600000000000001" customHeight="1">
      <c r="A384" s="25" t="s">
        <v>645</v>
      </c>
      <c r="B384" s="26"/>
      <c r="C384" s="127" t="s">
        <v>27</v>
      </c>
      <c r="D384" s="30">
        <v>348.66666666666703</v>
      </c>
      <c r="E384" s="30">
        <v>39.799999999999997</v>
      </c>
      <c r="F384" s="30">
        <v>4.56666666666667</v>
      </c>
      <c r="G384" s="30">
        <v>37.5</v>
      </c>
      <c r="H384" s="30">
        <v>2.5333333333333301</v>
      </c>
      <c r="I384" s="32">
        <v>0.28374760994263898</v>
      </c>
      <c r="J384" s="32">
        <v>0.30855769755884399</v>
      </c>
      <c r="K384" s="30">
        <v>98.933333333333294</v>
      </c>
      <c r="L384" s="30">
        <v>22.133333333333301</v>
      </c>
      <c r="M384" s="30">
        <v>0.8</v>
      </c>
      <c r="N384" s="30">
        <v>14.0666666666667</v>
      </c>
      <c r="O384" s="30">
        <v>50.366666666666703</v>
      </c>
      <c r="P384" s="32">
        <v>0.391108986615679</v>
      </c>
      <c r="Q384" s="32">
        <v>0.69966668417452305</v>
      </c>
      <c r="R384" s="30">
        <v>0</v>
      </c>
    </row>
    <row r="385" spans="1:18" ht="18.600000000000001" customHeight="1">
      <c r="A385" s="25" t="s">
        <v>640</v>
      </c>
      <c r="B385" s="26" t="s">
        <v>99</v>
      </c>
      <c r="C385" s="127" t="s">
        <v>27</v>
      </c>
      <c r="D385" s="30">
        <v>349</v>
      </c>
      <c r="E385" s="30">
        <v>44</v>
      </c>
      <c r="F385" s="30">
        <v>7.6</v>
      </c>
      <c r="G385" s="30">
        <v>37</v>
      </c>
      <c r="H385" s="30">
        <v>11.7</v>
      </c>
      <c r="I385" s="32">
        <v>0.245988538681948</v>
      </c>
      <c r="J385" s="32">
        <v>0.3125</v>
      </c>
      <c r="K385" s="30">
        <v>85.85</v>
      </c>
      <c r="L385" s="30">
        <v>16.649999999999999</v>
      </c>
      <c r="M385" s="30">
        <v>1.65</v>
      </c>
      <c r="N385" s="30">
        <v>35.35</v>
      </c>
      <c r="O385" s="30">
        <v>80.2</v>
      </c>
      <c r="P385" s="32">
        <v>0.368481375358166</v>
      </c>
      <c r="Q385" s="32">
        <v>0.68098137535816605</v>
      </c>
      <c r="R385" s="30">
        <v>0</v>
      </c>
    </row>
    <row r="386" spans="1:18" ht="18.600000000000001" customHeight="1">
      <c r="A386" s="25" t="s">
        <v>660</v>
      </c>
      <c r="B386" s="26" t="s">
        <v>82</v>
      </c>
      <c r="C386" s="127" t="s">
        <v>27</v>
      </c>
      <c r="D386" s="30">
        <v>343.66666666666703</v>
      </c>
      <c r="E386" s="30">
        <v>39.966666666666697</v>
      </c>
      <c r="F386" s="30">
        <v>6.1</v>
      </c>
      <c r="G386" s="30">
        <v>35.466666666666697</v>
      </c>
      <c r="H386" s="30">
        <v>7.93333333333333</v>
      </c>
      <c r="I386" s="32">
        <v>0.25809893307468501</v>
      </c>
      <c r="J386" s="32">
        <v>0.302812277972138</v>
      </c>
      <c r="K386" s="30">
        <v>88.7</v>
      </c>
      <c r="L386" s="30">
        <v>18.366666666666699</v>
      </c>
      <c r="M386" s="30">
        <v>1.7</v>
      </c>
      <c r="N386" s="30">
        <v>23.533333333333299</v>
      </c>
      <c r="O386" s="30">
        <v>49.1666666666667</v>
      </c>
      <c r="P386" s="32">
        <v>0.37468477206595502</v>
      </c>
      <c r="Q386" s="32">
        <v>0.67749705003809302</v>
      </c>
      <c r="R386" s="30">
        <v>0</v>
      </c>
    </row>
    <row r="387" spans="1:18" ht="18.600000000000001" customHeight="1">
      <c r="A387" s="25" t="s">
        <v>677</v>
      </c>
      <c r="B387" s="26" t="s">
        <v>158</v>
      </c>
      <c r="C387" s="127" t="s">
        <v>27</v>
      </c>
      <c r="D387" s="30">
        <v>333.66666666666703</v>
      </c>
      <c r="E387" s="30">
        <v>39.066666666666698</v>
      </c>
      <c r="F387" s="30">
        <v>8.7333333333333307</v>
      </c>
      <c r="G387" s="30">
        <v>42.4</v>
      </c>
      <c r="H387" s="30">
        <v>2.7333333333333298</v>
      </c>
      <c r="I387" s="32">
        <v>0.256543456543457</v>
      </c>
      <c r="J387" s="32">
        <v>0.29493975002570799</v>
      </c>
      <c r="K387" s="30">
        <v>85.6</v>
      </c>
      <c r="L387" s="30">
        <v>16.366666666666699</v>
      </c>
      <c r="M387" s="30">
        <v>0.93333333333333302</v>
      </c>
      <c r="N387" s="30">
        <v>19.566666666666698</v>
      </c>
      <c r="O387" s="30">
        <v>64.1666666666667</v>
      </c>
      <c r="P387" s="32">
        <v>0.38971028971028998</v>
      </c>
      <c r="Q387" s="32">
        <v>0.68465003973599803</v>
      </c>
      <c r="R387" s="30">
        <v>0</v>
      </c>
    </row>
    <row r="388" spans="1:18" ht="18.600000000000001" customHeight="1">
      <c r="A388" s="25" t="s">
        <v>670</v>
      </c>
      <c r="B388" s="26" t="s">
        <v>225</v>
      </c>
      <c r="C388" s="127" t="s">
        <v>27</v>
      </c>
      <c r="D388" s="30">
        <v>394</v>
      </c>
      <c r="E388" s="30">
        <v>42.766666666666701</v>
      </c>
      <c r="F388" s="30">
        <v>4.7</v>
      </c>
      <c r="G388" s="30">
        <v>36.133333333333297</v>
      </c>
      <c r="H388" s="30">
        <v>6.7333333333333298</v>
      </c>
      <c r="I388" s="32">
        <v>0.25913705583756302</v>
      </c>
      <c r="J388" s="32">
        <v>0.29741454378493098</v>
      </c>
      <c r="K388" s="30">
        <v>102.1</v>
      </c>
      <c r="L388" s="30">
        <v>21.3333333333333</v>
      </c>
      <c r="M388" s="30">
        <v>1.6666666666666701</v>
      </c>
      <c r="N388" s="30">
        <v>23.133333333333301</v>
      </c>
      <c r="O388" s="30">
        <v>53.233333333333299</v>
      </c>
      <c r="P388" s="32">
        <v>0.35752961082910301</v>
      </c>
      <c r="Q388" s="32">
        <v>0.65494415461403399</v>
      </c>
      <c r="R388" s="30">
        <v>0</v>
      </c>
    </row>
    <row r="389" spans="1:18" ht="18.600000000000001" customHeight="1">
      <c r="A389" s="25" t="s">
        <v>661</v>
      </c>
      <c r="B389" s="26" t="s">
        <v>69</v>
      </c>
      <c r="C389" s="127" t="s">
        <v>27</v>
      </c>
      <c r="D389" s="30">
        <v>260.5</v>
      </c>
      <c r="E389" s="30">
        <v>34.35</v>
      </c>
      <c r="F389" s="30">
        <v>8.9499999999999993</v>
      </c>
      <c r="G389" s="30">
        <v>32.5</v>
      </c>
      <c r="H389" s="30">
        <v>10.45</v>
      </c>
      <c r="I389" s="32">
        <v>0.25105566218809999</v>
      </c>
      <c r="J389" s="32">
        <v>0.30004779522401798</v>
      </c>
      <c r="K389" s="30">
        <v>65.400000000000006</v>
      </c>
      <c r="L389" s="30">
        <v>11.55</v>
      </c>
      <c r="M389" s="30">
        <v>0.8</v>
      </c>
      <c r="N389" s="30">
        <v>19.350000000000001</v>
      </c>
      <c r="O389" s="30">
        <v>63.15</v>
      </c>
      <c r="P389" s="32">
        <v>0.40460652591170798</v>
      </c>
      <c r="Q389" s="32">
        <v>0.70465432113572601</v>
      </c>
      <c r="R389" s="30">
        <v>0</v>
      </c>
    </row>
    <row r="390" spans="1:18" ht="18.600000000000001" customHeight="1">
      <c r="A390" s="25" t="s">
        <v>689</v>
      </c>
      <c r="B390" s="26" t="s">
        <v>122</v>
      </c>
      <c r="C390" s="127" t="s">
        <v>27</v>
      </c>
      <c r="D390" s="30">
        <v>379.33333333333297</v>
      </c>
      <c r="E390" s="30">
        <v>44.4</v>
      </c>
      <c r="F390" s="30">
        <v>8.1999999999999993</v>
      </c>
      <c r="G390" s="30">
        <v>39.9</v>
      </c>
      <c r="H390" s="30">
        <v>6.56666666666667</v>
      </c>
      <c r="I390" s="32">
        <v>0.236467486818981</v>
      </c>
      <c r="J390" s="32">
        <v>0.287730200343075</v>
      </c>
      <c r="K390" s="30">
        <v>89.7</v>
      </c>
      <c r="L390" s="30">
        <v>21.1</v>
      </c>
      <c r="M390" s="30">
        <v>2.1333333333333302</v>
      </c>
      <c r="N390" s="30">
        <v>28.8333333333333</v>
      </c>
      <c r="O390" s="30">
        <v>91.1</v>
      </c>
      <c r="P390" s="32">
        <v>0.36818980667838302</v>
      </c>
      <c r="Q390" s="32">
        <v>0.65592000702145903</v>
      </c>
      <c r="R390" s="30">
        <v>0</v>
      </c>
    </row>
    <row r="391" spans="1:18" ht="18.600000000000001" customHeight="1">
      <c r="A391" s="25" t="s">
        <v>687</v>
      </c>
      <c r="B391" s="26" t="s">
        <v>158</v>
      </c>
      <c r="C391" s="127" t="s">
        <v>27</v>
      </c>
      <c r="D391" s="30">
        <v>218.5</v>
      </c>
      <c r="E391" s="30">
        <v>30</v>
      </c>
      <c r="F391" s="30">
        <v>7.85</v>
      </c>
      <c r="G391" s="30">
        <v>28.45</v>
      </c>
      <c r="H391" s="30">
        <v>6.95</v>
      </c>
      <c r="I391" s="32">
        <v>0.26201372997711703</v>
      </c>
      <c r="J391" s="32">
        <v>0.31267741867653498</v>
      </c>
      <c r="K391" s="30">
        <v>57.25</v>
      </c>
      <c r="L391" s="30">
        <v>13.85</v>
      </c>
      <c r="M391" s="30">
        <v>0.9</v>
      </c>
      <c r="N391" s="30">
        <v>17.100000000000001</v>
      </c>
      <c r="O391" s="30">
        <v>49.3</v>
      </c>
      <c r="P391" s="32">
        <v>0.44141876430205901</v>
      </c>
      <c r="Q391" s="32">
        <v>0.75409618297859504</v>
      </c>
      <c r="R391" s="30">
        <v>0</v>
      </c>
    </row>
    <row r="392" spans="1:18" ht="18.600000000000001" customHeight="1">
      <c r="A392" s="25" t="s">
        <v>691</v>
      </c>
      <c r="B392" s="26" t="s">
        <v>101</v>
      </c>
      <c r="C392" s="127" t="s">
        <v>27</v>
      </c>
      <c r="D392" s="30">
        <v>278</v>
      </c>
      <c r="E392" s="30">
        <v>33.433333333333302</v>
      </c>
      <c r="F392" s="30">
        <v>6.6666666666666696</v>
      </c>
      <c r="G392" s="30">
        <v>28.533333333333299</v>
      </c>
      <c r="H392" s="30">
        <v>17.3333333333333</v>
      </c>
      <c r="I392" s="32">
        <v>0.227338129496403</v>
      </c>
      <c r="J392" s="32">
        <v>0.26521376950266801</v>
      </c>
      <c r="K392" s="30">
        <v>63.2</v>
      </c>
      <c r="L392" s="30">
        <v>14</v>
      </c>
      <c r="M392" s="30">
        <v>2.8</v>
      </c>
      <c r="N392" s="30">
        <v>15.3333333333333</v>
      </c>
      <c r="O392" s="30">
        <v>80.566666666666706</v>
      </c>
      <c r="P392" s="32">
        <v>0.36978417266187102</v>
      </c>
      <c r="Q392" s="32">
        <v>0.63499794216453798</v>
      </c>
      <c r="R392" s="30">
        <v>0</v>
      </c>
    </row>
    <row r="393" spans="1:18" ht="18.600000000000001" customHeight="1">
      <c r="A393" s="25" t="s">
        <v>700</v>
      </c>
      <c r="B393" s="26" t="s">
        <v>69</v>
      </c>
      <c r="C393" s="127" t="s">
        <v>27</v>
      </c>
      <c r="D393" s="30">
        <v>243</v>
      </c>
      <c r="E393" s="30">
        <v>32.950000000000003</v>
      </c>
      <c r="F393" s="30">
        <v>8.5</v>
      </c>
      <c r="G393" s="30">
        <v>30.75</v>
      </c>
      <c r="H393" s="30">
        <v>10.55</v>
      </c>
      <c r="I393" s="32">
        <v>0.23662551440329199</v>
      </c>
      <c r="J393" s="32">
        <v>0.30171292683833101</v>
      </c>
      <c r="K393" s="30">
        <v>57.5</v>
      </c>
      <c r="L393" s="30">
        <v>13</v>
      </c>
      <c r="M393" s="30">
        <v>1.75</v>
      </c>
      <c r="N393" s="30">
        <v>23.7</v>
      </c>
      <c r="O393" s="30">
        <v>57.6</v>
      </c>
      <c r="P393" s="32">
        <v>0.40946502057613199</v>
      </c>
      <c r="Q393" s="32">
        <v>0.71117794741446305</v>
      </c>
      <c r="R393" s="30">
        <v>0</v>
      </c>
    </row>
    <row r="394" spans="1:18" ht="18.600000000000001" customHeight="1">
      <c r="A394" s="25" t="s">
        <v>713</v>
      </c>
      <c r="B394" s="26" t="s">
        <v>79</v>
      </c>
      <c r="C394" s="127" t="s">
        <v>27</v>
      </c>
      <c r="D394" s="30">
        <v>275</v>
      </c>
      <c r="E394" s="30">
        <v>34.200000000000003</v>
      </c>
      <c r="F394" s="30">
        <v>7.3333333333333304</v>
      </c>
      <c r="G394" s="30">
        <v>31.533333333333299</v>
      </c>
      <c r="H394" s="30">
        <v>4.2</v>
      </c>
      <c r="I394" s="32">
        <v>0.24666666666666701</v>
      </c>
      <c r="J394" s="32">
        <v>0.29014259144451299</v>
      </c>
      <c r="K394" s="30">
        <v>67.8333333333333</v>
      </c>
      <c r="L394" s="30">
        <v>11.633333333333301</v>
      </c>
      <c r="M394" s="30">
        <v>0.56666666666666698</v>
      </c>
      <c r="N394" s="30">
        <v>17.966666666666701</v>
      </c>
      <c r="O394" s="30">
        <v>48.7</v>
      </c>
      <c r="P394" s="32">
        <v>0.37309090909090897</v>
      </c>
      <c r="Q394" s="32">
        <v>0.66323350053542196</v>
      </c>
      <c r="R394" s="30">
        <v>0</v>
      </c>
    </row>
    <row r="395" spans="1:18" ht="18.600000000000001" customHeight="1">
      <c r="A395" s="25" t="s">
        <v>725</v>
      </c>
      <c r="B395" s="26" t="s">
        <v>142</v>
      </c>
      <c r="C395" s="127" t="s">
        <v>27</v>
      </c>
      <c r="D395" s="30">
        <v>390</v>
      </c>
      <c r="E395" s="30">
        <v>40.8333333333333</v>
      </c>
      <c r="F395" s="30">
        <v>5.6666666666666696</v>
      </c>
      <c r="G395" s="30">
        <v>30.5</v>
      </c>
      <c r="H395" s="30">
        <v>6.4666666666666703</v>
      </c>
      <c r="I395" s="32">
        <v>0.224529914529915</v>
      </c>
      <c r="J395" s="32">
        <v>0.27477904040404</v>
      </c>
      <c r="K395" s="30">
        <v>87.566666666666706</v>
      </c>
      <c r="L395" s="30">
        <v>19.233333333333299</v>
      </c>
      <c r="M395" s="30">
        <v>0.6</v>
      </c>
      <c r="N395" s="30">
        <v>28.5</v>
      </c>
      <c r="O395" s="30">
        <v>82.7</v>
      </c>
      <c r="P395" s="32">
        <v>0.32051282051282098</v>
      </c>
      <c r="Q395" s="32">
        <v>0.59529186091686104</v>
      </c>
      <c r="R395" s="30">
        <v>0</v>
      </c>
    </row>
    <row r="396" spans="1:18" ht="18.600000000000001" customHeight="1">
      <c r="A396" s="25" t="s">
        <v>741</v>
      </c>
      <c r="B396" s="26" t="s">
        <v>178</v>
      </c>
      <c r="C396" s="127" t="s">
        <v>27</v>
      </c>
      <c r="D396" s="30">
        <v>114</v>
      </c>
      <c r="E396" s="30">
        <v>14.866666666666699</v>
      </c>
      <c r="F396" s="30">
        <v>3.7666666666666702</v>
      </c>
      <c r="G396" s="30">
        <v>14.3</v>
      </c>
      <c r="H396" s="30">
        <v>1.4666666666666699</v>
      </c>
      <c r="I396" s="32">
        <v>0.25380116959064303</v>
      </c>
      <c r="J396" s="32">
        <v>0.286801610501351</v>
      </c>
      <c r="K396" s="30">
        <v>28.933333333333302</v>
      </c>
      <c r="L396" s="30">
        <v>6.2333333333333298</v>
      </c>
      <c r="M396" s="30">
        <v>0.5</v>
      </c>
      <c r="N396" s="30">
        <v>5.7333333333333298</v>
      </c>
      <c r="O396" s="30">
        <v>28.966666666666701</v>
      </c>
      <c r="P396" s="32">
        <v>0.41637426900584801</v>
      </c>
      <c r="Q396" s="32">
        <v>0.70317587950719895</v>
      </c>
      <c r="R396" s="30">
        <v>0</v>
      </c>
    </row>
    <row r="397" spans="1:18" ht="18.600000000000001" customHeight="1">
      <c r="A397" s="25" t="s">
        <v>742</v>
      </c>
      <c r="B397" s="26" t="s">
        <v>125</v>
      </c>
      <c r="C397" s="127" t="s">
        <v>27</v>
      </c>
      <c r="D397" s="30">
        <v>218.666666666667</v>
      </c>
      <c r="E397" s="30">
        <v>26.266666666666701</v>
      </c>
      <c r="F397" s="30">
        <v>8.7666666666666693</v>
      </c>
      <c r="G397" s="30">
        <v>28.933333333333302</v>
      </c>
      <c r="H397" s="30">
        <v>2.6</v>
      </c>
      <c r="I397" s="32">
        <v>0.20426829268292701</v>
      </c>
      <c r="J397" s="32">
        <v>0.27241692591471001</v>
      </c>
      <c r="K397" s="30">
        <v>44.6666666666667</v>
      </c>
      <c r="L397" s="30">
        <v>8.9</v>
      </c>
      <c r="M397" s="30">
        <v>0.1</v>
      </c>
      <c r="N397" s="30">
        <v>21.3</v>
      </c>
      <c r="O397" s="30">
        <v>69.400000000000006</v>
      </c>
      <c r="P397" s="32">
        <v>0.36615853658536601</v>
      </c>
      <c r="Q397" s="32">
        <v>0.63857546250007502</v>
      </c>
      <c r="R397" s="30">
        <v>0</v>
      </c>
    </row>
    <row r="398" spans="1:18" ht="18.600000000000001" customHeight="1">
      <c r="A398" s="25" t="s">
        <v>743</v>
      </c>
      <c r="B398" s="26" t="s">
        <v>103</v>
      </c>
      <c r="C398" s="127" t="s">
        <v>27</v>
      </c>
      <c r="D398" s="30">
        <v>250.666666666667</v>
      </c>
      <c r="E398" s="30">
        <v>30.3333333333333</v>
      </c>
      <c r="F398" s="30">
        <v>4.8666666666666698</v>
      </c>
      <c r="G398" s="30">
        <v>24.133333333333301</v>
      </c>
      <c r="H398" s="30">
        <v>6.7333333333333298</v>
      </c>
      <c r="I398" s="32">
        <v>0.20039893617021301</v>
      </c>
      <c r="J398" s="32">
        <v>0.289359417312541</v>
      </c>
      <c r="K398" s="30">
        <v>50.233333333333299</v>
      </c>
      <c r="L398" s="30">
        <v>12.766666666666699</v>
      </c>
      <c r="M398" s="30">
        <v>0.96666666666666701</v>
      </c>
      <c r="N398" s="30">
        <v>32.4</v>
      </c>
      <c r="O398" s="30">
        <v>74.066666666666706</v>
      </c>
      <c r="P398" s="32">
        <v>0.31728723404255299</v>
      </c>
      <c r="Q398" s="32">
        <v>0.60664665135509399</v>
      </c>
      <c r="R398" s="30">
        <v>0</v>
      </c>
    </row>
    <row r="399" spans="1:18" ht="18.600000000000001" customHeight="1">
      <c r="A399" s="25" t="s">
        <v>744</v>
      </c>
      <c r="B399" s="26" t="s">
        <v>122</v>
      </c>
      <c r="C399" s="127" t="s">
        <v>27</v>
      </c>
      <c r="D399" s="30">
        <v>195.666666666667</v>
      </c>
      <c r="E399" s="30">
        <v>25</v>
      </c>
      <c r="F399" s="30">
        <v>2.8666666666666698</v>
      </c>
      <c r="G399" s="30">
        <v>18.033333333333299</v>
      </c>
      <c r="H399" s="30">
        <v>4.43333333333333</v>
      </c>
      <c r="I399" s="32">
        <v>0.21686541737649101</v>
      </c>
      <c r="J399" s="32">
        <v>0.29615855594357998</v>
      </c>
      <c r="K399" s="30">
        <v>42.433333333333302</v>
      </c>
      <c r="L399" s="30">
        <v>6.5</v>
      </c>
      <c r="M399" s="30">
        <v>1.43333333333333</v>
      </c>
      <c r="N399" s="30">
        <v>22.866666666666699</v>
      </c>
      <c r="O399" s="30">
        <v>45.533333333333303</v>
      </c>
      <c r="P399" s="32">
        <v>0.30868824531516198</v>
      </c>
      <c r="Q399" s="32">
        <v>0.60484680125874202</v>
      </c>
      <c r="R399" s="30">
        <v>0</v>
      </c>
    </row>
    <row r="400" spans="1:18" ht="18.600000000000001" customHeight="1">
      <c r="A400" s="25" t="s">
        <v>745</v>
      </c>
      <c r="B400" s="26" t="s">
        <v>260</v>
      </c>
      <c r="C400" s="127" t="s">
        <v>27</v>
      </c>
      <c r="D400" s="30">
        <v>150</v>
      </c>
      <c r="E400" s="30">
        <v>16.766666666666701</v>
      </c>
      <c r="F400" s="30">
        <v>3.56666666666667</v>
      </c>
      <c r="G400" s="30">
        <v>14.9333333333333</v>
      </c>
      <c r="H400" s="30">
        <v>2.7666666666666702</v>
      </c>
      <c r="I400" s="32">
        <v>0.21466666666666701</v>
      </c>
      <c r="J400" s="32">
        <v>0.27711573419511198</v>
      </c>
      <c r="K400" s="30">
        <v>32.200000000000003</v>
      </c>
      <c r="L400" s="30">
        <v>5.2333333333333298</v>
      </c>
      <c r="M400" s="30">
        <v>0.46666666666666701</v>
      </c>
      <c r="N400" s="30">
        <v>13.533333333333299</v>
      </c>
      <c r="O400" s="30">
        <v>45.533333333333303</v>
      </c>
      <c r="P400" s="32">
        <v>0.32711111111111102</v>
      </c>
      <c r="Q400" s="32">
        <v>0.60422684530622295</v>
      </c>
      <c r="R400" s="30">
        <v>0</v>
      </c>
    </row>
    <row r="401" spans="1:18" ht="18.600000000000001" customHeight="1">
      <c r="A401" s="134" t="s">
        <v>746</v>
      </c>
      <c r="B401" s="135" t="s">
        <v>225</v>
      </c>
      <c r="C401" s="128" t="s">
        <v>27</v>
      </c>
      <c r="D401" s="136">
        <v>138</v>
      </c>
      <c r="E401" s="136">
        <v>14.366666666666699</v>
      </c>
      <c r="F401" s="136">
        <v>3.7666666666666702</v>
      </c>
      <c r="G401" s="136">
        <v>13.3</v>
      </c>
      <c r="H401" s="136">
        <v>3.1</v>
      </c>
      <c r="I401" s="137">
        <v>0.20603864734299501</v>
      </c>
      <c r="J401" s="137">
        <v>0.24788719663759201</v>
      </c>
      <c r="K401" s="136">
        <v>28.433333333333302</v>
      </c>
      <c r="L401" s="136">
        <v>5.9666666666666703</v>
      </c>
      <c r="M401" s="136">
        <v>0.5</v>
      </c>
      <c r="N401" s="136">
        <v>8.1333333333333293</v>
      </c>
      <c r="O401" s="136">
        <v>50.766666666666701</v>
      </c>
      <c r="P401" s="137">
        <v>0.33840579710144902</v>
      </c>
      <c r="Q401" s="137">
        <v>0.58629299373904098</v>
      </c>
      <c r="R401" s="30">
        <v>0</v>
      </c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63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9" width="7.140625" style="1" customWidth="1"/>
    <col min="10" max="10" width="16.28515625" style="1" customWidth="1"/>
    <col min="11" max="16384" width="16.28515625" style="1"/>
  </cols>
  <sheetData>
    <row r="1" spans="1:9" ht="36" customHeight="1">
      <c r="A1" s="138" t="s">
        <v>59</v>
      </c>
      <c r="B1" s="139" t="s">
        <v>60</v>
      </c>
      <c r="C1" s="139" t="s">
        <v>752</v>
      </c>
      <c r="D1" s="140" t="s">
        <v>753</v>
      </c>
      <c r="E1" s="139" t="s">
        <v>63</v>
      </c>
      <c r="F1" s="139" t="s">
        <v>65</v>
      </c>
      <c r="G1" s="140" t="s">
        <v>754</v>
      </c>
      <c r="H1" s="139" t="s">
        <v>64</v>
      </c>
      <c r="I1" s="139" t="s">
        <v>65</v>
      </c>
    </row>
    <row r="2" spans="1:9" ht="20.100000000000001" customHeight="1">
      <c r="A2" s="25" t="s">
        <v>94</v>
      </c>
      <c r="B2" s="26" t="s">
        <v>95</v>
      </c>
      <c r="C2" s="120" t="s">
        <v>7</v>
      </c>
      <c r="D2" s="141">
        <f t="shared" ref="D2:D33" ca="1" si="0">RANK(E2,E$2:E$63)</f>
        <v>1</v>
      </c>
      <c r="E2" s="30">
        <f ca="1">VLOOKUP(A2,Rankings!B1:H651,6,FALSE)+(RAND()*0.00001)</f>
        <v>613.90000996330593</v>
      </c>
      <c r="F2" s="30">
        <f ca="1">E2-VLOOKUP(Settings!$K$2,D$2:E$45,2,FALSE)</f>
        <v>195.00000644900888</v>
      </c>
      <c r="G2" s="141">
        <f t="shared" ref="G2:G33" ca="1" si="1">RANK(H2,H$2:H$63)</f>
        <v>1</v>
      </c>
      <c r="H2" s="30">
        <f ca="1">VLOOKUP(A2,Rankings!B1:H651,7,FALSE)+(RAND()*0.00001)</f>
        <v>9.4681104406067931</v>
      </c>
      <c r="I2" s="30">
        <f ca="1">H2-VLOOKUP(Settings!$K$2,G$2:H$45,2,FALSE)</f>
        <v>6.8885759713139345</v>
      </c>
    </row>
    <row r="3" spans="1:9" ht="18.600000000000001" customHeight="1">
      <c r="A3" s="25" t="s">
        <v>107</v>
      </c>
      <c r="B3" s="26" t="s">
        <v>82</v>
      </c>
      <c r="C3" s="120" t="s">
        <v>7</v>
      </c>
      <c r="D3" s="141">
        <f t="shared" ca="1" si="0"/>
        <v>2</v>
      </c>
      <c r="E3" s="30">
        <f ca="1">VLOOKUP(A3,Rankings!B1:H651,6,FALSE)+(RAND()*0.00001)</f>
        <v>603.45000983929344</v>
      </c>
      <c r="F3" s="30">
        <f ca="1">E3-VLOOKUP(Settings!$K$2,D$2:E$45,2,FALSE)</f>
        <v>184.55000632499639</v>
      </c>
      <c r="G3" s="141">
        <f t="shared" ca="1" si="1"/>
        <v>2</v>
      </c>
      <c r="H3" s="30">
        <f ca="1">VLOOKUP(A3,Rankings!B1:H651,7,FALSE)+(RAND()*0.00001)</f>
        <v>8.927327846400031</v>
      </c>
      <c r="I3" s="30">
        <f ca="1">H3-VLOOKUP(Settings!$K$2,G$2:H$45,2,FALSE)</f>
        <v>6.3477933771071724</v>
      </c>
    </row>
    <row r="4" spans="1:9" ht="18.600000000000001" customHeight="1">
      <c r="A4" s="25" t="s">
        <v>129</v>
      </c>
      <c r="B4" s="26" t="s">
        <v>97</v>
      </c>
      <c r="C4" s="120" t="s">
        <v>7</v>
      </c>
      <c r="D4" s="141">
        <f t="shared" ca="1" si="0"/>
        <v>4</v>
      </c>
      <c r="E4" s="30">
        <f ca="1">VLOOKUP(A4,Rankings!B1:H651,6,FALSE)+(RAND()*0.00001)</f>
        <v>560.31666908298689</v>
      </c>
      <c r="F4" s="30">
        <f ca="1">E4-VLOOKUP(Settings!$K$2,D$2:E$45,2,FALSE)</f>
        <v>141.41666556868984</v>
      </c>
      <c r="G4" s="141">
        <f t="shared" ca="1" si="1"/>
        <v>4</v>
      </c>
      <c r="H4" s="30">
        <f ca="1">VLOOKUP(A4,Rankings!B1:H651,7,FALSE)+(RAND()*0.00001)</f>
        <v>7.6621787606159621</v>
      </c>
      <c r="I4" s="30">
        <f ca="1">H4-VLOOKUP(Settings!$K$2,G$2:H$45,2,FALSE)</f>
        <v>5.0826442913231036</v>
      </c>
    </row>
    <row r="5" spans="1:9" ht="18.600000000000001" customHeight="1">
      <c r="A5" s="25" t="s">
        <v>182</v>
      </c>
      <c r="B5" s="26" t="s">
        <v>74</v>
      </c>
      <c r="C5" s="120" t="s">
        <v>7</v>
      </c>
      <c r="D5" s="141">
        <f t="shared" ca="1" si="0"/>
        <v>5</v>
      </c>
      <c r="E5" s="30">
        <f ca="1">VLOOKUP(A5,Rankings!B1:H651,6,FALSE)+(RAND()*0.00001)</f>
        <v>543.15000917994917</v>
      </c>
      <c r="F5" s="30">
        <f ca="1">E5-VLOOKUP(Settings!$K$2,D$2:E$45,2,FALSE)</f>
        <v>124.25000566565211</v>
      </c>
      <c r="G5" s="141">
        <f t="shared" ca="1" si="1"/>
        <v>6</v>
      </c>
      <c r="H5" s="30">
        <f ca="1">VLOOKUP(A5,Rankings!B1:H651,7,FALSE)+(RAND()*0.00001)</f>
        <v>5.9191967589647385</v>
      </c>
      <c r="I5" s="30">
        <f ca="1">H5-VLOOKUP(Settings!$K$2,G$2:H$45,2,FALSE)</f>
        <v>3.3396622896718799</v>
      </c>
    </row>
    <row r="6" spans="1:9" ht="18.600000000000001" customHeight="1">
      <c r="A6" s="25" t="s">
        <v>134</v>
      </c>
      <c r="B6" s="26" t="s">
        <v>125</v>
      </c>
      <c r="C6" s="120" t="s">
        <v>7</v>
      </c>
      <c r="D6" s="141">
        <f t="shared" ca="1" si="0"/>
        <v>6</v>
      </c>
      <c r="E6" s="30">
        <f ca="1">VLOOKUP(A6,Rankings!B1:H651,6,FALSE)+(RAND()*0.00001)</f>
        <v>542.46667344295258</v>
      </c>
      <c r="F6" s="30">
        <f ca="1">E6-VLOOKUP(Settings!$K$2,D$2:E$45,2,FALSE)</f>
        <v>123.56666992865553</v>
      </c>
      <c r="G6" s="141">
        <f t="shared" ca="1" si="1"/>
        <v>5</v>
      </c>
      <c r="H6" s="30">
        <f ca="1">VLOOKUP(A6,Rankings!B1:H651,7,FALSE)+(RAND()*0.00001)</f>
        <v>7.5539034612991474</v>
      </c>
      <c r="I6" s="30">
        <f ca="1">H6-VLOOKUP(Settings!$K$2,G$2:H$45,2,FALSE)</f>
        <v>4.9743689920062888</v>
      </c>
    </row>
    <row r="7" spans="1:9" ht="18.600000000000001" customHeight="1">
      <c r="A7" s="25" t="s">
        <v>223</v>
      </c>
      <c r="B7" s="26" t="s">
        <v>79</v>
      </c>
      <c r="C7" s="120" t="s">
        <v>7</v>
      </c>
      <c r="D7" s="141">
        <f t="shared" ca="1" si="0"/>
        <v>7</v>
      </c>
      <c r="E7" s="30">
        <f ca="1">VLOOKUP(A7,Rankings!B1:H651,6,FALSE)+(RAND()*0.00001)</f>
        <v>474.30000234417901</v>
      </c>
      <c r="F7" s="30">
        <f ca="1">E7-VLOOKUP(Settings!$K$2,D$2:E$45,2,FALSE)</f>
        <v>55.399998829881952</v>
      </c>
      <c r="G7" s="141">
        <f t="shared" ca="1" si="1"/>
        <v>7</v>
      </c>
      <c r="H7" s="30">
        <f ca="1">VLOOKUP(A7,Rankings!B1:H651,7,FALSE)+(RAND()*0.00001)</f>
        <v>4.6947512616627769</v>
      </c>
      <c r="I7" s="30">
        <f ca="1">H7-VLOOKUP(Settings!$K$2,G$2:H$45,2,FALSE)</f>
        <v>2.1152167923699183</v>
      </c>
    </row>
    <row r="8" spans="1:9" ht="18.600000000000001" customHeight="1">
      <c r="A8" s="25" t="s">
        <v>267</v>
      </c>
      <c r="B8" s="26" t="s">
        <v>92</v>
      </c>
      <c r="C8" s="120" t="s">
        <v>7</v>
      </c>
      <c r="D8" s="141">
        <f t="shared" ca="1" si="0"/>
        <v>8</v>
      </c>
      <c r="E8" s="30">
        <f ca="1">VLOOKUP(A8,Rankings!B1:H651,6,FALSE)+(RAND()*0.00001)</f>
        <v>467.16666947779578</v>
      </c>
      <c r="F8" s="30">
        <f ca="1">E8-VLOOKUP(Settings!$K$2,D$2:E$45,2,FALSE)</f>
        <v>48.266665963498724</v>
      </c>
      <c r="G8" s="141">
        <f t="shared" ca="1" si="1"/>
        <v>12</v>
      </c>
      <c r="H8" s="30">
        <f ca="1">VLOOKUP(A8,Rankings!B1:H651,7,FALSE)+(RAND()*0.00001)</f>
        <v>3.6526981301771451</v>
      </c>
      <c r="I8" s="30">
        <f ca="1">H8-VLOOKUP(Settings!$K$2,G$2:H$45,2,FALSE)</f>
        <v>1.0731636608842865</v>
      </c>
    </row>
    <row r="9" spans="1:9" ht="18.600000000000001" customHeight="1">
      <c r="A9" s="25" t="s">
        <v>265</v>
      </c>
      <c r="B9" s="26" t="s">
        <v>122</v>
      </c>
      <c r="C9" s="120" t="s">
        <v>7</v>
      </c>
      <c r="D9" s="141">
        <f t="shared" ca="1" si="0"/>
        <v>9</v>
      </c>
      <c r="E9" s="30">
        <f ca="1">VLOOKUP(A9,Rankings!B1:H651,6,FALSE)+(RAND()*0.00001)</f>
        <v>462.05000330284849</v>
      </c>
      <c r="F9" s="30">
        <f ca="1">E9-VLOOKUP(Settings!$K$2,D$2:E$45,2,FALSE)</f>
        <v>43.14999978855144</v>
      </c>
      <c r="G9" s="141">
        <f t="shared" ca="1" si="1"/>
        <v>11</v>
      </c>
      <c r="H9" s="30">
        <f ca="1">VLOOKUP(A9,Rankings!B1:H651,7,FALSE)+(RAND()*0.00001)</f>
        <v>3.6561621473330317</v>
      </c>
      <c r="I9" s="30">
        <f ca="1">H9-VLOOKUP(Settings!$K$2,G$2:H$45,2,FALSE)</f>
        <v>1.0766276780401731</v>
      </c>
    </row>
    <row r="10" spans="1:9" ht="18.600000000000001" customHeight="1">
      <c r="A10" s="25" t="s">
        <v>262</v>
      </c>
      <c r="B10" s="26" t="s">
        <v>119</v>
      </c>
      <c r="C10" s="120" t="s">
        <v>7</v>
      </c>
      <c r="D10" s="141">
        <f t="shared" ca="1" si="0"/>
        <v>10</v>
      </c>
      <c r="E10" s="30">
        <f ca="1">VLOOKUP(A10,Rankings!B1:H651,6,FALSE)+(RAND()*0.00001)</f>
        <v>461.30000560413475</v>
      </c>
      <c r="F10" s="30">
        <f ca="1">E10-VLOOKUP(Settings!$K$2,D$2:E$45,2,FALSE)</f>
        <v>42.400002089837699</v>
      </c>
      <c r="G10" s="141">
        <f t="shared" ca="1" si="1"/>
        <v>10</v>
      </c>
      <c r="H10" s="30">
        <f ca="1">VLOOKUP(A10,Rankings!B1:H651,7,FALSE)+(RAND()*0.00001)</f>
        <v>3.7790983975443471</v>
      </c>
      <c r="I10" s="30">
        <f ca="1">H10-VLOOKUP(Settings!$K$2,G$2:H$45,2,FALSE)</f>
        <v>1.1995639282514885</v>
      </c>
    </row>
    <row r="11" spans="1:9" ht="18.600000000000001" customHeight="1">
      <c r="A11" s="25" t="s">
        <v>229</v>
      </c>
      <c r="B11" s="26" t="s">
        <v>178</v>
      </c>
      <c r="C11" s="120" t="s">
        <v>7</v>
      </c>
      <c r="D11" s="141">
        <f t="shared" ca="1" si="0"/>
        <v>11</v>
      </c>
      <c r="E11" s="30">
        <f ca="1">VLOOKUP(A11,Rankings!B1:H651,6,FALSE)+(RAND()*0.00001)</f>
        <v>456.95000556466624</v>
      </c>
      <c r="F11" s="30">
        <f ca="1">E11-VLOOKUP(Settings!$K$2,D$2:E$45,2,FALSE)</f>
        <v>38.050002050369187</v>
      </c>
      <c r="G11" s="141">
        <f t="shared" ca="1" si="1"/>
        <v>8</v>
      </c>
      <c r="H11" s="30">
        <f ca="1">VLOOKUP(A11,Rankings!B1:H651,7,FALSE)+(RAND()*0.00001)</f>
        <v>4.5280364025008728</v>
      </c>
      <c r="I11" s="30">
        <f ca="1">H11-VLOOKUP(Settings!$K$2,G$2:H$45,2,FALSE)</f>
        <v>1.9485019332080142</v>
      </c>
    </row>
    <row r="12" spans="1:9" ht="18.600000000000001" customHeight="1">
      <c r="A12" s="25" t="s">
        <v>235</v>
      </c>
      <c r="B12" s="26" t="s">
        <v>87</v>
      </c>
      <c r="C12" s="120" t="s">
        <v>7</v>
      </c>
      <c r="D12" s="141">
        <f t="shared" ca="1" si="0"/>
        <v>12</v>
      </c>
      <c r="E12" s="30">
        <f ca="1">VLOOKUP(A12,Rankings!B1:H651,6,FALSE)+(RAND()*0.00001)</f>
        <v>446.35000757429231</v>
      </c>
      <c r="F12" s="30">
        <f ca="1">E12-VLOOKUP(Settings!$K$2,D$2:E$45,2,FALSE)</f>
        <v>27.450004059995251</v>
      </c>
      <c r="G12" s="141">
        <f t="shared" ca="1" si="1"/>
        <v>9</v>
      </c>
      <c r="H12" s="30">
        <f ca="1">VLOOKUP(A12,Rankings!B1:H651,7,FALSE)+(RAND()*0.00001)</f>
        <v>4.435450659038624</v>
      </c>
      <c r="I12" s="30">
        <f ca="1">H12-VLOOKUP(Settings!$K$2,G$2:H$45,2,FALSE)</f>
        <v>1.8559161897457654</v>
      </c>
    </row>
    <row r="13" spans="1:9" ht="18.600000000000001" customHeight="1">
      <c r="A13" s="25" t="s">
        <v>321</v>
      </c>
      <c r="B13" s="26" t="s">
        <v>77</v>
      </c>
      <c r="C13" s="120" t="s">
        <v>7</v>
      </c>
      <c r="D13" s="141">
        <f t="shared" ca="1" si="0"/>
        <v>13</v>
      </c>
      <c r="E13" s="30">
        <f ca="1">VLOOKUP(A13,Rankings!B1:H651,6,FALSE)+(RAND()*0.00001)</f>
        <v>444.30000024540647</v>
      </c>
      <c r="F13" s="30">
        <f ca="1">E13-VLOOKUP(Settings!$K$2,D$2:E$45,2,FALSE)</f>
        <v>25.399996731109411</v>
      </c>
      <c r="G13" s="141">
        <f t="shared" ca="1" si="1"/>
        <v>17</v>
      </c>
      <c r="H13" s="30">
        <f ca="1">VLOOKUP(A13,Rankings!B1:H651,7,FALSE)+(RAND()*0.00001)</f>
        <v>2.7675210898780693</v>
      </c>
      <c r="I13" s="30">
        <f ca="1">H13-VLOOKUP(Settings!$K$2,G$2:H$45,2,FALSE)</f>
        <v>0.18798662058521076</v>
      </c>
    </row>
    <row r="14" spans="1:9" ht="18.600000000000001" customHeight="1">
      <c r="A14" s="25" t="s">
        <v>286</v>
      </c>
      <c r="B14" s="26" t="s">
        <v>69</v>
      </c>
      <c r="C14" s="120" t="s">
        <v>7</v>
      </c>
      <c r="D14" s="141">
        <f t="shared" ca="1" si="0"/>
        <v>14</v>
      </c>
      <c r="E14" s="30">
        <f ca="1">VLOOKUP(A14,Rankings!B1:H651,6,FALSE)+(RAND()*0.00001)</f>
        <v>440.03334331700012</v>
      </c>
      <c r="F14" s="30">
        <f ca="1">E14-VLOOKUP(Settings!$K$2,D$2:E$45,2,FALSE)</f>
        <v>21.133339802703063</v>
      </c>
      <c r="G14" s="141">
        <f t="shared" ca="1" si="1"/>
        <v>14</v>
      </c>
      <c r="H14" s="30">
        <f ca="1">VLOOKUP(A14,Rankings!B1:H651,7,FALSE)+(RAND()*0.00001)</f>
        <v>3.279463207352002</v>
      </c>
      <c r="I14" s="30">
        <f ca="1">H14-VLOOKUP(Settings!$K$2,G$2:H$45,2,FALSE)</f>
        <v>0.69992873805914346</v>
      </c>
    </row>
    <row r="15" spans="1:9" ht="18.600000000000001" customHeight="1">
      <c r="A15" s="25" t="s">
        <v>369</v>
      </c>
      <c r="B15" s="26" t="s">
        <v>82</v>
      </c>
      <c r="C15" s="120" t="s">
        <v>7</v>
      </c>
      <c r="D15" s="141">
        <f t="shared" ca="1" si="0"/>
        <v>15</v>
      </c>
      <c r="E15" s="30">
        <f ca="1">VLOOKUP(A15,Rankings!B1:H651,6,FALSE)+(RAND()*0.00001)</f>
        <v>435.88333363064316</v>
      </c>
      <c r="F15" s="30">
        <f ca="1">E15-VLOOKUP(Settings!$K$2,D$2:E$45,2,FALSE)</f>
        <v>16.98333011634611</v>
      </c>
      <c r="G15" s="141">
        <f t="shared" ca="1" si="1"/>
        <v>22</v>
      </c>
      <c r="H15" s="30">
        <f ca="1">VLOOKUP(A15,Rankings!B1:H651,7,FALSE)+(RAND()*0.00001)</f>
        <v>2.0070347130931756</v>
      </c>
      <c r="I15" s="30">
        <f ca="1">H15-VLOOKUP(Settings!$K$2,G$2:H$45,2,FALSE)</f>
        <v>-0.57249975619968296</v>
      </c>
    </row>
    <row r="16" spans="1:9" ht="20.100000000000001" customHeight="1">
      <c r="A16" s="25" t="s">
        <v>287</v>
      </c>
      <c r="B16" s="26" t="s">
        <v>72</v>
      </c>
      <c r="C16" s="120" t="s">
        <v>7</v>
      </c>
      <c r="D16" s="141">
        <f t="shared" ca="1" si="0"/>
        <v>16</v>
      </c>
      <c r="E16" s="30">
        <f ca="1">VLOOKUP(A16,Rankings!B1:H651,6,FALSE)+(RAND()*0.00001)</f>
        <v>431.70000506559251</v>
      </c>
      <c r="F16" s="30">
        <f ca="1">E16-VLOOKUP(Settings!$K$2,D$2:E$45,2,FALSE)</f>
        <v>12.800001551295452</v>
      </c>
      <c r="G16" s="141">
        <f t="shared" ca="1" si="1"/>
        <v>15</v>
      </c>
      <c r="H16" s="30">
        <f ca="1">VLOOKUP(A16,Rankings!B1:H651,7,FALSE)+(RAND()*0.00001)</f>
        <v>3.2727194300947287</v>
      </c>
      <c r="I16" s="30">
        <f ca="1">H16-VLOOKUP(Settings!$K$2,G$2:H$45,2,FALSE)</f>
        <v>0.69318496080187009</v>
      </c>
    </row>
    <row r="17" spans="1:9" ht="18.600000000000001" customHeight="1">
      <c r="A17" s="25" t="s">
        <v>315</v>
      </c>
      <c r="B17" s="26" t="s">
        <v>82</v>
      </c>
      <c r="C17" s="125" t="s">
        <v>114</v>
      </c>
      <c r="D17" s="141">
        <f t="shared" ca="1" si="0"/>
        <v>17</v>
      </c>
      <c r="E17" s="30">
        <f ca="1">VLOOKUP(A17,Rankings!B1:H651,6,FALSE)+(RAND()*0.00001)</f>
        <v>426.31667419142343</v>
      </c>
      <c r="F17" s="30">
        <f ca="1">E17-VLOOKUP(Settings!$K$2,D$2:E$45,2,FALSE)</f>
        <v>7.4166706771263762</v>
      </c>
      <c r="G17" s="141">
        <f t="shared" ca="1" si="1"/>
        <v>16</v>
      </c>
      <c r="H17" s="30">
        <f ca="1">VLOOKUP(A17,Rankings!B1:H651,7,FALSE)+(RAND()*0.00001)</f>
        <v>2.8019426004505079</v>
      </c>
      <c r="I17" s="30">
        <f ca="1">H17-VLOOKUP(Settings!$K$2,G$2:H$45,2,FALSE)</f>
        <v>0.22240813115764935</v>
      </c>
    </row>
    <row r="18" spans="1:9" ht="18.600000000000001" customHeight="1">
      <c r="A18" s="25" t="s">
        <v>331</v>
      </c>
      <c r="B18" s="26" t="s">
        <v>116</v>
      </c>
      <c r="C18" s="120" t="s">
        <v>7</v>
      </c>
      <c r="D18" s="141">
        <f t="shared" ca="1" si="0"/>
        <v>18</v>
      </c>
      <c r="E18" s="30">
        <f ca="1">VLOOKUP(A18,Rankings!B1:H651,6,FALSE)+(RAND()*0.00001)</f>
        <v>418.90000351429705</v>
      </c>
      <c r="F18" s="30">
        <f ca="1">E18-VLOOKUP(Settings!$K$2,D$2:E$45,2,FALSE)</f>
        <v>0</v>
      </c>
      <c r="G18" s="141">
        <f t="shared" ca="1" si="1"/>
        <v>18</v>
      </c>
      <c r="H18" s="30">
        <f ca="1">VLOOKUP(A18,Rankings!B1:H651,7,FALSE)+(RAND()*0.00001)</f>
        <v>2.5795344692928586</v>
      </c>
      <c r="I18" s="30">
        <f ca="1">H18-VLOOKUP(Settings!$K$2,G$2:H$45,2,FALSE)</f>
        <v>0</v>
      </c>
    </row>
    <row r="19" spans="1:9" ht="18.600000000000001" customHeight="1">
      <c r="A19" s="25" t="s">
        <v>274</v>
      </c>
      <c r="B19" s="26" t="s">
        <v>101</v>
      </c>
      <c r="C19" s="120" t="s">
        <v>7</v>
      </c>
      <c r="D19" s="141">
        <f t="shared" ca="1" si="0"/>
        <v>19</v>
      </c>
      <c r="E19" s="30">
        <f ca="1">VLOOKUP(A19,Rankings!B1:H651,6,FALSE)+(RAND()*0.00001)</f>
        <v>417.58333427275215</v>
      </c>
      <c r="F19" s="30">
        <f ca="1">E19-VLOOKUP(Settings!$K$2,D$2:E$45,2,FALSE)</f>
        <v>-1.3166692415449006</v>
      </c>
      <c r="G19" s="141">
        <f t="shared" ca="1" si="1"/>
        <v>13</v>
      </c>
      <c r="H19" s="30">
        <f ca="1">VLOOKUP(A19,Rankings!B1:H651,7,FALSE)+(RAND()*0.00001)</f>
        <v>3.5366871674044185</v>
      </c>
      <c r="I19" s="30">
        <f ca="1">H19-VLOOKUP(Settings!$K$2,G$2:H$45,2,FALSE)</f>
        <v>0.9571526981115599</v>
      </c>
    </row>
    <row r="20" spans="1:9" ht="18.600000000000001" customHeight="1">
      <c r="A20" s="25" t="s">
        <v>84</v>
      </c>
      <c r="B20" s="26" t="s">
        <v>85</v>
      </c>
      <c r="C20" s="125" t="s">
        <v>114</v>
      </c>
      <c r="D20" s="141">
        <f t="shared" ca="1" si="0"/>
        <v>3</v>
      </c>
      <c r="E20" s="30">
        <f ca="1">VLOOKUP(A20,Rankings!B1:H651,6,FALSE)+(RAND()*0.00001)</f>
        <v>561.00000063507468</v>
      </c>
      <c r="F20" s="30">
        <f ca="1">E20-VLOOKUP(Settings!$K$2,D$2:E$45,2,FALSE)</f>
        <v>142.09999712077763</v>
      </c>
      <c r="G20" s="141">
        <f t="shared" ca="1" si="1"/>
        <v>3</v>
      </c>
      <c r="H20" s="30">
        <f ca="1">VLOOKUP(A20,Rankings!B1:H651,7,FALSE)+(RAND()*0.00001)</f>
        <v>8.4858492051482042</v>
      </c>
      <c r="I20" s="30">
        <f ca="1">H20-VLOOKUP(Settings!$K$2,G$2:H$45,2,FALSE)</f>
        <v>5.9063147358553456</v>
      </c>
    </row>
    <row r="21" spans="1:9" ht="20.100000000000001" customHeight="1">
      <c r="A21" s="25" t="s">
        <v>343</v>
      </c>
      <c r="B21" s="26" t="s">
        <v>99</v>
      </c>
      <c r="C21" s="120" t="s">
        <v>7</v>
      </c>
      <c r="D21" s="141">
        <f t="shared" ca="1" si="0"/>
        <v>20</v>
      </c>
      <c r="E21" s="30">
        <f ca="1">VLOOKUP(A21,Rankings!B1:H651,6,FALSE)+(RAND()*0.00001)</f>
        <v>411.3833380936544</v>
      </c>
      <c r="F21" s="30">
        <f ca="1">E21-VLOOKUP(Settings!$K$2,D$2:E$45,2,FALSE)</f>
        <v>-7.5166654206426529</v>
      </c>
      <c r="G21" s="141">
        <f t="shared" ca="1" si="1"/>
        <v>20</v>
      </c>
      <c r="H21" s="30">
        <f ca="1">VLOOKUP(A21,Rankings!B1:H651,7,FALSE)+(RAND()*0.00001)</f>
        <v>2.4821514496197308</v>
      </c>
      <c r="I21" s="30">
        <f ca="1">H21-VLOOKUP(Settings!$K$2,G$2:H$45,2,FALSE)</f>
        <v>-9.7383019673127791E-2</v>
      </c>
    </row>
    <row r="22" spans="1:9" ht="20.100000000000001" customHeight="1">
      <c r="A22" s="25" t="s">
        <v>342</v>
      </c>
      <c r="B22" s="26" t="s">
        <v>77</v>
      </c>
      <c r="C22" s="120" t="s">
        <v>7</v>
      </c>
      <c r="D22" s="141">
        <f t="shared" ca="1" si="0"/>
        <v>21</v>
      </c>
      <c r="E22" s="30">
        <f ca="1">VLOOKUP(A22,Rankings!B1:H651,6,FALSE)+(RAND()*0.00001)</f>
        <v>399.18333378561937</v>
      </c>
      <c r="F22" s="30">
        <f ca="1">E22-VLOOKUP(Settings!$K$2,D$2:E$45,2,FALSE)</f>
        <v>-19.716669728677687</v>
      </c>
      <c r="G22" s="141">
        <f t="shared" ca="1" si="1"/>
        <v>19</v>
      </c>
      <c r="H22" s="30">
        <f ca="1">VLOOKUP(A22,Rankings!B1:H651,7,FALSE)+(RAND()*0.00001)</f>
        <v>2.4971433374073642</v>
      </c>
      <c r="I22" s="30">
        <f ca="1">H22-VLOOKUP(Settings!$K$2,G$2:H$45,2,FALSE)</f>
        <v>-8.2391131885494406E-2</v>
      </c>
    </row>
    <row r="23" spans="1:9" ht="18.600000000000001" customHeight="1">
      <c r="A23" s="25" t="s">
        <v>368</v>
      </c>
      <c r="B23" s="26" t="s">
        <v>158</v>
      </c>
      <c r="C23" s="120" t="s">
        <v>7</v>
      </c>
      <c r="D23" s="141">
        <f t="shared" ca="1" si="0"/>
        <v>22</v>
      </c>
      <c r="E23" s="30">
        <f ca="1">VLOOKUP(A23,Rankings!B1:H651,6,FALSE)+(RAND()*0.00001)</f>
        <v>382.58333971429943</v>
      </c>
      <c r="F23" s="30">
        <f ca="1">E23-VLOOKUP(Settings!$K$2,D$2:E$45,2,FALSE)</f>
        <v>-36.316663799997627</v>
      </c>
      <c r="G23" s="141">
        <f t="shared" ca="1" si="1"/>
        <v>21</v>
      </c>
      <c r="H23" s="30">
        <f ca="1">VLOOKUP(A23,Rankings!B1:H651,7,FALSE)+(RAND()*0.00001)</f>
        <v>2.008229989065307</v>
      </c>
      <c r="I23" s="30">
        <f ca="1">H23-VLOOKUP(Settings!$K$2,G$2:H$45,2,FALSE)</f>
        <v>-0.57130448022755154</v>
      </c>
    </row>
    <row r="24" spans="1:9" ht="18.600000000000001" customHeight="1">
      <c r="A24" s="25" t="s">
        <v>374</v>
      </c>
      <c r="B24" s="26" t="s">
        <v>82</v>
      </c>
      <c r="C24" s="120" t="s">
        <v>7</v>
      </c>
      <c r="D24" s="141">
        <f t="shared" ca="1" si="0"/>
        <v>23</v>
      </c>
      <c r="E24" s="30">
        <f ca="1">VLOOKUP(A24,Rankings!B1:H651,6,FALSE)+(RAND()*0.00001)</f>
        <v>374.13334181575675</v>
      </c>
      <c r="F24" s="30">
        <f ca="1">E24-VLOOKUP(Settings!$K$2,D$2:E$45,2,FALSE)</f>
        <v>-44.766661698540304</v>
      </c>
      <c r="G24" s="141">
        <f t="shared" ca="1" si="1"/>
        <v>24</v>
      </c>
      <c r="H24" s="30">
        <f ca="1">VLOOKUP(A24,Rankings!B1:H651,7,FALSE)+(RAND()*0.00001)</f>
        <v>1.9523980816504882</v>
      </c>
      <c r="I24" s="30">
        <f ca="1">H24-VLOOKUP(Settings!$K$2,G$2:H$45,2,FALSE)</f>
        <v>-0.62713638764237034</v>
      </c>
    </row>
    <row r="25" spans="1:9" ht="18.600000000000001" customHeight="1">
      <c r="A25" s="25" t="s">
        <v>379</v>
      </c>
      <c r="B25" s="26" t="s">
        <v>225</v>
      </c>
      <c r="C25" s="120" t="s">
        <v>7</v>
      </c>
      <c r="D25" s="141">
        <f t="shared" ca="1" si="0"/>
        <v>24</v>
      </c>
      <c r="E25" s="30">
        <f ca="1">VLOOKUP(A25,Rankings!B1:H651,6,FALSE)+(RAND()*0.00001)</f>
        <v>361.66667222392698</v>
      </c>
      <c r="F25" s="30">
        <f ca="1">E25-VLOOKUP(Settings!$K$2,D$2:E$45,2,FALSE)</f>
        <v>-57.233331290370074</v>
      </c>
      <c r="G25" s="141">
        <f t="shared" ca="1" si="1"/>
        <v>25</v>
      </c>
      <c r="H25" s="30">
        <f ca="1">VLOOKUP(A25,Rankings!B1:H651,7,FALSE)+(RAND()*0.00001)</f>
        <v>1.8806679649111608</v>
      </c>
      <c r="I25" s="30">
        <f ca="1">H25-VLOOKUP(Settings!$K$2,G$2:H$45,2,FALSE)</f>
        <v>-0.69886650438169773</v>
      </c>
    </row>
    <row r="26" spans="1:9" ht="18.600000000000001" customHeight="1">
      <c r="A26" s="25" t="s">
        <v>593</v>
      </c>
      <c r="B26" s="26" t="s">
        <v>139</v>
      </c>
      <c r="C26" s="120" t="s">
        <v>7</v>
      </c>
      <c r="D26" s="141">
        <f t="shared" ca="1" si="0"/>
        <v>25</v>
      </c>
      <c r="E26" s="30">
        <f ca="1">VLOOKUP(A26,Rankings!B1:H651,6,FALSE)+(RAND()*0.00001)</f>
        <v>358.03333892278914</v>
      </c>
      <c r="F26" s="30">
        <f ca="1">E26-VLOOKUP(Settings!$K$2,D$2:E$45,2,FALSE)</f>
        <v>-60.866664591507913</v>
      </c>
      <c r="G26" s="141">
        <f t="shared" ca="1" si="1"/>
        <v>37</v>
      </c>
      <c r="H26" s="30">
        <f ca="1">VLOOKUP(A26,Rankings!B1:H651,7,FALSE)+(RAND()*0.00001)</f>
        <v>-0.95040684186863911</v>
      </c>
      <c r="I26" s="30">
        <f ca="1">H26-VLOOKUP(Settings!$K$2,G$2:H$45,2,FALSE)</f>
        <v>-3.5299413111614975</v>
      </c>
    </row>
    <row r="27" spans="1:9" ht="18.600000000000001" customHeight="1">
      <c r="A27" s="25" t="s">
        <v>478</v>
      </c>
      <c r="B27" s="26" t="s">
        <v>105</v>
      </c>
      <c r="C27" s="120" t="s">
        <v>7</v>
      </c>
      <c r="D27" s="141">
        <f t="shared" ca="1" si="0"/>
        <v>26</v>
      </c>
      <c r="E27" s="30">
        <f ca="1">VLOOKUP(A27,Rankings!B1:H651,6,FALSE)+(RAND()*0.00001)</f>
        <v>351.16666865989947</v>
      </c>
      <c r="F27" s="30">
        <f ca="1">E27-VLOOKUP(Settings!$K$2,D$2:E$45,2,FALSE)</f>
        <v>-67.733334854397583</v>
      </c>
      <c r="G27" s="141">
        <f t="shared" ca="1" si="1"/>
        <v>29</v>
      </c>
      <c r="H27" s="30">
        <f ca="1">VLOOKUP(A27,Rankings!B1:H651,7,FALSE)+(RAND()*0.00001)</f>
        <v>0.38922295309197502</v>
      </c>
      <c r="I27" s="30">
        <f ca="1">H27-VLOOKUP(Settings!$K$2,G$2:H$45,2,FALSE)</f>
        <v>-2.1903115162008837</v>
      </c>
    </row>
    <row r="28" spans="1:9" ht="18.600000000000001" customHeight="1">
      <c r="A28" s="25" t="s">
        <v>495</v>
      </c>
      <c r="B28" s="26" t="s">
        <v>219</v>
      </c>
      <c r="C28" s="120" t="s">
        <v>7</v>
      </c>
      <c r="D28" s="141">
        <f t="shared" ca="1" si="0"/>
        <v>27</v>
      </c>
      <c r="E28" s="30">
        <f ca="1">VLOOKUP(A28,Rankings!B1:H651,6,FALSE)+(RAND()*0.00001)</f>
        <v>344.60000102978319</v>
      </c>
      <c r="F28" s="30">
        <f ca="1">E28-VLOOKUP(Settings!$K$2,D$2:E$45,2,FALSE)</f>
        <v>-74.300002484513868</v>
      </c>
      <c r="G28" s="141">
        <f t="shared" ca="1" si="1"/>
        <v>31</v>
      </c>
      <c r="H28" s="30">
        <f ca="1">VLOOKUP(A28,Rankings!B1:H651,7,FALSE)+(RAND()*0.00001)</f>
        <v>0.17905776974552523</v>
      </c>
      <c r="I28" s="30">
        <f ca="1">H28-VLOOKUP(Settings!$K$2,G$2:H$45,2,FALSE)</f>
        <v>-2.4004766995473332</v>
      </c>
    </row>
    <row r="29" spans="1:9" ht="20.100000000000001" customHeight="1">
      <c r="A29" s="25" t="s">
        <v>525</v>
      </c>
      <c r="B29" s="26" t="s">
        <v>103</v>
      </c>
      <c r="C29" s="120" t="s">
        <v>7</v>
      </c>
      <c r="D29" s="141">
        <f t="shared" ca="1" si="0"/>
        <v>28</v>
      </c>
      <c r="E29" s="30">
        <f ca="1">VLOOKUP(A29,Rankings!B1:H651,6,FALSE)+(RAND()*0.00001)</f>
        <v>338.60000803618829</v>
      </c>
      <c r="F29" s="30">
        <f ca="1">E29-VLOOKUP(Settings!$K$2,D$2:E$45,2,FALSE)</f>
        <v>-80.299995478108769</v>
      </c>
      <c r="G29" s="141">
        <f t="shared" ca="1" si="1"/>
        <v>34</v>
      </c>
      <c r="H29" s="30">
        <f ca="1">VLOOKUP(A29,Rankings!B1:H651,7,FALSE)+(RAND()*0.00001)</f>
        <v>-0.18983043266790195</v>
      </c>
      <c r="I29" s="30">
        <f ca="1">H29-VLOOKUP(Settings!$K$2,G$2:H$45,2,FALSE)</f>
        <v>-2.7693649019607607</v>
      </c>
    </row>
    <row r="30" spans="1:9" ht="18.600000000000001" customHeight="1">
      <c r="A30" s="25" t="s">
        <v>440</v>
      </c>
      <c r="B30" s="26" t="s">
        <v>85</v>
      </c>
      <c r="C30" s="120" t="s">
        <v>7</v>
      </c>
      <c r="D30" s="141">
        <f t="shared" ca="1" si="0"/>
        <v>29</v>
      </c>
      <c r="E30" s="30">
        <f ca="1">VLOOKUP(A30,Rankings!B1:H651,6,FALSE)+(RAND()*0.00001)</f>
        <v>333.66667197211513</v>
      </c>
      <c r="F30" s="30">
        <f ca="1">E30-VLOOKUP(Settings!$K$2,D$2:E$45,2,FALSE)</f>
        <v>-85.233331542181929</v>
      </c>
      <c r="G30" s="141">
        <f t="shared" ca="1" si="1"/>
        <v>27</v>
      </c>
      <c r="H30" s="30">
        <f ca="1">VLOOKUP(A30,Rankings!B1:H651,7,FALSE)+(RAND()*0.00001)</f>
        <v>0.81580850965271656</v>
      </c>
      <c r="I30" s="30">
        <f ca="1">H30-VLOOKUP(Settings!$K$2,G$2:H$45,2,FALSE)</f>
        <v>-1.763725959640142</v>
      </c>
    </row>
    <row r="31" spans="1:9" ht="18.600000000000001" customHeight="1">
      <c r="A31" s="25" t="s">
        <v>473</v>
      </c>
      <c r="B31" s="26" t="s">
        <v>142</v>
      </c>
      <c r="C31" s="120" t="s">
        <v>7</v>
      </c>
      <c r="D31" s="141">
        <f t="shared" ca="1" si="0"/>
        <v>30</v>
      </c>
      <c r="E31" s="30">
        <f ca="1">VLOOKUP(A31,Rankings!B1:H651,6,FALSE)+(RAND()*0.00001)</f>
        <v>331.71667562053165</v>
      </c>
      <c r="F31" s="30">
        <f ca="1">E31-VLOOKUP(Settings!$K$2,D$2:E$45,2,FALSE)</f>
        <v>-87.183327893765409</v>
      </c>
      <c r="G31" s="141">
        <f t="shared" ca="1" si="1"/>
        <v>28</v>
      </c>
      <c r="H31" s="30">
        <f ca="1">VLOOKUP(A31,Rankings!B1:H651,7,FALSE)+(RAND()*0.00001)</f>
        <v>0.42766605324692725</v>
      </c>
      <c r="I31" s="30">
        <f ca="1">H31-VLOOKUP(Settings!$K$2,G$2:H$45,2,FALSE)</f>
        <v>-2.1518684160459314</v>
      </c>
    </row>
    <row r="32" spans="1:9" ht="18.600000000000001" customHeight="1">
      <c r="A32" s="25" t="s">
        <v>619</v>
      </c>
      <c r="B32" s="26" t="s">
        <v>260</v>
      </c>
      <c r="C32" s="120" t="s">
        <v>7</v>
      </c>
      <c r="D32" s="141">
        <f t="shared" ca="1" si="0"/>
        <v>31</v>
      </c>
      <c r="E32" s="30">
        <f ca="1">VLOOKUP(A32,Rankings!B1:H651,6,FALSE)+(RAND()*0.00001)</f>
        <v>330.86867023201324</v>
      </c>
      <c r="F32" s="30">
        <f ca="1">E32-VLOOKUP(Settings!$K$2,D$2:E$45,2,FALSE)</f>
        <v>-88.031333282283811</v>
      </c>
      <c r="G32" s="141">
        <f t="shared" ca="1" si="1"/>
        <v>39</v>
      </c>
      <c r="H32" s="30">
        <f ca="1">VLOOKUP(A32,Rankings!B1:H651,7,FALSE)+(RAND()*0.00001)</f>
        <v>-1.2445281286553864</v>
      </c>
      <c r="I32" s="30">
        <f ca="1">H32-VLOOKUP(Settings!$K$2,G$2:H$45,2,FALSE)</f>
        <v>-3.8240625979482452</v>
      </c>
    </row>
    <row r="33" spans="1:9" ht="18.600000000000001" customHeight="1">
      <c r="A33" s="25" t="s">
        <v>490</v>
      </c>
      <c r="B33" s="26" t="s">
        <v>160</v>
      </c>
      <c r="C33" s="120" t="s">
        <v>7</v>
      </c>
      <c r="D33" s="141">
        <f t="shared" ca="1" si="0"/>
        <v>32</v>
      </c>
      <c r="E33" s="30">
        <f ca="1">VLOOKUP(A33,Rankings!B1:H651,6,FALSE)+(RAND()*0.00001)</f>
        <v>330.50000550599793</v>
      </c>
      <c r="F33" s="30">
        <f ca="1">E33-VLOOKUP(Settings!$K$2,D$2:E$45,2,FALSE)</f>
        <v>-88.399998008299121</v>
      </c>
      <c r="G33" s="141">
        <f t="shared" ca="1" si="1"/>
        <v>30</v>
      </c>
      <c r="H33" s="30">
        <f ca="1">VLOOKUP(A33,Rankings!B1:H651,7,FALSE)+(RAND()*0.00001)</f>
        <v>0.24146461976586703</v>
      </c>
      <c r="I33" s="30">
        <f ca="1">H33-VLOOKUP(Settings!$K$2,G$2:H$45,2,FALSE)</f>
        <v>-2.3380698495269914</v>
      </c>
    </row>
    <row r="34" spans="1:9" ht="20.100000000000001" customHeight="1">
      <c r="A34" s="25" t="s">
        <v>402</v>
      </c>
      <c r="B34" s="26" t="s">
        <v>309</v>
      </c>
      <c r="C34" s="120" t="s">
        <v>7</v>
      </c>
      <c r="D34" s="141">
        <f t="shared" ref="D34:D63" ca="1" si="2">RANK(E34,E$2:E$63)</f>
        <v>33</v>
      </c>
      <c r="E34" s="30">
        <f ca="1">VLOOKUP(A34,Rankings!B1:H651,6,FALSE)+(RAND()*0.00001)</f>
        <v>328.66667316028003</v>
      </c>
      <c r="F34" s="30">
        <f ca="1">E34-VLOOKUP(Settings!$K$2,D$2:E$45,2,FALSE)</f>
        <v>-90.233330354017028</v>
      </c>
      <c r="G34" s="141">
        <f t="shared" ref="G34:G63" ca="1" si="3">RANK(H34,H$2:H$63)</f>
        <v>26</v>
      </c>
      <c r="H34" s="30">
        <f ca="1">VLOOKUP(A34,Rankings!B1:H651,7,FALSE)+(RAND()*0.00001)</f>
        <v>1.6040025734708532</v>
      </c>
      <c r="I34" s="30">
        <f ca="1">H34-VLOOKUP(Settings!$K$2,G$2:H$45,2,FALSE)</f>
        <v>-0.97553189582200539</v>
      </c>
    </row>
    <row r="35" spans="1:9" ht="20.100000000000001" customHeight="1">
      <c r="A35" s="25" t="s">
        <v>505</v>
      </c>
      <c r="B35" s="26" t="s">
        <v>136</v>
      </c>
      <c r="C35" s="120" t="s">
        <v>7</v>
      </c>
      <c r="D35" s="141">
        <f t="shared" ca="1" si="2"/>
        <v>34</v>
      </c>
      <c r="E35" s="30">
        <f ca="1">VLOOKUP(A35,Rankings!B1:H651,6,FALSE)+(RAND()*0.00001)</f>
        <v>319.2333401304424</v>
      </c>
      <c r="F35" s="30">
        <f ca="1">E35-VLOOKUP(Settings!$K$2,D$2:E$45,2,FALSE)</f>
        <v>-99.666663383854655</v>
      </c>
      <c r="G35" s="141">
        <f t="shared" ca="1" si="3"/>
        <v>32</v>
      </c>
      <c r="H35" s="30">
        <f ca="1">VLOOKUP(A35,Rankings!B1:H651,7,FALSE)+(RAND()*0.00001)</f>
        <v>5.0388413388732636E-2</v>
      </c>
      <c r="I35" s="30">
        <f ca="1">H35-VLOOKUP(Settings!$K$2,G$2:H$45,2,FALSE)</f>
        <v>-2.5291460559041261</v>
      </c>
    </row>
    <row r="36" spans="1:9" ht="18.600000000000001" customHeight="1">
      <c r="A36" s="25" t="s">
        <v>370</v>
      </c>
      <c r="B36" s="26" t="s">
        <v>92</v>
      </c>
      <c r="C36" s="125" t="s">
        <v>114</v>
      </c>
      <c r="D36" s="141">
        <f t="shared" ca="1" si="2"/>
        <v>35</v>
      </c>
      <c r="E36" s="30">
        <f ca="1">VLOOKUP(A36,Rankings!B1:H651,6,FALSE)+(RAND()*0.00001)</f>
        <v>314.9333406550233</v>
      </c>
      <c r="F36" s="30">
        <f ca="1">E36-VLOOKUP(Settings!$K$2,D$2:E$45,2,FALSE)</f>
        <v>-103.96666285927375</v>
      </c>
      <c r="G36" s="141">
        <f t="shared" ca="1" si="3"/>
        <v>23</v>
      </c>
      <c r="H36" s="30">
        <f ca="1">VLOOKUP(A36,Rankings!B1:H651,7,FALSE)+(RAND()*0.00001)</f>
        <v>2.0064660590663159</v>
      </c>
      <c r="I36" s="30">
        <f ca="1">H36-VLOOKUP(Settings!$K$2,G$2:H$45,2,FALSE)</f>
        <v>-0.57306841022654265</v>
      </c>
    </row>
    <row r="37" spans="1:9" ht="18.600000000000001" customHeight="1">
      <c r="A37" s="25" t="s">
        <v>610</v>
      </c>
      <c r="B37" s="26" t="s">
        <v>225</v>
      </c>
      <c r="C37" s="120" t="s">
        <v>7</v>
      </c>
      <c r="D37" s="141">
        <f t="shared" ca="1" si="2"/>
        <v>36</v>
      </c>
      <c r="E37" s="30">
        <f ca="1">VLOOKUP(A37,Rankings!B1:H651,6,FALSE)+(RAND()*0.00001)</f>
        <v>302.06666793097605</v>
      </c>
      <c r="F37" s="30">
        <f ca="1">E37-VLOOKUP(Settings!$K$2,D$2:E$45,2,FALSE)</f>
        <v>-116.833335583321</v>
      </c>
      <c r="G37" s="141">
        <f t="shared" ca="1" si="3"/>
        <v>38</v>
      </c>
      <c r="H37" s="30">
        <f ca="1">VLOOKUP(A37,Rankings!B1:H651,7,FALSE)+(RAND()*0.00001)</f>
        <v>-1.1760862119465312</v>
      </c>
      <c r="I37" s="30">
        <f ca="1">H37-VLOOKUP(Settings!$K$2,G$2:H$45,2,FALSE)</f>
        <v>-3.7556206812393897</v>
      </c>
    </row>
    <row r="38" spans="1:9" ht="18.600000000000001" customHeight="1">
      <c r="A38" s="25" t="s">
        <v>513</v>
      </c>
      <c r="B38" s="26" t="s">
        <v>160</v>
      </c>
      <c r="C38" s="120" t="s">
        <v>7</v>
      </c>
      <c r="D38" s="141">
        <f t="shared" ca="1" si="2"/>
        <v>37</v>
      </c>
      <c r="E38" s="30">
        <f ca="1">VLOOKUP(A38,Rankings!B1:H651,6,FALSE)+(RAND()*0.00001)</f>
        <v>287.53333610503608</v>
      </c>
      <c r="F38" s="30">
        <f ca="1">E38-VLOOKUP(Settings!$K$2,D$2:E$45,2,FALSE)</f>
        <v>-131.36666740926097</v>
      </c>
      <c r="G38" s="141">
        <f t="shared" ca="1" si="3"/>
        <v>33</v>
      </c>
      <c r="H38" s="30">
        <f ca="1">VLOOKUP(A38,Rankings!B1:H651,7,FALSE)+(RAND()*0.00001)</f>
        <v>-8.7708948220718508E-2</v>
      </c>
      <c r="I38" s="30">
        <f ca="1">H38-VLOOKUP(Settings!$K$2,G$2:H$45,2,FALSE)</f>
        <v>-2.6672434175135771</v>
      </c>
    </row>
    <row r="39" spans="1:9" ht="18.600000000000001" customHeight="1">
      <c r="A39" s="25" t="s">
        <v>656</v>
      </c>
      <c r="B39" s="26" t="s">
        <v>139</v>
      </c>
      <c r="C39" s="120" t="s">
        <v>7</v>
      </c>
      <c r="D39" s="141">
        <f t="shared" ca="1" si="2"/>
        <v>38</v>
      </c>
      <c r="E39" s="30">
        <f ca="1">VLOOKUP(A39,Rankings!B1:H651,6,FALSE)+(RAND()*0.00001)</f>
        <v>286.95000930808965</v>
      </c>
      <c r="F39" s="30">
        <f ca="1">E39-VLOOKUP(Settings!$K$2,D$2:E$45,2,FALSE)</f>
        <v>-131.94999420620741</v>
      </c>
      <c r="G39" s="141">
        <f t="shared" ca="1" si="3"/>
        <v>43</v>
      </c>
      <c r="H39" s="30">
        <f ca="1">VLOOKUP(A39,Rankings!B1:H651,7,FALSE)+(RAND()*0.00001)</f>
        <v>-1.9145784896449665</v>
      </c>
      <c r="I39" s="30">
        <f ca="1">H39-VLOOKUP(Settings!$K$2,G$2:H$45,2,FALSE)</f>
        <v>-4.4941129589378246</v>
      </c>
    </row>
    <row r="40" spans="1:9" ht="18.600000000000001" customHeight="1">
      <c r="A40" s="25" t="s">
        <v>587</v>
      </c>
      <c r="B40" s="26" t="s">
        <v>142</v>
      </c>
      <c r="C40" s="120" t="s">
        <v>7</v>
      </c>
      <c r="D40" s="141">
        <f t="shared" ca="1" si="2"/>
        <v>39</v>
      </c>
      <c r="E40" s="30">
        <f ca="1">VLOOKUP(A40,Rankings!B1:H651,6,FALSE)+(RAND()*0.00001)</f>
        <v>286.30000556481065</v>
      </c>
      <c r="F40" s="30">
        <f ca="1">E40-VLOOKUP(Settings!$K$2,D$2:E$45,2,FALSE)</f>
        <v>-132.59999794948641</v>
      </c>
      <c r="G40" s="141">
        <f t="shared" ca="1" si="3"/>
        <v>36</v>
      </c>
      <c r="H40" s="30">
        <f ca="1">VLOOKUP(A40,Rankings!B1:H651,7,FALSE)+(RAND()*0.00001)</f>
        <v>-0.93425700827075442</v>
      </c>
      <c r="I40" s="30">
        <f ca="1">H40-VLOOKUP(Settings!$K$2,G$2:H$45,2,FALSE)</f>
        <v>-3.513791477563613</v>
      </c>
    </row>
    <row r="41" spans="1:9" ht="20.100000000000001" customHeight="1">
      <c r="A41" s="25" t="s">
        <v>622</v>
      </c>
      <c r="B41" s="26" t="s">
        <v>95</v>
      </c>
      <c r="C41" s="120" t="s">
        <v>7</v>
      </c>
      <c r="D41" s="141">
        <f t="shared" ca="1" si="2"/>
        <v>40</v>
      </c>
      <c r="E41" s="30">
        <f ca="1">VLOOKUP(A41,Rankings!B1:H651,6,FALSE)+(RAND()*0.00001)</f>
        <v>269.31666701557413</v>
      </c>
      <c r="F41" s="30">
        <f ca="1">E41-VLOOKUP(Settings!$K$2,D$2:E$45,2,FALSE)</f>
        <v>-149.58333649872293</v>
      </c>
      <c r="G41" s="141">
        <f t="shared" ca="1" si="3"/>
        <v>40</v>
      </c>
      <c r="H41" s="30">
        <f ca="1">VLOOKUP(A41,Rankings!B1:H651,7,FALSE)+(RAND()*0.00001)</f>
        <v>-1.2820757456378511</v>
      </c>
      <c r="I41" s="30">
        <f ca="1">H41-VLOOKUP(Settings!$K$2,G$2:H$45,2,FALSE)</f>
        <v>-3.8616102149307094</v>
      </c>
    </row>
    <row r="42" spans="1:9" ht="18.600000000000001" customHeight="1">
      <c r="A42" s="25" t="s">
        <v>630</v>
      </c>
      <c r="B42" s="26" t="s">
        <v>309</v>
      </c>
      <c r="C42" s="120" t="s">
        <v>7</v>
      </c>
      <c r="D42" s="141">
        <f t="shared" ca="1" si="2"/>
        <v>41</v>
      </c>
      <c r="E42" s="30">
        <f ca="1">VLOOKUP(A42,Rankings!B1:H651,6,FALSE)+(RAND()*0.00001)</f>
        <v>265.03334009424663</v>
      </c>
      <c r="F42" s="30">
        <f ca="1">E42-VLOOKUP(Settings!$K$2,D$2:E$45,2,FALSE)</f>
        <v>-153.86666342005043</v>
      </c>
      <c r="G42" s="141">
        <f t="shared" ca="1" si="3"/>
        <v>41</v>
      </c>
      <c r="H42" s="30">
        <f ca="1">VLOOKUP(A42,Rankings!B1:H651,7,FALSE)+(RAND()*0.00001)</f>
        <v>-1.4518931444704457</v>
      </c>
      <c r="I42" s="30">
        <f ca="1">H42-VLOOKUP(Settings!$K$2,G$2:H$45,2,FALSE)</f>
        <v>-4.0314276137633041</v>
      </c>
    </row>
    <row r="43" spans="1:9" ht="18.600000000000001" customHeight="1">
      <c r="A43" s="25" t="s">
        <v>582</v>
      </c>
      <c r="B43" s="26" t="s">
        <v>64</v>
      </c>
      <c r="C43" s="125" t="s">
        <v>114</v>
      </c>
      <c r="D43" s="141">
        <f t="shared" ca="1" si="2"/>
        <v>42</v>
      </c>
      <c r="E43" s="30">
        <f ca="1">VLOOKUP(A43,Rankings!B1:H651,6,FALSE)+(RAND()*0.00001)</f>
        <v>259.33333565832845</v>
      </c>
      <c r="F43" s="30">
        <f ca="1">E43-VLOOKUP(Settings!$K$2,D$2:E$45,2,FALSE)</f>
        <v>-159.5666678559686</v>
      </c>
      <c r="G43" s="141">
        <f t="shared" ca="1" si="3"/>
        <v>35</v>
      </c>
      <c r="H43" s="30">
        <f ca="1">VLOOKUP(A43,Rankings!B1:H651,7,FALSE)+(RAND()*0.00001)</f>
        <v>-0.87580692241347102</v>
      </c>
      <c r="I43" s="30">
        <f ca="1">H43-VLOOKUP(Settings!$K$2,G$2:H$45,2,FALSE)</f>
        <v>-3.4553413917063294</v>
      </c>
    </row>
    <row r="44" spans="1:9" ht="18.600000000000001" customHeight="1">
      <c r="A44" s="25" t="s">
        <v>641</v>
      </c>
      <c r="B44" s="26"/>
      <c r="C44" s="120" t="s">
        <v>7</v>
      </c>
      <c r="D44" s="141">
        <f t="shared" ca="1" si="2"/>
        <v>43</v>
      </c>
      <c r="E44" s="30">
        <f ca="1">VLOOKUP(A44,Rankings!B1:H651,6,FALSE)+(RAND()*0.00001)</f>
        <v>244.01667607391792</v>
      </c>
      <c r="F44" s="30">
        <f ca="1">E44-VLOOKUP(Settings!$K$2,D$2:E$45,2,FALSE)</f>
        <v>-174.88332744037913</v>
      </c>
      <c r="G44" s="141">
        <f t="shared" ca="1" si="3"/>
        <v>42</v>
      </c>
      <c r="H44" s="30">
        <f ca="1">VLOOKUP(A44,Rankings!B1:H651,7,FALSE)+(RAND()*0.00001)</f>
        <v>-1.6186183532075411</v>
      </c>
      <c r="I44" s="30">
        <f ca="1">H44-VLOOKUP(Settings!$K$2,G$2:H$45,2,FALSE)</f>
        <v>-4.1981528225003997</v>
      </c>
    </row>
    <row r="45" spans="1:9" ht="20.100000000000001" customHeight="1">
      <c r="A45" s="25" t="s">
        <v>711</v>
      </c>
      <c r="B45" s="26" t="s">
        <v>97</v>
      </c>
      <c r="C45" s="125" t="s">
        <v>114</v>
      </c>
      <c r="D45" s="141">
        <f t="shared" ca="1" si="2"/>
        <v>44</v>
      </c>
      <c r="E45" s="30">
        <f ca="1">VLOOKUP(A45,Rankings!B1:H651,6,FALSE)+(RAND()*0.00001)</f>
        <v>228.80000363354796</v>
      </c>
      <c r="F45" s="30">
        <f ca="1">E45-VLOOKUP(Settings!$K$2,D$2:E$45,2,FALSE)</f>
        <v>-190.0999998807491</v>
      </c>
      <c r="G45" s="141">
        <f t="shared" ca="1" si="3"/>
        <v>51</v>
      </c>
      <c r="H45" s="30">
        <f ca="1">VLOOKUP(A45,Rankings!B1:H651,7,FALSE)+(RAND()*0.00001)</f>
        <v>-3.3651341582413581</v>
      </c>
      <c r="I45" s="30">
        <f ca="1">H45-VLOOKUP(Settings!$K$2,G$2:H$45,2,FALSE)</f>
        <v>-5.9446686275342167</v>
      </c>
    </row>
    <row r="46" spans="1:9" ht="18.600000000000001" customHeight="1">
      <c r="A46" s="25" t="s">
        <v>698</v>
      </c>
      <c r="B46" s="26" t="s">
        <v>219</v>
      </c>
      <c r="C46" s="120" t="s">
        <v>7</v>
      </c>
      <c r="D46" s="141">
        <f t="shared" ca="1" si="2"/>
        <v>45</v>
      </c>
      <c r="E46" s="30">
        <f ca="1">VLOOKUP(A46,Rankings!B1:H651,6,FALSE)+(RAND()*0.00001)</f>
        <v>225.18333762793023</v>
      </c>
      <c r="F46" s="30">
        <f ca="1">E46-VLOOKUP(Settings!$K$2,D$2:E$45,2,FALSE)</f>
        <v>-193.71666588636683</v>
      </c>
      <c r="G46" s="141">
        <f t="shared" ca="1" si="3"/>
        <v>47</v>
      </c>
      <c r="H46" s="30">
        <f ca="1">VLOOKUP(A46,Rankings!B1:H651,7,FALSE)+(RAND()*0.00001)</f>
        <v>-2.8675584131078344</v>
      </c>
      <c r="I46" s="30">
        <f ca="1">H46-VLOOKUP(Settings!$K$2,G$2:H$45,2,FALSE)</f>
        <v>-5.4470928824006926</v>
      </c>
    </row>
    <row r="47" spans="1:9" ht="20.100000000000001" customHeight="1">
      <c r="A47" s="25" t="s">
        <v>707</v>
      </c>
      <c r="B47" s="26" t="s">
        <v>64</v>
      </c>
      <c r="C47" s="125" t="s">
        <v>114</v>
      </c>
      <c r="D47" s="141">
        <f t="shared" ca="1" si="2"/>
        <v>46</v>
      </c>
      <c r="E47" s="30">
        <f ca="1">VLOOKUP(A47,Rankings!B1:H651,6,FALSE)+(RAND()*0.00001)</f>
        <v>220.46666683808931</v>
      </c>
      <c r="F47" s="30">
        <f ca="1">E47-VLOOKUP(Settings!$K$2,D$2:E$45,2,FALSE)</f>
        <v>-198.43333667620774</v>
      </c>
      <c r="G47" s="141">
        <f t="shared" ca="1" si="3"/>
        <v>49</v>
      </c>
      <c r="H47" s="30">
        <f ca="1">VLOOKUP(A47,Rankings!B1:H651,7,FALSE)+(RAND()*0.00001)</f>
        <v>-3.1535358755377207</v>
      </c>
      <c r="I47" s="30">
        <f ca="1">H47-VLOOKUP(Settings!$K$2,G$2:H$45,2,FALSE)</f>
        <v>-5.7330703448305798</v>
      </c>
    </row>
    <row r="48" spans="1:9" ht="20.100000000000001" customHeight="1">
      <c r="A48" s="25" t="s">
        <v>666</v>
      </c>
      <c r="B48" s="26" t="s">
        <v>160</v>
      </c>
      <c r="C48" s="125" t="s">
        <v>114</v>
      </c>
      <c r="D48" s="141">
        <f t="shared" ca="1" si="2"/>
        <v>47</v>
      </c>
      <c r="E48" s="30">
        <f ca="1">VLOOKUP(A48,Rankings!B1:H651,6,FALSE)+(RAND()*0.00001)</f>
        <v>215.183338338092</v>
      </c>
      <c r="F48" s="30">
        <f ca="1">E48-VLOOKUP(Settings!$K$2,D$2:E$45,2,FALSE)</f>
        <v>-203.71666517620505</v>
      </c>
      <c r="G48" s="141">
        <f t="shared" ca="1" si="3"/>
        <v>44</v>
      </c>
      <c r="H48" s="30">
        <f ca="1">VLOOKUP(A48,Rankings!B1:H651,7,FALSE)+(RAND()*0.00001)</f>
        <v>-2.1241577670817522</v>
      </c>
      <c r="I48" s="30">
        <f ca="1">H48-VLOOKUP(Settings!$K$2,G$2:H$45,2,FALSE)</f>
        <v>-4.7036922363746108</v>
      </c>
    </row>
    <row r="49" spans="1:9" ht="20.100000000000001" customHeight="1">
      <c r="A49" s="25" t="s">
        <v>709</v>
      </c>
      <c r="B49" s="26" t="s">
        <v>87</v>
      </c>
      <c r="C49" s="125" t="s">
        <v>114</v>
      </c>
      <c r="D49" s="141">
        <f t="shared" ca="1" si="2"/>
        <v>48</v>
      </c>
      <c r="E49" s="30">
        <f ca="1">VLOOKUP(A49,Rankings!B1:H651,6,FALSE)+(RAND()*0.00001)</f>
        <v>209.50000411655617</v>
      </c>
      <c r="F49" s="30">
        <f ca="1">E49-VLOOKUP(Settings!$K$2,D$2:E$45,2,FALSE)</f>
        <v>-209.39999939774088</v>
      </c>
      <c r="G49" s="141">
        <f t="shared" ca="1" si="3"/>
        <v>50</v>
      </c>
      <c r="H49" s="30">
        <f ca="1">VLOOKUP(A49,Rankings!B1:H651,7,FALSE)+(RAND()*0.00001)</f>
        <v>-3.3034990863470508</v>
      </c>
      <c r="I49" s="30">
        <f ca="1">H49-VLOOKUP(Settings!$K$2,G$2:H$45,2,FALSE)</f>
        <v>-5.8830335556399094</v>
      </c>
    </row>
    <row r="50" spans="1:9" ht="20.100000000000001" customHeight="1">
      <c r="A50" s="25" t="s">
        <v>697</v>
      </c>
      <c r="B50" s="26" t="s">
        <v>122</v>
      </c>
      <c r="C50" s="125" t="s">
        <v>114</v>
      </c>
      <c r="D50" s="141">
        <f t="shared" ca="1" si="2"/>
        <v>49</v>
      </c>
      <c r="E50" s="30">
        <f ca="1">VLOOKUP(A50,Rankings!B1:H651,6,FALSE)+(RAND()*0.00001)</f>
        <v>195.96666813523237</v>
      </c>
      <c r="F50" s="30">
        <f ca="1">E50-VLOOKUP(Settings!$K$2,D$2:E$45,2,FALSE)</f>
        <v>-222.93333537906469</v>
      </c>
      <c r="G50" s="141">
        <f t="shared" ca="1" si="3"/>
        <v>46</v>
      </c>
      <c r="H50" s="30">
        <f ca="1">VLOOKUP(A50,Rankings!B1:H651,7,FALSE)+(RAND()*0.00001)</f>
        <v>-2.8485994704322484</v>
      </c>
      <c r="I50" s="30">
        <f ca="1">H50-VLOOKUP(Settings!$K$2,G$2:H$45,2,FALSE)</f>
        <v>-5.4281339397251074</v>
      </c>
    </row>
    <row r="51" spans="1:9" ht="20.100000000000001" customHeight="1">
      <c r="A51" s="25" t="s">
        <v>699</v>
      </c>
      <c r="B51" s="26" t="s">
        <v>160</v>
      </c>
      <c r="C51" s="120" t="s">
        <v>7</v>
      </c>
      <c r="D51" s="141">
        <f t="shared" ca="1" si="2"/>
        <v>50</v>
      </c>
      <c r="E51" s="30">
        <f ca="1">VLOOKUP(A51,Rankings!B1:H651,6,FALSE)+(RAND()*0.00001)</f>
        <v>187.28334282427548</v>
      </c>
      <c r="F51" s="30">
        <f ca="1">E51-VLOOKUP(Settings!$K$2,D$2:E$45,2,FALSE)</f>
        <v>-231.61666069002158</v>
      </c>
      <c r="G51" s="141">
        <f t="shared" ca="1" si="3"/>
        <v>48</v>
      </c>
      <c r="H51" s="30">
        <f ca="1">VLOOKUP(A51,Rankings!B1:H651,7,FALSE)+(RAND()*0.00001)</f>
        <v>-2.9096325186050032</v>
      </c>
      <c r="I51" s="30">
        <f ca="1">H51-VLOOKUP(Settings!$K$2,G$2:H$45,2,FALSE)</f>
        <v>-5.4891669878978622</v>
      </c>
    </row>
    <row r="52" spans="1:9" ht="20.100000000000001" customHeight="1">
      <c r="A52" s="25" t="s">
        <v>729</v>
      </c>
      <c r="B52" s="26" t="s">
        <v>95</v>
      </c>
      <c r="C52" s="120" t="s">
        <v>7</v>
      </c>
      <c r="D52" s="141">
        <f t="shared" ca="1" si="2"/>
        <v>51</v>
      </c>
      <c r="E52" s="30">
        <f ca="1">VLOOKUP(A52,Rankings!B1:H651,6,FALSE)+(RAND()*0.00001)</f>
        <v>186.9000032557355</v>
      </c>
      <c r="F52" s="30">
        <f ca="1">E52-VLOOKUP(Settings!$K$2,D$2:E$45,2,FALSE)</f>
        <v>-232.00000025856156</v>
      </c>
      <c r="G52" s="141">
        <f t="shared" ca="1" si="3"/>
        <v>57</v>
      </c>
      <c r="H52" s="30">
        <f ca="1">VLOOKUP(A52,Rankings!B1:H651,7,FALSE)+(RAND()*0.00001)</f>
        <v>-4.3337557702338962</v>
      </c>
      <c r="I52" s="30">
        <f ca="1">H52-VLOOKUP(Settings!$K$2,G$2:H$45,2,FALSE)</f>
        <v>-6.9132902395267548</v>
      </c>
    </row>
    <row r="53" spans="1:9" ht="20.100000000000001" customHeight="1">
      <c r="A53" s="25" t="s">
        <v>716</v>
      </c>
      <c r="B53" s="26" t="s">
        <v>99</v>
      </c>
      <c r="C53" s="120" t="s">
        <v>7</v>
      </c>
      <c r="D53" s="141">
        <f t="shared" ca="1" si="2"/>
        <v>52</v>
      </c>
      <c r="E53" s="30">
        <f ca="1">VLOOKUP(A53,Rankings!B1:H651,6,FALSE)+(RAND()*0.00001)</f>
        <v>179.78333964805319</v>
      </c>
      <c r="F53" s="30">
        <f ca="1">E53-VLOOKUP(Settings!$K$2,D$2:E$45,2,FALSE)</f>
        <v>-239.11666386624387</v>
      </c>
      <c r="G53" s="141">
        <f t="shared" ca="1" si="3"/>
        <v>54</v>
      </c>
      <c r="H53" s="30">
        <f ca="1">VLOOKUP(A53,Rankings!B1:H651,7,FALSE)+(RAND()*0.00001)</f>
        <v>-3.515789952843015</v>
      </c>
      <c r="I53" s="30">
        <f ca="1">H53-VLOOKUP(Settings!$K$2,G$2:H$45,2,FALSE)</f>
        <v>-6.0953244221358736</v>
      </c>
    </row>
    <row r="54" spans="1:9" ht="20.100000000000001" customHeight="1">
      <c r="A54" s="25" t="s">
        <v>683</v>
      </c>
      <c r="B54" s="26"/>
      <c r="C54" s="120" t="s">
        <v>7</v>
      </c>
      <c r="D54" s="141">
        <f t="shared" ca="1" si="2"/>
        <v>53</v>
      </c>
      <c r="E54" s="30">
        <f ca="1">VLOOKUP(A54,Rankings!B1:H651,6,FALSE)+(RAND()*0.00001)</f>
        <v>179.28334069565571</v>
      </c>
      <c r="F54" s="30">
        <f ca="1">E54-VLOOKUP(Settings!$K$2,D$2:E$45,2,FALSE)</f>
        <v>-239.61666281864134</v>
      </c>
      <c r="G54" s="141">
        <f t="shared" ca="1" si="3"/>
        <v>45</v>
      </c>
      <c r="H54" s="30">
        <f ca="1">VLOOKUP(A54,Rankings!B1:H651,7,FALSE)+(RAND()*0.00001)</f>
        <v>-2.3532191999507761</v>
      </c>
      <c r="I54" s="30">
        <f ca="1">H54-VLOOKUP(Settings!$K$2,G$2:H$45,2,FALSE)</f>
        <v>-4.9327536692436347</v>
      </c>
    </row>
    <row r="55" spans="1:9" ht="20.100000000000001" customHeight="1">
      <c r="A55" s="25" t="s">
        <v>724</v>
      </c>
      <c r="B55" s="26" t="s">
        <v>139</v>
      </c>
      <c r="C55" s="120" t="s">
        <v>7</v>
      </c>
      <c r="D55" s="141">
        <f t="shared" ca="1" si="2"/>
        <v>54</v>
      </c>
      <c r="E55" s="30">
        <f ca="1">VLOOKUP(A55,Rankings!B1:H651,6,FALSE)+(RAND()*0.00001)</f>
        <v>175.66667023761994</v>
      </c>
      <c r="F55" s="30">
        <f ca="1">E55-VLOOKUP(Settings!$K$2,D$2:E$45,2,FALSE)</f>
        <v>-243.23333327667712</v>
      </c>
      <c r="G55" s="141">
        <f t="shared" ca="1" si="3"/>
        <v>55</v>
      </c>
      <c r="H55" s="30">
        <f ca="1">VLOOKUP(A55,Rankings!B1:H651,7,FALSE)+(RAND()*0.00001)</f>
        <v>-4.0334907839014251</v>
      </c>
      <c r="I55" s="30">
        <f ca="1">H55-VLOOKUP(Settings!$K$2,G$2:H$45,2,FALSE)</f>
        <v>-6.6130252531942837</v>
      </c>
    </row>
    <row r="56" spans="1:9" ht="20.100000000000001" customHeight="1">
      <c r="A56" s="25" t="s">
        <v>714</v>
      </c>
      <c r="B56" s="26" t="s">
        <v>260</v>
      </c>
      <c r="C56" s="125" t="s">
        <v>114</v>
      </c>
      <c r="D56" s="141">
        <f t="shared" ca="1" si="2"/>
        <v>55</v>
      </c>
      <c r="E56" s="30">
        <f ca="1">VLOOKUP(A56,Rankings!B1:H651,6,FALSE)+(RAND()*0.00001)</f>
        <v>175.01666913438385</v>
      </c>
      <c r="F56" s="30">
        <f ca="1">E56-VLOOKUP(Settings!$K$2,D$2:E$45,2,FALSE)</f>
        <v>-243.88333437991321</v>
      </c>
      <c r="G56" s="141">
        <f t="shared" ca="1" si="3"/>
        <v>52</v>
      </c>
      <c r="H56" s="30">
        <f ca="1">VLOOKUP(A56,Rankings!B1:H651,7,FALSE)+(RAND()*0.00001)</f>
        <v>-3.4875167501425359</v>
      </c>
      <c r="I56" s="30">
        <f ca="1">H56-VLOOKUP(Settings!$K$2,G$2:H$45,2,FALSE)</f>
        <v>-6.0670512194353945</v>
      </c>
    </row>
    <row r="57" spans="1:9" ht="20.100000000000001" customHeight="1">
      <c r="A57" s="25" t="s">
        <v>715</v>
      </c>
      <c r="B57" s="26" t="s">
        <v>92</v>
      </c>
      <c r="C57" s="125" t="s">
        <v>114</v>
      </c>
      <c r="D57" s="141">
        <f t="shared" ca="1" si="2"/>
        <v>56</v>
      </c>
      <c r="E57" s="30">
        <f ca="1">VLOOKUP(A57,Rankings!B1:H651,6,FALSE)+(RAND()*0.00001)</f>
        <v>168.46667135529987</v>
      </c>
      <c r="F57" s="30">
        <f ca="1">E57-VLOOKUP(Settings!$K$2,D$2:E$45,2,FALSE)</f>
        <v>-250.43333215899719</v>
      </c>
      <c r="G57" s="141">
        <f t="shared" ca="1" si="3"/>
        <v>53</v>
      </c>
      <c r="H57" s="30">
        <f ca="1">VLOOKUP(A57,Rankings!B1:H651,7,FALSE)+(RAND()*0.00001)</f>
        <v>-3.4924249381500094</v>
      </c>
      <c r="I57" s="30">
        <f ca="1">H57-VLOOKUP(Settings!$K$2,G$2:H$45,2,FALSE)</f>
        <v>-6.0719594074428684</v>
      </c>
    </row>
    <row r="58" spans="1:9" ht="20.100000000000001" customHeight="1">
      <c r="A58" s="25" t="s">
        <v>728</v>
      </c>
      <c r="B58" s="26" t="s">
        <v>105</v>
      </c>
      <c r="C58" s="120" t="s">
        <v>7</v>
      </c>
      <c r="D58" s="141">
        <f t="shared" ca="1" si="2"/>
        <v>57</v>
      </c>
      <c r="E58" s="30">
        <f ca="1">VLOOKUP(A58,Rankings!B1:H651,6,FALSE)+(RAND()*0.00001)</f>
        <v>153.51667633436676</v>
      </c>
      <c r="F58" s="30">
        <f ca="1">E58-VLOOKUP(Settings!$K$2,D$2:E$45,2,FALSE)</f>
        <v>-265.38332717993029</v>
      </c>
      <c r="G58" s="141">
        <f t="shared" ca="1" si="3"/>
        <v>56</v>
      </c>
      <c r="H58" s="30">
        <f ca="1">VLOOKUP(A58,Rankings!B1:H651,7,FALSE)+(RAND()*0.00001)</f>
        <v>-4.2126463796890308</v>
      </c>
      <c r="I58" s="30">
        <f ca="1">H58-VLOOKUP(Settings!$K$2,G$2:H$45,2,FALSE)</f>
        <v>-6.7921808489818893</v>
      </c>
    </row>
    <row r="59" spans="1:9" ht="20.100000000000001" customHeight="1">
      <c r="A59" s="25" t="s">
        <v>737</v>
      </c>
      <c r="B59" s="26" t="s">
        <v>142</v>
      </c>
      <c r="C59" s="120" t="s">
        <v>7</v>
      </c>
      <c r="D59" s="141">
        <f t="shared" ca="1" si="2"/>
        <v>58</v>
      </c>
      <c r="E59" s="30">
        <f ca="1">VLOOKUP(A59,Rankings!B1:H651,6,FALSE)+(RAND()*0.00001)</f>
        <v>144.80000315644617</v>
      </c>
      <c r="F59" s="30">
        <f ca="1">E59-VLOOKUP(Settings!$K$2,D$2:E$45,2,FALSE)</f>
        <v>-274.10000035785089</v>
      </c>
      <c r="G59" s="141">
        <f t="shared" ca="1" si="3"/>
        <v>61</v>
      </c>
      <c r="H59" s="30">
        <f ca="1">VLOOKUP(A59,Rankings!B1:H651,7,FALSE)+(RAND()*0.00001)</f>
        <v>-5.3427187125947091</v>
      </c>
      <c r="I59" s="30">
        <f ca="1">H59-VLOOKUP(Settings!$K$2,G$2:H$45,2,FALSE)</f>
        <v>-7.9222531818875677</v>
      </c>
    </row>
    <row r="60" spans="1:9" ht="20.100000000000001" customHeight="1">
      <c r="A60" s="25" t="s">
        <v>739</v>
      </c>
      <c r="B60" s="26" t="s">
        <v>119</v>
      </c>
      <c r="C60" s="120" t="s">
        <v>7</v>
      </c>
      <c r="D60" s="141">
        <f t="shared" ca="1" si="2"/>
        <v>59</v>
      </c>
      <c r="E60" s="30">
        <f ca="1">VLOOKUP(A60,Rankings!B1:H651,6,FALSE)+(RAND()*0.00001)</f>
        <v>143.85000124340846</v>
      </c>
      <c r="F60" s="30">
        <f ca="1">E60-VLOOKUP(Settings!$K$2,D$2:E$45,2,FALSE)</f>
        <v>-275.05000227088863</v>
      </c>
      <c r="G60" s="141">
        <f t="shared" ca="1" si="3"/>
        <v>62</v>
      </c>
      <c r="H60" s="30">
        <f ca="1">VLOOKUP(A60,Rankings!B1:H651,7,FALSE)+(RAND()*0.00001)</f>
        <v>-5.5089350472594925</v>
      </c>
      <c r="I60" s="30">
        <f ca="1">H60-VLOOKUP(Settings!$K$2,G$2:H$45,2,FALSE)</f>
        <v>-8.088469516552351</v>
      </c>
    </row>
    <row r="61" spans="1:9" ht="20.100000000000001" customHeight="1">
      <c r="A61" s="25" t="s">
        <v>734</v>
      </c>
      <c r="B61" s="26" t="s">
        <v>72</v>
      </c>
      <c r="C61" s="125" t="s">
        <v>114</v>
      </c>
      <c r="D61" s="141">
        <f t="shared" ca="1" si="2"/>
        <v>60</v>
      </c>
      <c r="E61" s="30">
        <f ca="1">VLOOKUP(A61,Rankings!B1:H651,6,FALSE)+(RAND()*0.00001)</f>
        <v>121.72500532906186</v>
      </c>
      <c r="F61" s="30">
        <f ca="1">E61-VLOOKUP(Settings!$K$2,D$2:E$45,2,FALSE)</f>
        <v>-297.17499818523521</v>
      </c>
      <c r="G61" s="141">
        <f t="shared" ca="1" si="3"/>
        <v>59</v>
      </c>
      <c r="H61" s="30">
        <f ca="1">VLOOKUP(A61,Rankings!B1:H651,7,FALSE)+(RAND()*0.00001)</f>
        <v>-5.0029950977886095</v>
      </c>
      <c r="I61" s="30">
        <f ca="1">H61-VLOOKUP(Settings!$K$2,G$2:H$45,2,FALSE)</f>
        <v>-7.5825295670814681</v>
      </c>
    </row>
    <row r="62" spans="1:9" ht="20.100000000000001" customHeight="1">
      <c r="A62" s="25" t="s">
        <v>733</v>
      </c>
      <c r="B62" s="26" t="s">
        <v>72</v>
      </c>
      <c r="C62" s="120" t="s">
        <v>7</v>
      </c>
      <c r="D62" s="141">
        <f t="shared" ca="1" si="2"/>
        <v>61</v>
      </c>
      <c r="E62" s="30">
        <f ca="1">VLOOKUP(A62,Rankings!B1:H651,6,FALSE)+(RAND()*0.00001)</f>
        <v>116.46667472536659</v>
      </c>
      <c r="F62" s="30">
        <f ca="1">E62-VLOOKUP(Settings!$K$2,D$2:E$45,2,FALSE)</f>
        <v>-302.43332878893045</v>
      </c>
      <c r="G62" s="141">
        <f t="shared" ca="1" si="3"/>
        <v>58</v>
      </c>
      <c r="H62" s="30">
        <f ca="1">VLOOKUP(A62,Rankings!B1:H651,7,FALSE)+(RAND()*0.00001)</f>
        <v>-4.8398964415529822</v>
      </c>
      <c r="I62" s="30">
        <f ca="1">H62-VLOOKUP(Settings!$K$2,G$2:H$45,2,FALSE)</f>
        <v>-7.4194309108458407</v>
      </c>
    </row>
    <row r="63" spans="1:9" ht="20.100000000000001" customHeight="1">
      <c r="A63" s="25" t="s">
        <v>736</v>
      </c>
      <c r="B63" s="26" t="s">
        <v>77</v>
      </c>
      <c r="C63" s="125" t="s">
        <v>114</v>
      </c>
      <c r="D63" s="141">
        <f t="shared" ca="1" si="2"/>
        <v>62</v>
      </c>
      <c r="E63" s="136">
        <f ca="1">VLOOKUP(A63,Rankings!B1:H651,6,FALSE)+(RAND()*0.00001)</f>
        <v>101.10000382248791</v>
      </c>
      <c r="F63" s="30">
        <f ca="1">E63-VLOOKUP(Settings!$K$2,D$2:E$45,2,FALSE)</f>
        <v>-317.79999969180915</v>
      </c>
      <c r="G63" s="141">
        <f t="shared" ca="1" si="3"/>
        <v>60</v>
      </c>
      <c r="H63" s="136">
        <f ca="1">VLOOKUP(A63,Rankings!B1:H651,7,FALSE)+(RAND()*0.00001)</f>
        <v>-5.1575538794750067</v>
      </c>
      <c r="I63" s="30">
        <f ca="1">H63-VLOOKUP(Settings!$K$2,G$2:H$45,2,FALSE)</f>
        <v>-7.7370883487678652</v>
      </c>
    </row>
  </sheetData>
  <autoFilter ref="A1:I63" xr:uid="{00000000-0001-0000-0500-000000000000}">
    <sortState xmlns:xlrd2="http://schemas.microsoft.com/office/spreadsheetml/2017/richdata2" ref="A2:I63">
      <sortCondition ref="D1:D63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50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9" width="7.140625" style="1" customWidth="1"/>
    <col min="10" max="10" width="16.28515625" style="1" customWidth="1"/>
    <col min="11" max="16384" width="16.28515625" style="1"/>
  </cols>
  <sheetData>
    <row r="1" spans="1:9" ht="36" customHeight="1">
      <c r="A1" s="138" t="s">
        <v>59</v>
      </c>
      <c r="B1" s="139" t="s">
        <v>60</v>
      </c>
      <c r="C1" s="139" t="s">
        <v>752</v>
      </c>
      <c r="D1" s="140" t="s">
        <v>753</v>
      </c>
      <c r="E1" s="139" t="s">
        <v>63</v>
      </c>
      <c r="F1" s="139" t="s">
        <v>65</v>
      </c>
      <c r="G1" s="140" t="s">
        <v>754</v>
      </c>
      <c r="H1" s="139" t="s">
        <v>64</v>
      </c>
      <c r="I1" s="139" t="s">
        <v>65</v>
      </c>
    </row>
    <row r="2" spans="1:9" ht="18.600000000000001" customHeight="1">
      <c r="A2" s="25" t="s">
        <v>147</v>
      </c>
      <c r="B2" s="26" t="s">
        <v>79</v>
      </c>
      <c r="C2" s="122" t="s">
        <v>11</v>
      </c>
      <c r="D2" s="141">
        <f t="shared" ref="D2:D33" ca="1" si="0">RANK(E2,E$2:E$50)</f>
        <v>1</v>
      </c>
      <c r="E2" s="30">
        <f ca="1">VLOOKUP(A2,Rankings!B1:H651,6,FALSE)+(RAND()*0.00001)</f>
        <v>534.80000622253044</v>
      </c>
      <c r="F2" s="30">
        <f ca="1">E2-VLOOKUP(Settings!$K$3,D$2:E$45,2,FALSE)</f>
        <v>163.3666641635952</v>
      </c>
      <c r="G2" s="141">
        <f t="shared" ref="G2:G33" ca="1" si="1">RANK(H2,H$2:H$50)</f>
        <v>1</v>
      </c>
      <c r="H2" s="30">
        <f ca="1">VLOOKUP(A2,Rankings!B1:H651,7,FALSE)+(RAND()*0.00001)</f>
        <v>6.7063050719909851</v>
      </c>
      <c r="I2" s="30">
        <f ca="1">H2-VLOOKUP(Settings!$K$3,G$2:H$45,2,FALSE)</f>
        <v>4.398566754516497</v>
      </c>
    </row>
    <row r="3" spans="1:9" ht="18.600000000000001" customHeight="1">
      <c r="A3" s="25" t="s">
        <v>150</v>
      </c>
      <c r="B3" s="26" t="s">
        <v>87</v>
      </c>
      <c r="C3" s="122" t="s">
        <v>11</v>
      </c>
      <c r="D3" s="141">
        <f t="shared" ca="1" si="0"/>
        <v>2</v>
      </c>
      <c r="E3" s="30">
        <f ca="1">VLOOKUP(A3,Rankings!B1:H651,6,FALSE)+(RAND()*0.00001)</f>
        <v>528.5500062921883</v>
      </c>
      <c r="F3" s="30">
        <f ca="1">E3-VLOOKUP(Settings!$K$3,D$2:E$45,2,FALSE)</f>
        <v>157.11666423325306</v>
      </c>
      <c r="G3" s="141">
        <f t="shared" ca="1" si="1"/>
        <v>2</v>
      </c>
      <c r="H3" s="30">
        <f ca="1">VLOOKUP(A3,Rankings!B1:H651,7,FALSE)+(RAND()*0.00001)</f>
        <v>6.4434975386662083</v>
      </c>
      <c r="I3" s="30">
        <f ca="1">H3-VLOOKUP(Settings!$K$3,G$2:H$45,2,FALSE)</f>
        <v>4.1357592211917202</v>
      </c>
    </row>
    <row r="4" spans="1:9" ht="18.600000000000001" customHeight="1">
      <c r="A4" s="25" t="s">
        <v>198</v>
      </c>
      <c r="B4" s="26" t="s">
        <v>74</v>
      </c>
      <c r="C4" s="122" t="s">
        <v>11</v>
      </c>
      <c r="D4" s="141">
        <f t="shared" ca="1" si="0"/>
        <v>3</v>
      </c>
      <c r="E4" s="30">
        <f ca="1">VLOOKUP(A4,Rankings!B1:H651,6,FALSE)+(RAND()*0.00001)</f>
        <v>470.0666677283736</v>
      </c>
      <c r="F4" s="30">
        <f ca="1">E4-VLOOKUP(Settings!$K$3,D$2:E$45,2,FALSE)</f>
        <v>98.633325669438364</v>
      </c>
      <c r="G4" s="141">
        <f t="shared" ca="1" si="1"/>
        <v>6</v>
      </c>
      <c r="H4" s="30">
        <f ca="1">VLOOKUP(A4,Rankings!B1:H651,7,FALSE)+(RAND()*0.00001)</f>
        <v>5.1820436337955167</v>
      </c>
      <c r="I4" s="30">
        <f ca="1">H4-VLOOKUP(Settings!$K$3,G$2:H$45,2,FALSE)</f>
        <v>2.8743053163210286</v>
      </c>
    </row>
    <row r="5" spans="1:9" ht="18.600000000000001" customHeight="1">
      <c r="A5" s="25" t="s">
        <v>194</v>
      </c>
      <c r="B5" s="26" t="s">
        <v>125</v>
      </c>
      <c r="C5" s="122" t="s">
        <v>11</v>
      </c>
      <c r="D5" s="141">
        <f t="shared" ca="1" si="0"/>
        <v>4</v>
      </c>
      <c r="E5" s="30">
        <f ca="1">VLOOKUP(A5,Rankings!B1:H651,6,FALSE)+(RAND()*0.00001)</f>
        <v>456.38333817484698</v>
      </c>
      <c r="F5" s="30">
        <f ca="1">E5-VLOOKUP(Settings!$K$3,D$2:E$45,2,FALSE)</f>
        <v>84.949996115911745</v>
      </c>
      <c r="G5" s="141">
        <f t="shared" ca="1" si="1"/>
        <v>5</v>
      </c>
      <c r="H5" s="30">
        <f ca="1">VLOOKUP(A5,Rankings!B1:H651,7,FALSE)+(RAND()*0.00001)</f>
        <v>5.2517174529147459</v>
      </c>
      <c r="I5" s="30">
        <f ca="1">H5-VLOOKUP(Settings!$K$3,G$2:H$45,2,FALSE)</f>
        <v>2.9439791354402578</v>
      </c>
    </row>
    <row r="6" spans="1:9" ht="20.100000000000001" customHeight="1">
      <c r="A6" s="25" t="s">
        <v>162</v>
      </c>
      <c r="B6" s="26" t="s">
        <v>136</v>
      </c>
      <c r="C6" s="122" t="s">
        <v>11</v>
      </c>
      <c r="D6" s="141">
        <f t="shared" ca="1" si="0"/>
        <v>5</v>
      </c>
      <c r="E6" s="30">
        <f ca="1">VLOOKUP(A6,Rankings!B1:H651,6,FALSE)+(RAND()*0.00001)</f>
        <v>448.58334094044778</v>
      </c>
      <c r="F6" s="30">
        <f ca="1">E6-VLOOKUP(Settings!$K$3,D$2:E$45,2,FALSE)</f>
        <v>77.149998881512545</v>
      </c>
      <c r="G6" s="141">
        <f t="shared" ca="1" si="1"/>
        <v>3</v>
      </c>
      <c r="H6" s="30">
        <f ca="1">VLOOKUP(A6,Rankings!B1:H651,7,FALSE)+(RAND()*0.00001)</f>
        <v>6.0994757685777978</v>
      </c>
      <c r="I6" s="30">
        <f ca="1">H6-VLOOKUP(Settings!$K$3,G$2:H$45,2,FALSE)</f>
        <v>3.7917374511033097</v>
      </c>
    </row>
    <row r="7" spans="1:9" ht="18.600000000000001" customHeight="1">
      <c r="A7" s="25" t="s">
        <v>341</v>
      </c>
      <c r="B7" s="26" t="s">
        <v>64</v>
      </c>
      <c r="C7" s="122" t="s">
        <v>11</v>
      </c>
      <c r="D7" s="141">
        <f t="shared" ca="1" si="0"/>
        <v>6</v>
      </c>
      <c r="E7" s="30">
        <f ca="1">VLOOKUP(A7,Rankings!B1:H651,6,FALSE)+(RAND()*0.00001)</f>
        <v>437.06667072431497</v>
      </c>
      <c r="F7" s="30">
        <f ca="1">E7-VLOOKUP(Settings!$K$3,D$2:E$45,2,FALSE)</f>
        <v>65.633328665379736</v>
      </c>
      <c r="G7" s="141">
        <f t="shared" ca="1" si="1"/>
        <v>19</v>
      </c>
      <c r="H7" s="30">
        <f ca="1">VLOOKUP(A7,Rankings!B1:H651,7,FALSE)+(RAND()*0.00001)</f>
        <v>2.2509789205694513</v>
      </c>
      <c r="I7" s="30">
        <f ca="1">H7-VLOOKUP(Settings!$K$3,G$2:H$45,2,FALSE)</f>
        <v>-5.6759396905036841E-2</v>
      </c>
    </row>
    <row r="8" spans="1:9" ht="18.600000000000001" customHeight="1">
      <c r="A8" s="25" t="s">
        <v>264</v>
      </c>
      <c r="B8" s="26" t="s">
        <v>225</v>
      </c>
      <c r="C8" s="122" t="s">
        <v>11</v>
      </c>
      <c r="D8" s="141">
        <f t="shared" ca="1" si="0"/>
        <v>7</v>
      </c>
      <c r="E8" s="30">
        <f ca="1">VLOOKUP(A8,Rankings!B1:H651,6,FALSE)+(RAND()*0.00001)</f>
        <v>435.75000669231554</v>
      </c>
      <c r="F8" s="30">
        <f ca="1">E8-VLOOKUP(Settings!$K$3,D$2:E$45,2,FALSE)</f>
        <v>64.316664633380299</v>
      </c>
      <c r="G8" s="141">
        <f t="shared" ca="1" si="1"/>
        <v>9</v>
      </c>
      <c r="H8" s="30">
        <f ca="1">VLOOKUP(A8,Rankings!B1:H651,7,FALSE)+(RAND()*0.00001)</f>
        <v>3.409808207633775</v>
      </c>
      <c r="I8" s="30">
        <f ca="1">H8-VLOOKUP(Settings!$K$3,G$2:H$45,2,FALSE)</f>
        <v>1.1020698901592869</v>
      </c>
    </row>
    <row r="9" spans="1:9" ht="18.600000000000001" customHeight="1">
      <c r="A9" s="25" t="s">
        <v>201</v>
      </c>
      <c r="B9" s="26" t="s">
        <v>74</v>
      </c>
      <c r="C9" s="122" t="s">
        <v>11</v>
      </c>
      <c r="D9" s="141">
        <f t="shared" ca="1" si="0"/>
        <v>8</v>
      </c>
      <c r="E9" s="30">
        <f ca="1">VLOOKUP(A9,Rankings!B1:H651,6,FALSE)+(RAND()*0.00001)</f>
        <v>429.60000115563844</v>
      </c>
      <c r="F9" s="30">
        <f ca="1">E9-VLOOKUP(Settings!$K$3,D$2:E$45,2,FALSE)</f>
        <v>58.166659096703199</v>
      </c>
      <c r="G9" s="141">
        <f t="shared" ca="1" si="1"/>
        <v>7</v>
      </c>
      <c r="H9" s="30">
        <f ca="1">VLOOKUP(A9,Rankings!B1:H651,7,FALSE)+(RAND()*0.00001)</f>
        <v>5.037082957407371</v>
      </c>
      <c r="I9" s="30">
        <f ca="1">H9-VLOOKUP(Settings!$K$3,G$2:H$45,2,FALSE)</f>
        <v>2.7293446399328829</v>
      </c>
    </row>
    <row r="10" spans="1:9" ht="20.100000000000001" customHeight="1">
      <c r="A10" s="25" t="s">
        <v>268</v>
      </c>
      <c r="B10" s="26" t="s">
        <v>158</v>
      </c>
      <c r="C10" s="122" t="s">
        <v>11</v>
      </c>
      <c r="D10" s="141">
        <f t="shared" ca="1" si="0"/>
        <v>9</v>
      </c>
      <c r="E10" s="30">
        <f ca="1">VLOOKUP(A10,Rankings!B1:H651,6,FALSE)+(RAND()*0.00001)</f>
        <v>429.1333389825167</v>
      </c>
      <c r="F10" s="30">
        <f ca="1">E10-VLOOKUP(Settings!$K$3,D$2:E$45,2,FALSE)</f>
        <v>57.699996923581466</v>
      </c>
      <c r="G10" s="141">
        <f t="shared" ca="1" si="1"/>
        <v>10</v>
      </c>
      <c r="H10" s="30">
        <f ca="1">VLOOKUP(A10,Rankings!B1:H651,7,FALSE)+(RAND()*0.00001)</f>
        <v>3.3463234969000379</v>
      </c>
      <c r="I10" s="30">
        <f ca="1">H10-VLOOKUP(Settings!$K$3,G$2:H$45,2,FALSE)</f>
        <v>1.0385851794255498</v>
      </c>
    </row>
    <row r="11" spans="1:9" ht="18.600000000000001" customHeight="1">
      <c r="A11" s="25" t="s">
        <v>325</v>
      </c>
      <c r="B11" s="26" t="s">
        <v>122</v>
      </c>
      <c r="C11" s="122" t="s">
        <v>11</v>
      </c>
      <c r="D11" s="141">
        <f t="shared" ca="1" si="0"/>
        <v>10</v>
      </c>
      <c r="E11" s="30">
        <f ca="1">VLOOKUP(A11,Rankings!B1:H651,6,FALSE)+(RAND()*0.00001)</f>
        <v>428.93333704992665</v>
      </c>
      <c r="F11" s="30">
        <f ca="1">E11-VLOOKUP(Settings!$K$3,D$2:E$45,2,FALSE)</f>
        <v>57.499994990991411</v>
      </c>
      <c r="G11" s="141">
        <f t="shared" ca="1" si="1"/>
        <v>16</v>
      </c>
      <c r="H11" s="30">
        <f ca="1">VLOOKUP(A11,Rankings!B1:H651,7,FALSE)+(RAND()*0.00001)</f>
        <v>2.4106430471350251</v>
      </c>
      <c r="I11" s="30">
        <f ca="1">H11-VLOOKUP(Settings!$K$3,G$2:H$45,2,FALSE)</f>
        <v>0.10290472966053699</v>
      </c>
    </row>
    <row r="12" spans="1:9" ht="18.600000000000001" customHeight="1">
      <c r="A12" s="25" t="s">
        <v>188</v>
      </c>
      <c r="B12" s="26" t="s">
        <v>77</v>
      </c>
      <c r="C12" s="122" t="s">
        <v>11</v>
      </c>
      <c r="D12" s="141">
        <f t="shared" ca="1" si="0"/>
        <v>11</v>
      </c>
      <c r="E12" s="30">
        <f ca="1">VLOOKUP(A12,Rankings!B1:H651,6,FALSE)+(RAND()*0.00001)</f>
        <v>427.55000777040959</v>
      </c>
      <c r="F12" s="30">
        <f ca="1">E12-VLOOKUP(Settings!$K$3,D$2:E$45,2,FALSE)</f>
        <v>56.116665711474354</v>
      </c>
      <c r="G12" s="141">
        <f t="shared" ca="1" si="1"/>
        <v>4</v>
      </c>
      <c r="H12" s="30">
        <f ca="1">VLOOKUP(A12,Rankings!B1:H651,7,FALSE)+(RAND()*0.00001)</f>
        <v>5.5132200417916541</v>
      </c>
      <c r="I12" s="30">
        <f ca="1">H12-VLOOKUP(Settings!$K$3,G$2:H$45,2,FALSE)</f>
        <v>3.205481724317166</v>
      </c>
    </row>
    <row r="13" spans="1:9" ht="18.600000000000001" customHeight="1">
      <c r="A13" s="25" t="s">
        <v>241</v>
      </c>
      <c r="B13" s="26" t="s">
        <v>69</v>
      </c>
      <c r="C13" s="122" t="s">
        <v>11</v>
      </c>
      <c r="D13" s="141">
        <f t="shared" ca="1" si="0"/>
        <v>12</v>
      </c>
      <c r="E13" s="30">
        <f ca="1">VLOOKUP(A13,Rankings!B1:H651,6,FALSE)+(RAND()*0.00001)</f>
        <v>421.83333532714011</v>
      </c>
      <c r="F13" s="30">
        <f ca="1">E13-VLOOKUP(Settings!$K$3,D$2:E$45,2,FALSE)</f>
        <v>50.399993268204867</v>
      </c>
      <c r="G13" s="141">
        <f t="shared" ca="1" si="1"/>
        <v>8</v>
      </c>
      <c r="H13" s="30">
        <f ca="1">VLOOKUP(A13,Rankings!B1:H651,7,FALSE)+(RAND()*0.00001)</f>
        <v>3.931835417510805</v>
      </c>
      <c r="I13" s="30">
        <f ca="1">H13-VLOOKUP(Settings!$K$3,G$2:H$45,2,FALSE)</f>
        <v>1.6240971000363169</v>
      </c>
    </row>
    <row r="14" spans="1:9" ht="18.600000000000001" customHeight="1">
      <c r="A14" s="25" t="s">
        <v>302</v>
      </c>
      <c r="B14" s="26" t="s">
        <v>103</v>
      </c>
      <c r="C14" s="122" t="s">
        <v>11</v>
      </c>
      <c r="D14" s="141">
        <f t="shared" ca="1" si="0"/>
        <v>13</v>
      </c>
      <c r="E14" s="30">
        <f ca="1">VLOOKUP(A14,Rankings!B1:H651,6,FALSE)+(RAND()*0.00001)</f>
        <v>410.5333407613619</v>
      </c>
      <c r="F14" s="30">
        <f ca="1">E14-VLOOKUP(Settings!$K$3,D$2:E$45,2,FALSE)</f>
        <v>39.09999870242666</v>
      </c>
      <c r="G14" s="141">
        <f t="shared" ca="1" si="1"/>
        <v>12</v>
      </c>
      <c r="H14" s="30">
        <f ca="1">VLOOKUP(A14,Rankings!B1:H651,7,FALSE)+(RAND()*0.00001)</f>
        <v>2.7234387135362823</v>
      </c>
      <c r="I14" s="30">
        <f ca="1">H14-VLOOKUP(Settings!$K$3,G$2:H$45,2,FALSE)</f>
        <v>0.41570039606179421</v>
      </c>
    </row>
    <row r="15" spans="1:9" ht="18.600000000000001" customHeight="1">
      <c r="A15" s="25" t="s">
        <v>313</v>
      </c>
      <c r="B15" s="26" t="s">
        <v>136</v>
      </c>
      <c r="C15" s="122" t="s">
        <v>11</v>
      </c>
      <c r="D15" s="141">
        <f t="shared" ca="1" si="0"/>
        <v>14</v>
      </c>
      <c r="E15" s="30">
        <f ca="1">VLOOKUP(A15,Rankings!B1:H651,6,FALSE)+(RAND()*0.00001)</f>
        <v>405.01666715639351</v>
      </c>
      <c r="F15" s="30">
        <f ca="1">E15-VLOOKUP(Settings!$K$3,D$2:E$45,2,FALSE)</f>
        <v>33.583325097458271</v>
      </c>
      <c r="G15" s="141">
        <f t="shared" ca="1" si="1"/>
        <v>14</v>
      </c>
      <c r="H15" s="30">
        <f ca="1">VLOOKUP(A15,Rankings!B1:H651,7,FALSE)+(RAND()*0.00001)</f>
        <v>2.5726908201160112</v>
      </c>
      <c r="I15" s="30">
        <f ca="1">H15-VLOOKUP(Settings!$K$3,G$2:H$45,2,FALSE)</f>
        <v>0.26495250264152315</v>
      </c>
    </row>
    <row r="16" spans="1:9" ht="18.600000000000001" customHeight="1">
      <c r="A16" s="25" t="s">
        <v>333</v>
      </c>
      <c r="B16" s="26" t="s">
        <v>178</v>
      </c>
      <c r="C16" s="122" t="s">
        <v>11</v>
      </c>
      <c r="D16" s="141">
        <f t="shared" ca="1" si="0"/>
        <v>15</v>
      </c>
      <c r="E16" s="30">
        <f ca="1">VLOOKUP(A16,Rankings!B1:H651,6,FALSE)+(RAND()*0.00001)</f>
        <v>399.00000089518744</v>
      </c>
      <c r="F16" s="30">
        <f ca="1">E16-VLOOKUP(Settings!$K$3,D$2:E$45,2,FALSE)</f>
        <v>27.566658836252202</v>
      </c>
      <c r="G16" s="141">
        <f t="shared" ca="1" si="1"/>
        <v>18</v>
      </c>
      <c r="H16" s="30">
        <f ca="1">VLOOKUP(A16,Rankings!B1:H651,7,FALSE)+(RAND()*0.00001)</f>
        <v>2.3077383174744881</v>
      </c>
      <c r="I16" s="30">
        <f ca="1">H16-VLOOKUP(Settings!$K$3,G$2:H$45,2,FALSE)</f>
        <v>0</v>
      </c>
    </row>
    <row r="17" spans="1:9" ht="18.600000000000001" customHeight="1">
      <c r="A17" s="25" t="s">
        <v>327</v>
      </c>
      <c r="B17" s="26" t="s">
        <v>97</v>
      </c>
      <c r="C17" s="122" t="s">
        <v>11</v>
      </c>
      <c r="D17" s="141">
        <f t="shared" ca="1" si="0"/>
        <v>16</v>
      </c>
      <c r="E17" s="30">
        <f ca="1">VLOOKUP(A17,Rankings!B1:H651,6,FALSE)+(RAND()*0.00001)</f>
        <v>398.35000233634497</v>
      </c>
      <c r="F17" s="30">
        <f ca="1">E17-VLOOKUP(Settings!$K$3,D$2:E$45,2,FALSE)</f>
        <v>26.916660277409733</v>
      </c>
      <c r="G17" s="141">
        <f t="shared" ca="1" si="1"/>
        <v>17</v>
      </c>
      <c r="H17" s="30">
        <f ca="1">VLOOKUP(A17,Rankings!B1:H651,7,FALSE)+(RAND()*0.00001)</f>
        <v>2.3682096015911371</v>
      </c>
      <c r="I17" s="30">
        <f ca="1">H17-VLOOKUP(Settings!$K$3,G$2:H$45,2,FALSE)</f>
        <v>6.0471284116649038E-2</v>
      </c>
    </row>
    <row r="18" spans="1:9" ht="18.600000000000001" customHeight="1">
      <c r="A18" s="25" t="s">
        <v>278</v>
      </c>
      <c r="B18" s="26" t="s">
        <v>95</v>
      </c>
      <c r="C18" s="122" t="s">
        <v>11</v>
      </c>
      <c r="D18" s="141">
        <f t="shared" ca="1" si="0"/>
        <v>17</v>
      </c>
      <c r="E18" s="30">
        <f ca="1">VLOOKUP(A18,Rankings!B1:H651,6,FALSE)+(RAND()*0.00001)</f>
        <v>382.3000010842029</v>
      </c>
      <c r="F18" s="30">
        <f ca="1">E18-VLOOKUP(Settings!$K$3,D$2:E$45,2,FALSE)</f>
        <v>10.866659025267666</v>
      </c>
      <c r="G18" s="141">
        <f t="shared" ca="1" si="1"/>
        <v>11</v>
      </c>
      <c r="H18" s="30">
        <f ca="1">VLOOKUP(A18,Rankings!B1:H651,7,FALSE)+(RAND()*0.00001)</f>
        <v>3.1717162172957174</v>
      </c>
      <c r="I18" s="30">
        <f ca="1">H18-VLOOKUP(Settings!$K$3,G$2:H$45,2,FALSE)</f>
        <v>0.8639778998212293</v>
      </c>
    </row>
    <row r="19" spans="1:9" ht="18.600000000000001" customHeight="1">
      <c r="A19" s="25" t="s">
        <v>417</v>
      </c>
      <c r="B19" s="26" t="s">
        <v>99</v>
      </c>
      <c r="C19" s="122" t="s">
        <v>11</v>
      </c>
      <c r="D19" s="141">
        <f t="shared" ca="1" si="0"/>
        <v>18</v>
      </c>
      <c r="E19" s="30">
        <f ca="1">VLOOKUP(A19,Rankings!B1:H651,6,FALSE)+(RAND()*0.00001)</f>
        <v>371.43334205893524</v>
      </c>
      <c r="F19" s="30">
        <f ca="1">E19-VLOOKUP(Settings!$K$3,D$2:E$45,2,FALSE)</f>
        <v>0</v>
      </c>
      <c r="G19" s="141">
        <f t="shared" ca="1" si="1"/>
        <v>23</v>
      </c>
      <c r="H19" s="30">
        <f ca="1">VLOOKUP(A19,Rankings!B1:H651,7,FALSE)+(RAND()*0.00001)</f>
        <v>0.95842067335396275</v>
      </c>
      <c r="I19" s="30">
        <f ca="1">H19-VLOOKUP(Settings!$K$3,G$2:H$45,2,FALSE)</f>
        <v>-1.3493176441205255</v>
      </c>
    </row>
    <row r="20" spans="1:9" ht="18.600000000000001" customHeight="1">
      <c r="A20" s="25" t="s">
        <v>310</v>
      </c>
      <c r="B20" s="26" t="s">
        <v>136</v>
      </c>
      <c r="C20" s="122" t="s">
        <v>11</v>
      </c>
      <c r="D20" s="141">
        <f t="shared" ca="1" si="0"/>
        <v>19</v>
      </c>
      <c r="E20" s="30">
        <f ca="1">VLOOKUP(A20,Rankings!B1:H651,6,FALSE)+(RAND()*0.00001)</f>
        <v>367.35000211105654</v>
      </c>
      <c r="F20" s="30">
        <f ca="1">E20-VLOOKUP(Settings!$K$3,D$2:E$45,2,FALSE)</f>
        <v>-4.0833399478786987</v>
      </c>
      <c r="G20" s="141">
        <f t="shared" ca="1" si="1"/>
        <v>13</v>
      </c>
      <c r="H20" s="30">
        <f ca="1">VLOOKUP(A20,Rankings!B1:H651,7,FALSE)+(RAND()*0.00001)</f>
        <v>2.6177238673747127</v>
      </c>
      <c r="I20" s="30">
        <f ca="1">H20-VLOOKUP(Settings!$K$3,G$2:H$45,2,FALSE)</f>
        <v>0.30998554990022464</v>
      </c>
    </row>
    <row r="21" spans="1:9" ht="18.600000000000001" customHeight="1">
      <c r="A21" s="25" t="s">
        <v>317</v>
      </c>
      <c r="B21" s="26" t="s">
        <v>219</v>
      </c>
      <c r="C21" s="122" t="s">
        <v>11</v>
      </c>
      <c r="D21" s="141">
        <f t="shared" ca="1" si="0"/>
        <v>20</v>
      </c>
      <c r="E21" s="30">
        <f ca="1">VLOOKUP(A21,Rankings!B1:H651,6,FALSE)+(RAND()*0.00001)</f>
        <v>353.63333667013688</v>
      </c>
      <c r="F21" s="30">
        <f ca="1">E21-VLOOKUP(Settings!$K$3,D$2:E$45,2,FALSE)</f>
        <v>-17.800005388798354</v>
      </c>
      <c r="G21" s="141">
        <f t="shared" ca="1" si="1"/>
        <v>15</v>
      </c>
      <c r="H21" s="30">
        <f ca="1">VLOOKUP(A21,Rankings!B1:H651,7,FALSE)+(RAND()*0.00001)</f>
        <v>2.5215828107704419</v>
      </c>
      <c r="I21" s="30">
        <f ca="1">H21-VLOOKUP(Settings!$K$3,G$2:H$45,2,FALSE)</f>
        <v>0.21384449329595379</v>
      </c>
    </row>
    <row r="22" spans="1:9" ht="18.600000000000001" customHeight="1">
      <c r="A22" s="25" t="s">
        <v>393</v>
      </c>
      <c r="B22" s="26" t="s">
        <v>72</v>
      </c>
      <c r="C22" s="122" t="s">
        <v>11</v>
      </c>
      <c r="D22" s="141">
        <f t="shared" ca="1" si="0"/>
        <v>21</v>
      </c>
      <c r="E22" s="30">
        <f ca="1">VLOOKUP(A22,Rankings!B1:H651,6,FALSE)+(RAND()*0.00001)</f>
        <v>352.11667237763146</v>
      </c>
      <c r="F22" s="30">
        <f ca="1">E22-VLOOKUP(Settings!$K$3,D$2:E$45,2,FALSE)</f>
        <v>-19.316669681303779</v>
      </c>
      <c r="G22" s="141">
        <f t="shared" ca="1" si="1"/>
        <v>21</v>
      </c>
      <c r="H22" s="30">
        <f ca="1">VLOOKUP(A22,Rankings!B1:H651,7,FALSE)+(RAND()*0.00001)</f>
        <v>1.4912445398626599</v>
      </c>
      <c r="I22" s="30">
        <f ca="1">H22-VLOOKUP(Settings!$K$3,G$2:H$45,2,FALSE)</f>
        <v>-0.81649377761182818</v>
      </c>
    </row>
    <row r="23" spans="1:9" ht="18.600000000000001" customHeight="1">
      <c r="A23" s="25" t="s">
        <v>384</v>
      </c>
      <c r="B23" s="26" t="s">
        <v>122</v>
      </c>
      <c r="C23" s="122" t="s">
        <v>11</v>
      </c>
      <c r="D23" s="141">
        <f t="shared" ca="1" si="0"/>
        <v>23</v>
      </c>
      <c r="E23" s="30">
        <f ca="1">VLOOKUP(A23,Rankings!B1:H651,6,FALSE)+(RAND()*0.00001)</f>
        <v>346.00000939570572</v>
      </c>
      <c r="F23" s="30">
        <f ca="1">E23-VLOOKUP(Settings!$K$3,D$2:E$45,2,FALSE)</f>
        <v>-25.433332663229521</v>
      </c>
      <c r="G23" s="141">
        <f t="shared" ca="1" si="1"/>
        <v>20</v>
      </c>
      <c r="H23" s="30">
        <f ca="1">VLOOKUP(A23,Rankings!B1:H651,7,FALSE)+(RAND()*0.00001)</f>
        <v>1.5633634031316126</v>
      </c>
      <c r="I23" s="30">
        <f ca="1">H23-VLOOKUP(Settings!$K$3,G$2:H$45,2,FALSE)</f>
        <v>-0.7443749143428755</v>
      </c>
    </row>
    <row r="24" spans="1:9" ht="18.600000000000001" customHeight="1">
      <c r="A24" s="25" t="s">
        <v>425</v>
      </c>
      <c r="B24" s="26" t="s">
        <v>82</v>
      </c>
      <c r="C24" s="122" t="s">
        <v>11</v>
      </c>
      <c r="D24" s="141">
        <f t="shared" ca="1" si="0"/>
        <v>24</v>
      </c>
      <c r="E24" s="30">
        <f ca="1">VLOOKUP(A24,Rankings!B1:H651,6,FALSE)+(RAND()*0.00001)</f>
        <v>341.95000212869218</v>
      </c>
      <c r="F24" s="30">
        <f ca="1">E24-VLOOKUP(Settings!$K$3,D$2:E$45,2,FALSE)</f>
        <v>-29.483339930243062</v>
      </c>
      <c r="G24" s="141">
        <f t="shared" ca="1" si="1"/>
        <v>25</v>
      </c>
      <c r="H24" s="30">
        <f ca="1">VLOOKUP(A24,Rankings!B1:H651,7,FALSE)+(RAND()*0.00001)</f>
        <v>0.74981789547314315</v>
      </c>
      <c r="I24" s="30">
        <f ca="1">H24-VLOOKUP(Settings!$K$3,G$2:H$45,2,FALSE)</f>
        <v>-1.557920422001345</v>
      </c>
    </row>
    <row r="25" spans="1:9" ht="18.600000000000001" customHeight="1">
      <c r="A25" s="25" t="s">
        <v>424</v>
      </c>
      <c r="B25" s="26" t="s">
        <v>82</v>
      </c>
      <c r="C25" s="122" t="s">
        <v>11</v>
      </c>
      <c r="D25" s="141">
        <f t="shared" ca="1" si="0"/>
        <v>25</v>
      </c>
      <c r="E25" s="30">
        <f ca="1">VLOOKUP(A25,Rankings!B1:H651,6,FALSE)+(RAND()*0.00001)</f>
        <v>341.85000102529079</v>
      </c>
      <c r="F25" s="30">
        <f ca="1">E25-VLOOKUP(Settings!$K$3,D$2:E$45,2,FALSE)</f>
        <v>-29.583341033644444</v>
      </c>
      <c r="G25" s="141">
        <f t="shared" ca="1" si="1"/>
        <v>24</v>
      </c>
      <c r="H25" s="30">
        <f ca="1">VLOOKUP(A25,Rankings!B1:H651,7,FALSE)+(RAND()*0.00001)</f>
        <v>0.76781993373027979</v>
      </c>
      <c r="I25" s="30">
        <f ca="1">H25-VLOOKUP(Settings!$K$3,G$2:H$45,2,FALSE)</f>
        <v>-1.5399183837442083</v>
      </c>
    </row>
    <row r="26" spans="1:9" ht="20.100000000000001" customHeight="1">
      <c r="A26" s="25" t="s">
        <v>408</v>
      </c>
      <c r="B26" s="26" t="s">
        <v>160</v>
      </c>
      <c r="C26" s="122" t="s">
        <v>11</v>
      </c>
      <c r="D26" s="141">
        <f t="shared" ca="1" si="0"/>
        <v>26</v>
      </c>
      <c r="E26" s="30">
        <f ca="1">VLOOKUP(A26,Rankings!B1:H651,6,FALSE)+(RAND()*0.00001)</f>
        <v>336.01666801846108</v>
      </c>
      <c r="F26" s="30">
        <f ca="1">E26-VLOOKUP(Settings!$K$3,D$2:E$45,2,FALSE)</f>
        <v>-35.416674040474163</v>
      </c>
      <c r="G26" s="141">
        <f t="shared" ca="1" si="1"/>
        <v>22</v>
      </c>
      <c r="H26" s="30">
        <f ca="1">VLOOKUP(A26,Rankings!B1:H651,7,FALSE)+(RAND()*0.00001)</f>
        <v>1.2514862368494342</v>
      </c>
      <c r="I26" s="30">
        <f ca="1">H26-VLOOKUP(Settings!$K$3,G$2:H$45,2,FALSE)</f>
        <v>-1.0562520806250539</v>
      </c>
    </row>
    <row r="27" spans="1:9" ht="18.600000000000001" customHeight="1">
      <c r="A27" s="25" t="s">
        <v>481</v>
      </c>
      <c r="B27" s="26" t="s">
        <v>260</v>
      </c>
      <c r="C27" s="122" t="s">
        <v>11</v>
      </c>
      <c r="D27" s="141">
        <f t="shared" ca="1" si="0"/>
        <v>27</v>
      </c>
      <c r="E27" s="30">
        <f ca="1">VLOOKUP(A27,Rankings!B1:H651,6,FALSE)+(RAND()*0.00001)</f>
        <v>330.10000333781289</v>
      </c>
      <c r="F27" s="30">
        <f ca="1">E27-VLOOKUP(Settings!$K$3,D$2:E$45,2,FALSE)</f>
        <v>-41.333338721122345</v>
      </c>
      <c r="G27" s="141">
        <f t="shared" ca="1" si="1"/>
        <v>28</v>
      </c>
      <c r="H27" s="30">
        <f ca="1">VLOOKUP(A27,Rankings!B1:H651,7,FALSE)+(RAND()*0.00001)</f>
        <v>8.2610386016288118E-2</v>
      </c>
      <c r="I27" s="30">
        <f ca="1">H27-VLOOKUP(Settings!$K$3,G$2:H$45,2,FALSE)</f>
        <v>-2.2251279314582</v>
      </c>
    </row>
    <row r="28" spans="1:9" ht="18.600000000000001" customHeight="1">
      <c r="A28" s="25" t="s">
        <v>426</v>
      </c>
      <c r="B28" s="26" t="s">
        <v>69</v>
      </c>
      <c r="C28" s="122" t="s">
        <v>11</v>
      </c>
      <c r="D28" s="141">
        <f t="shared" ca="1" si="0"/>
        <v>28</v>
      </c>
      <c r="E28" s="30">
        <f ca="1">VLOOKUP(A28,Rankings!B1:H651,6,FALSE)+(RAND()*0.00001)</f>
        <v>323.80000580668275</v>
      </c>
      <c r="F28" s="30">
        <f ca="1">E28-VLOOKUP(Settings!$K$3,D$2:E$45,2,FALSE)</f>
        <v>-47.633336252252491</v>
      </c>
      <c r="G28" s="141">
        <f t="shared" ca="1" si="1"/>
        <v>26</v>
      </c>
      <c r="H28" s="30">
        <f ca="1">VLOOKUP(A28,Rankings!B1:H651,7,FALSE)+(RAND()*0.00001)</f>
        <v>0.74233334306715992</v>
      </c>
      <c r="I28" s="30">
        <f ca="1">H28-VLOOKUP(Settings!$K$3,G$2:H$45,2,FALSE)</f>
        <v>-1.5654049744073282</v>
      </c>
    </row>
    <row r="29" spans="1:9" ht="18.600000000000001" customHeight="1">
      <c r="A29" s="25" t="s">
        <v>550</v>
      </c>
      <c r="B29" s="26" t="s">
        <v>142</v>
      </c>
      <c r="C29" s="122" t="s">
        <v>11</v>
      </c>
      <c r="D29" s="141">
        <f t="shared" ca="1" si="0"/>
        <v>29</v>
      </c>
      <c r="E29" s="30">
        <f ca="1">VLOOKUP(A29,Rankings!B1:H651,6,FALSE)+(RAND()*0.00001)</f>
        <v>319.05000594903834</v>
      </c>
      <c r="F29" s="30">
        <f ca="1">E29-VLOOKUP(Settings!$K$3,D$2:E$45,2,FALSE)</f>
        <v>-52.383336109896902</v>
      </c>
      <c r="G29" s="141">
        <f t="shared" ca="1" si="1"/>
        <v>33</v>
      </c>
      <c r="H29" s="30">
        <f ca="1">VLOOKUP(A29,Rankings!B1:H651,7,FALSE)+(RAND()*0.00001)</f>
        <v>-0.69631958565865049</v>
      </c>
      <c r="I29" s="30">
        <f ca="1">H29-VLOOKUP(Settings!$K$3,G$2:H$45,2,FALSE)</f>
        <v>-3.0040579031331385</v>
      </c>
    </row>
    <row r="30" spans="1:9" ht="18.600000000000001" customHeight="1">
      <c r="A30" s="25" t="s">
        <v>520</v>
      </c>
      <c r="B30" s="26" t="s">
        <v>101</v>
      </c>
      <c r="C30" s="122" t="s">
        <v>11</v>
      </c>
      <c r="D30" s="141">
        <f t="shared" ca="1" si="0"/>
        <v>30</v>
      </c>
      <c r="E30" s="30">
        <f ca="1">VLOOKUP(A30,Rankings!B1:H651,6,FALSE)+(RAND()*0.00001)</f>
        <v>315.05000070976536</v>
      </c>
      <c r="F30" s="30">
        <f ca="1">E30-VLOOKUP(Settings!$K$3,D$2:E$45,2,FALSE)</f>
        <v>-56.383341349169882</v>
      </c>
      <c r="G30" s="141">
        <f t="shared" ca="1" si="1"/>
        <v>30</v>
      </c>
      <c r="H30" s="30">
        <f ca="1">VLOOKUP(A30,Rankings!B1:H651,7,FALSE)+(RAND()*0.00001)</f>
        <v>-0.43334689612062366</v>
      </c>
      <c r="I30" s="30">
        <f ca="1">H30-VLOOKUP(Settings!$K$3,G$2:H$45,2,FALSE)</f>
        <v>-2.7410852135951118</v>
      </c>
    </row>
    <row r="31" spans="1:9" ht="20.100000000000001" customHeight="1">
      <c r="A31" s="25" t="s">
        <v>470</v>
      </c>
      <c r="B31" s="26" t="s">
        <v>119</v>
      </c>
      <c r="C31" s="122" t="s">
        <v>11</v>
      </c>
      <c r="D31" s="141">
        <f t="shared" ca="1" si="0"/>
        <v>31</v>
      </c>
      <c r="E31" s="30">
        <f ca="1">VLOOKUP(A31,Rankings!B1:H651,6,FALSE)+(RAND()*0.00001)</f>
        <v>313.93333738942567</v>
      </c>
      <c r="F31" s="30">
        <f ca="1">E31-VLOOKUP(Settings!$K$3,D$2:E$45,2,FALSE)</f>
        <v>-57.500004669509565</v>
      </c>
      <c r="G31" s="141">
        <f t="shared" ca="1" si="1"/>
        <v>27</v>
      </c>
      <c r="H31" s="30">
        <f ca="1">VLOOKUP(A31,Rankings!B1:H651,7,FALSE)+(RAND()*0.00001)</f>
        <v>0.21914023438874822</v>
      </c>
      <c r="I31" s="30">
        <f ca="1">H31-VLOOKUP(Settings!$K$3,G$2:H$45,2,FALSE)</f>
        <v>-2.0885980830857398</v>
      </c>
    </row>
    <row r="32" spans="1:9" ht="20.100000000000001" customHeight="1">
      <c r="A32" s="25" t="s">
        <v>351</v>
      </c>
      <c r="B32" s="26" t="s">
        <v>309</v>
      </c>
      <c r="C32" s="122" t="s">
        <v>11</v>
      </c>
      <c r="D32" s="141">
        <f t="shared" ca="1" si="0"/>
        <v>22</v>
      </c>
      <c r="E32" s="30">
        <f ca="1">VLOOKUP(A32,Rankings!B1:H651,6,FALSE)+(RAND()*0.00001)</f>
        <v>351.44334292680338</v>
      </c>
      <c r="F32" s="30">
        <f ca="1">E32-VLOOKUP(Settings!$K$3,D$2:E$45,2,FALSE)</f>
        <v>-19.989999132131857</v>
      </c>
      <c r="G32" s="141">
        <f t="shared" ca="1" si="1"/>
        <v>29</v>
      </c>
      <c r="H32" s="30">
        <f ca="1">VLOOKUP(A32,Rankings!B1:H651,7,FALSE)+(RAND()*0.00001)</f>
        <v>-3.9695528660074524E-2</v>
      </c>
      <c r="I32" s="30">
        <f ca="1">H32-VLOOKUP(Settings!$K$3,G$2:H$45,2,FALSE)</f>
        <v>-2.3474338461345625</v>
      </c>
    </row>
    <row r="33" spans="1:9" ht="18.600000000000001" customHeight="1">
      <c r="A33" s="25" t="s">
        <v>548</v>
      </c>
      <c r="B33" s="26" t="s">
        <v>101</v>
      </c>
      <c r="C33" s="122" t="s">
        <v>11</v>
      </c>
      <c r="D33" s="141">
        <f t="shared" ca="1" si="0"/>
        <v>32</v>
      </c>
      <c r="E33" s="30">
        <f ca="1">VLOOKUP(A33,Rankings!B1:H651,6,FALSE)+(RAND()*0.00001)</f>
        <v>283.85000318886478</v>
      </c>
      <c r="F33" s="30">
        <f ca="1">E33-VLOOKUP(Settings!$K$3,D$2:E$45,2,FALSE)</f>
        <v>-87.583338870070463</v>
      </c>
      <c r="G33" s="141">
        <f t="shared" ca="1" si="1"/>
        <v>31</v>
      </c>
      <c r="H33" s="30">
        <f ca="1">VLOOKUP(A33,Rankings!B1:H651,7,FALSE)+(RAND()*0.00001)</f>
        <v>-0.68954062342356537</v>
      </c>
      <c r="I33" s="30">
        <f ca="1">H33-VLOOKUP(Settings!$K$3,G$2:H$45,2,FALSE)</f>
        <v>-2.9972789408980534</v>
      </c>
    </row>
    <row r="34" spans="1:9" ht="20.100000000000001" customHeight="1">
      <c r="A34" s="25" t="s">
        <v>553</v>
      </c>
      <c r="B34" s="26" t="s">
        <v>95</v>
      </c>
      <c r="C34" s="122" t="s">
        <v>11</v>
      </c>
      <c r="D34" s="141">
        <f t="shared" ref="D34:D50" ca="1" si="2">RANK(E34,E$2:E$50)</f>
        <v>33</v>
      </c>
      <c r="E34" s="30">
        <f ca="1">VLOOKUP(A34,Rankings!B1:H651,6,FALSE)+(RAND()*0.00001)</f>
        <v>265.88333869536825</v>
      </c>
      <c r="F34" s="30">
        <f ca="1">E34-VLOOKUP(Settings!$K$3,D$2:E$45,2,FALSE)</f>
        <v>-105.55000336356699</v>
      </c>
      <c r="G34" s="141">
        <f t="shared" ref="G34:G50" ca="1" si="3">RANK(H34,H$2:H$50)</f>
        <v>34</v>
      </c>
      <c r="H34" s="30">
        <f ca="1">VLOOKUP(A34,Rankings!B1:H651,7,FALSE)+(RAND()*0.00001)</f>
        <v>-0.72502648084635091</v>
      </c>
      <c r="I34" s="30">
        <f ca="1">H34-VLOOKUP(Settings!$K$3,G$2:H$45,2,FALSE)</f>
        <v>-3.032764798320839</v>
      </c>
    </row>
    <row r="35" spans="1:9" ht="18.600000000000001" customHeight="1">
      <c r="A35" s="25" t="s">
        <v>647</v>
      </c>
      <c r="B35" s="26" t="s">
        <v>142</v>
      </c>
      <c r="C35" s="122" t="s">
        <v>11</v>
      </c>
      <c r="D35" s="141">
        <f t="shared" ca="1" si="2"/>
        <v>34</v>
      </c>
      <c r="E35" s="30">
        <f ca="1">VLOOKUP(A35,Rankings!B1:H651,6,FALSE)+(RAND()*0.00001)</f>
        <v>249.2333417351596</v>
      </c>
      <c r="F35" s="30">
        <f ca="1">E35-VLOOKUP(Settings!$K$3,D$2:E$45,2,FALSE)</f>
        <v>-122.20000032377564</v>
      </c>
      <c r="G35" s="141">
        <f t="shared" ca="1" si="3"/>
        <v>40</v>
      </c>
      <c r="H35" s="30">
        <f ca="1">VLOOKUP(A35,Rankings!B1:H651,7,FALSE)+(RAND()*0.00001)</f>
        <v>-1.9876796777024663</v>
      </c>
      <c r="I35" s="30">
        <f ca="1">H35-VLOOKUP(Settings!$K$3,G$2:H$45,2,FALSE)</f>
        <v>-4.2954179951769547</v>
      </c>
    </row>
    <row r="36" spans="1:9" ht="18.600000000000001" customHeight="1">
      <c r="A36" s="25" t="s">
        <v>624</v>
      </c>
      <c r="B36" s="26" t="s">
        <v>125</v>
      </c>
      <c r="C36" s="122" t="s">
        <v>11</v>
      </c>
      <c r="D36" s="141">
        <f t="shared" ca="1" si="2"/>
        <v>35</v>
      </c>
      <c r="E36" s="30">
        <f ca="1">VLOOKUP(A36,Rankings!B1:H651,6,FALSE)+(RAND()*0.00001)</f>
        <v>247.36666737023052</v>
      </c>
      <c r="F36" s="30">
        <f ca="1">E36-VLOOKUP(Settings!$K$3,D$2:E$45,2,FALSE)</f>
        <v>-124.06667468870472</v>
      </c>
      <c r="G36" s="141">
        <f t="shared" ca="1" si="3"/>
        <v>37</v>
      </c>
      <c r="H36" s="30">
        <f ca="1">VLOOKUP(A36,Rankings!B1:H651,7,FALSE)+(RAND()*0.00001)</f>
        <v>-1.5715131669783045</v>
      </c>
      <c r="I36" s="30">
        <f ca="1">H36-VLOOKUP(Settings!$K$3,G$2:H$45,2,FALSE)</f>
        <v>-3.8792514844527926</v>
      </c>
    </row>
    <row r="37" spans="1:9" ht="18.600000000000001" customHeight="1">
      <c r="A37" s="25" t="s">
        <v>563</v>
      </c>
      <c r="B37" s="26" t="s">
        <v>105</v>
      </c>
      <c r="C37" s="122" t="s">
        <v>11</v>
      </c>
      <c r="D37" s="141">
        <f t="shared" ca="1" si="2"/>
        <v>36</v>
      </c>
      <c r="E37" s="30">
        <f ca="1">VLOOKUP(A37,Rankings!B1:H651,6,FALSE)+(RAND()*0.00001)</f>
        <v>235.66667004654835</v>
      </c>
      <c r="F37" s="30">
        <f ca="1">E37-VLOOKUP(Settings!$K$3,D$2:E$45,2,FALSE)</f>
        <v>-135.76667201238689</v>
      </c>
      <c r="G37" s="141">
        <f t="shared" ca="1" si="3"/>
        <v>35</v>
      </c>
      <c r="H37" s="30">
        <f ca="1">VLOOKUP(A37,Rankings!B1:H651,7,FALSE)+(RAND()*0.00001)</f>
        <v>-0.85061973095808108</v>
      </c>
      <c r="I37" s="30">
        <f ca="1">H37-VLOOKUP(Settings!$K$3,G$2:H$45,2,FALSE)</f>
        <v>-3.1583580484325693</v>
      </c>
    </row>
    <row r="38" spans="1:9" ht="18.600000000000001" customHeight="1">
      <c r="A38" s="25" t="s">
        <v>629</v>
      </c>
      <c r="B38" s="26" t="s">
        <v>72</v>
      </c>
      <c r="C38" s="122" t="s">
        <v>11</v>
      </c>
      <c r="D38" s="141">
        <f t="shared" ca="1" si="2"/>
        <v>37</v>
      </c>
      <c r="E38" s="30">
        <f ca="1">VLOOKUP(A38,Rankings!B1:H651,6,FALSE)+(RAND()*0.00001)</f>
        <v>230.6833387383306</v>
      </c>
      <c r="F38" s="30">
        <f ca="1">E38-VLOOKUP(Settings!$K$3,D$2:E$45,2,FALSE)</f>
        <v>-140.75000332060463</v>
      </c>
      <c r="G38" s="141">
        <f t="shared" ca="1" si="3"/>
        <v>38</v>
      </c>
      <c r="H38" s="30">
        <f ca="1">VLOOKUP(A38,Rankings!B1:H651,7,FALSE)+(RAND()*0.00001)</f>
        <v>-1.6700175998752571</v>
      </c>
      <c r="I38" s="30">
        <f ca="1">H38-VLOOKUP(Settings!$K$3,G$2:H$45,2,FALSE)</f>
        <v>-3.9777559173497452</v>
      </c>
    </row>
    <row r="39" spans="1:9" ht="18.600000000000001" customHeight="1">
      <c r="A39" s="25" t="s">
        <v>643</v>
      </c>
      <c r="B39" s="26" t="s">
        <v>103</v>
      </c>
      <c r="C39" s="122" t="s">
        <v>11</v>
      </c>
      <c r="D39" s="141">
        <f t="shared" ca="1" si="2"/>
        <v>38</v>
      </c>
      <c r="E39" s="30">
        <f ca="1">VLOOKUP(A39,Rankings!B1:H651,6,FALSE)+(RAND()*0.00001)</f>
        <v>228.75000304485505</v>
      </c>
      <c r="F39" s="30">
        <f ca="1">E39-VLOOKUP(Settings!$K$3,D$2:E$45,2,FALSE)</f>
        <v>-142.68333901408019</v>
      </c>
      <c r="G39" s="141">
        <f t="shared" ca="1" si="3"/>
        <v>39</v>
      </c>
      <c r="H39" s="30">
        <f ca="1">VLOOKUP(A39,Rankings!B1:H651,7,FALSE)+(RAND()*0.00001)</f>
        <v>-1.9153312589371776</v>
      </c>
      <c r="I39" s="30">
        <f ca="1">H39-VLOOKUP(Settings!$K$3,G$2:H$45,2,FALSE)</f>
        <v>-4.2230695764116657</v>
      </c>
    </row>
    <row r="40" spans="1:9" ht="18.600000000000001" customHeight="1">
      <c r="A40" s="25" t="s">
        <v>549</v>
      </c>
      <c r="B40" s="26" t="s">
        <v>136</v>
      </c>
      <c r="C40" s="122" t="s">
        <v>11</v>
      </c>
      <c r="D40" s="141">
        <f t="shared" ca="1" si="2"/>
        <v>39</v>
      </c>
      <c r="E40" s="30">
        <f ca="1">VLOOKUP(A40,Rankings!B1:H651,6,FALSE)+(RAND()*0.00001)</f>
        <v>228.40000017543016</v>
      </c>
      <c r="F40" s="30">
        <f ca="1">E40-VLOOKUP(Settings!$K$3,D$2:E$45,2,FALSE)</f>
        <v>-143.03334188350507</v>
      </c>
      <c r="G40" s="141">
        <f t="shared" ca="1" si="3"/>
        <v>32</v>
      </c>
      <c r="H40" s="30">
        <f ca="1">VLOOKUP(A40,Rankings!B1:H651,7,FALSE)+(RAND()*0.00001)</f>
        <v>-0.68961268093620764</v>
      </c>
      <c r="I40" s="30">
        <f ca="1">H40-VLOOKUP(Settings!$K$3,G$2:H$45,2,FALSE)</f>
        <v>-2.9973509984106959</v>
      </c>
    </row>
    <row r="41" spans="1:9" ht="20.100000000000001" customHeight="1">
      <c r="A41" s="25" t="s">
        <v>594</v>
      </c>
      <c r="B41" s="26" t="s">
        <v>105</v>
      </c>
      <c r="C41" s="122" t="s">
        <v>11</v>
      </c>
      <c r="D41" s="141">
        <f t="shared" ca="1" si="2"/>
        <v>40</v>
      </c>
      <c r="E41" s="30">
        <f ca="1">VLOOKUP(A41,Rankings!B1:H651,6,FALSE)+(RAND()*0.00001)</f>
        <v>225.8666754672121</v>
      </c>
      <c r="F41" s="30">
        <f ca="1">E41-VLOOKUP(Settings!$K$3,D$2:E$45,2,FALSE)</f>
        <v>-145.56666659172313</v>
      </c>
      <c r="G41" s="141">
        <f t="shared" ca="1" si="3"/>
        <v>36</v>
      </c>
      <c r="H41" s="30">
        <f ca="1">VLOOKUP(A41,Rankings!B1:H651,7,FALSE)+(RAND()*0.00001)</f>
        <v>-1.2293121048486648</v>
      </c>
      <c r="I41" s="30">
        <f ca="1">H41-VLOOKUP(Settings!$K$3,G$2:H$45,2,FALSE)</f>
        <v>-3.5370504223231531</v>
      </c>
    </row>
    <row r="42" spans="1:9" ht="18.600000000000001" customHeight="1">
      <c r="A42" s="25" t="s">
        <v>674</v>
      </c>
      <c r="B42" s="26" t="s">
        <v>85</v>
      </c>
      <c r="C42" s="122" t="s">
        <v>11</v>
      </c>
      <c r="D42" s="141">
        <f t="shared" ca="1" si="2"/>
        <v>41</v>
      </c>
      <c r="E42" s="30">
        <f ca="1">VLOOKUP(A42,Rankings!B1:H651,6,FALSE)+(RAND()*0.00001)</f>
        <v>202.36666871897916</v>
      </c>
      <c r="F42" s="30">
        <f ca="1">E42-VLOOKUP(Settings!$K$3,D$2:E$45,2,FALSE)</f>
        <v>-169.06667333995608</v>
      </c>
      <c r="G42" s="141">
        <f t="shared" ca="1" si="3"/>
        <v>41</v>
      </c>
      <c r="H42" s="30">
        <f ca="1">VLOOKUP(A42,Rankings!B1:H651,7,FALSE)+(RAND()*0.00001)</f>
        <v>-2.5290464850068868</v>
      </c>
      <c r="I42" s="30">
        <f ca="1">H42-VLOOKUP(Settings!$K$3,G$2:H$45,2,FALSE)</f>
        <v>-4.8367848024813753</v>
      </c>
    </row>
    <row r="43" spans="1:9" ht="18.600000000000001" customHeight="1">
      <c r="A43" s="25" t="s">
        <v>702</v>
      </c>
      <c r="B43" s="26" t="s">
        <v>74</v>
      </c>
      <c r="C43" s="122" t="s">
        <v>11</v>
      </c>
      <c r="D43" s="141">
        <f t="shared" ca="1" si="2"/>
        <v>42</v>
      </c>
      <c r="E43" s="30">
        <f ca="1">VLOOKUP(A43,Rankings!B1:H651,6,FALSE)+(RAND()*0.00001)</f>
        <v>182.36666822020439</v>
      </c>
      <c r="F43" s="30">
        <f ca="1">E43-VLOOKUP(Settings!$K$3,D$2:E$45,2,FALSE)</f>
        <v>-189.06667383873085</v>
      </c>
      <c r="G43" s="141">
        <f t="shared" ca="1" si="3"/>
        <v>42</v>
      </c>
      <c r="H43" s="30">
        <f ca="1">VLOOKUP(A43,Rankings!B1:H651,7,FALSE)+(RAND()*0.00001)</f>
        <v>-3.2370943952006659</v>
      </c>
      <c r="I43" s="30">
        <f ca="1">H43-VLOOKUP(Settings!$K$3,G$2:H$45,2,FALSE)</f>
        <v>-5.544832712675154</v>
      </c>
    </row>
    <row r="44" spans="1:9" ht="18.600000000000001" customHeight="1">
      <c r="A44" s="25" t="s">
        <v>723</v>
      </c>
      <c r="B44" s="26" t="s">
        <v>260</v>
      </c>
      <c r="C44" s="122" t="s">
        <v>11</v>
      </c>
      <c r="D44" s="141">
        <f t="shared" ca="1" si="2"/>
        <v>43</v>
      </c>
      <c r="E44" s="30">
        <f ca="1">VLOOKUP(A44,Rankings!B1:H651,6,FALSE)+(RAND()*0.00001)</f>
        <v>152.93333897707936</v>
      </c>
      <c r="F44" s="30">
        <f ca="1">E44-VLOOKUP(Settings!$K$3,D$2:E$45,2,FALSE)</f>
        <v>-218.50000308185588</v>
      </c>
      <c r="G44" s="141">
        <f t="shared" ca="1" si="3"/>
        <v>45</v>
      </c>
      <c r="H44" s="30">
        <f ca="1">VLOOKUP(A44,Rankings!B1:H651,7,FALSE)+(RAND()*0.00001)</f>
        <v>-4.2981108645154809</v>
      </c>
      <c r="I44" s="30">
        <f ca="1">H44-VLOOKUP(Settings!$K$3,G$2:H$45,2,FALSE)</f>
        <v>-6.605849181989969</v>
      </c>
    </row>
    <row r="45" spans="1:9" ht="18.600000000000001" customHeight="1">
      <c r="A45" s="25" t="s">
        <v>720</v>
      </c>
      <c r="B45" s="26" t="s">
        <v>116</v>
      </c>
      <c r="C45" s="122" t="s">
        <v>11</v>
      </c>
      <c r="D45" s="141">
        <f t="shared" ca="1" si="2"/>
        <v>44</v>
      </c>
      <c r="E45" s="30">
        <f ca="1">VLOOKUP(A45,Rankings!B1:H651,6,FALSE)+(RAND()*0.00001)</f>
        <v>147.61667255168541</v>
      </c>
      <c r="F45" s="30">
        <f ca="1">E45-VLOOKUP(Settings!$K$3,D$2:E$45,2,FALSE)</f>
        <v>-223.81666950724983</v>
      </c>
      <c r="G45" s="141">
        <f t="shared" ca="1" si="3"/>
        <v>43</v>
      </c>
      <c r="H45" s="30">
        <f ca="1">VLOOKUP(A45,Rankings!B1:H651,7,FALSE)+(RAND()*0.00001)</f>
        <v>-4.0789587478202192</v>
      </c>
      <c r="I45" s="30">
        <f ca="1">H45-VLOOKUP(Settings!$K$3,G$2:H$45,2,FALSE)</f>
        <v>-6.3866970652947073</v>
      </c>
    </row>
    <row r="46" spans="1:9" ht="18.600000000000001" customHeight="1">
      <c r="A46" s="25" t="s">
        <v>722</v>
      </c>
      <c r="B46" s="26" t="s">
        <v>92</v>
      </c>
      <c r="C46" s="122" t="s">
        <v>11</v>
      </c>
      <c r="D46" s="141">
        <f t="shared" ca="1" si="2"/>
        <v>45</v>
      </c>
      <c r="E46" s="30">
        <f ca="1">VLOOKUP(A46,Rankings!B1:H651,6,FALSE)+(RAND()*0.00001)</f>
        <v>131.66666855728064</v>
      </c>
      <c r="F46" s="30">
        <f ca="1">E46-VLOOKUP(Settings!$K$3,D$2:E$45,2,FALSE)</f>
        <v>-239.76667350165459</v>
      </c>
      <c r="G46" s="141">
        <f t="shared" ca="1" si="3"/>
        <v>44</v>
      </c>
      <c r="H46" s="30">
        <f ca="1">VLOOKUP(A46,Rankings!B1:H651,7,FALSE)+(RAND()*0.00001)</f>
        <v>-4.0859830184566643</v>
      </c>
      <c r="I46" s="30">
        <f ca="1">H46-VLOOKUP(Settings!$K$3,G$2:H$45,2,FALSE)</f>
        <v>-6.3937213359311524</v>
      </c>
    </row>
    <row r="47" spans="1:9" ht="18.600000000000001" customHeight="1">
      <c r="A47" s="25" t="s">
        <v>740</v>
      </c>
      <c r="B47" s="26" t="s">
        <v>99</v>
      </c>
      <c r="C47" s="122" t="s">
        <v>11</v>
      </c>
      <c r="D47" s="141">
        <f t="shared" ca="1" si="2"/>
        <v>46</v>
      </c>
      <c r="E47" s="30">
        <f ca="1">VLOOKUP(A47,Rankings!B1:H651,6,FALSE)+(RAND()*0.00001)</f>
        <v>127.63333356256362</v>
      </c>
      <c r="F47" s="30">
        <f ca="1">E47-VLOOKUP(Settings!$K$3,D$2:E$45,2,FALSE)</f>
        <v>-243.80000849637162</v>
      </c>
      <c r="G47" s="141">
        <f t="shared" ca="1" si="3"/>
        <v>49</v>
      </c>
      <c r="H47" s="30">
        <f ca="1">VLOOKUP(A47,Rankings!B1:H651,7,FALSE)+(RAND()*0.00001)</f>
        <v>-5.8341876806843853</v>
      </c>
      <c r="I47" s="30">
        <f ca="1">H47-VLOOKUP(Settings!$K$3,G$2:H$45,2,FALSE)</f>
        <v>-8.1419259981588734</v>
      </c>
    </row>
    <row r="48" spans="1:9" ht="18.600000000000001" customHeight="1">
      <c r="A48" s="25" t="s">
        <v>732</v>
      </c>
      <c r="B48" s="26" t="s">
        <v>116</v>
      </c>
      <c r="C48" s="122" t="s">
        <v>11</v>
      </c>
      <c r="D48" s="141">
        <f t="shared" ca="1" si="2"/>
        <v>47</v>
      </c>
      <c r="E48" s="30">
        <f ca="1">VLOOKUP(A48,Rankings!B1:H651,6,FALSE)+(RAND()*0.00001)</f>
        <v>110.60000152472317</v>
      </c>
      <c r="F48" s="30">
        <f ca="1">E48-VLOOKUP(Settings!$K$3,D$2:E$45,2,FALSE)</f>
        <v>-260.83334053421208</v>
      </c>
      <c r="G48" s="141">
        <f t="shared" ca="1" si="3"/>
        <v>47</v>
      </c>
      <c r="H48" s="30">
        <f ca="1">VLOOKUP(A48,Rankings!B1:H651,7,FALSE)+(RAND()*0.00001)</f>
        <v>-4.9907065915713549</v>
      </c>
      <c r="I48" s="30">
        <f ca="1">H48-VLOOKUP(Settings!$K$3,G$2:H$45,2,FALSE)</f>
        <v>-7.298444909045843</v>
      </c>
    </row>
    <row r="49" spans="1:9" ht="18.600000000000001" customHeight="1">
      <c r="A49" s="25" t="s">
        <v>727</v>
      </c>
      <c r="B49" s="26" t="s">
        <v>116</v>
      </c>
      <c r="C49" s="122" t="s">
        <v>11</v>
      </c>
      <c r="D49" s="141">
        <f t="shared" ca="1" si="2"/>
        <v>48</v>
      </c>
      <c r="E49" s="30">
        <f ca="1">VLOOKUP(A49,Rankings!B1:H651,6,FALSE)+(RAND()*0.00001)</f>
        <v>109.38334029471667</v>
      </c>
      <c r="F49" s="30">
        <f ca="1">E49-VLOOKUP(Settings!$K$3,D$2:E$45,2,FALSE)</f>
        <v>-262.05000176421856</v>
      </c>
      <c r="G49" s="141">
        <f t="shared" ca="1" si="3"/>
        <v>46</v>
      </c>
      <c r="H49" s="30">
        <f ca="1">VLOOKUP(A49,Rankings!B1:H651,7,FALSE)+(RAND()*0.00001)</f>
        <v>-4.4683343379640768</v>
      </c>
      <c r="I49" s="30">
        <f ca="1">H49-VLOOKUP(Settings!$K$3,G$2:H$45,2,FALSE)</f>
        <v>-6.7760726554385649</v>
      </c>
    </row>
    <row r="50" spans="1:9" ht="18.600000000000001" customHeight="1">
      <c r="A50" s="25" t="s">
        <v>738</v>
      </c>
      <c r="B50" s="26" t="s">
        <v>116</v>
      </c>
      <c r="C50" s="122" t="s">
        <v>11</v>
      </c>
      <c r="D50" s="141">
        <f t="shared" ca="1" si="2"/>
        <v>49</v>
      </c>
      <c r="E50" s="30">
        <f ca="1">VLOOKUP(A50,Rankings!B1:H651,6,FALSE)+(RAND()*0.00001)</f>
        <v>96.383337774598246</v>
      </c>
      <c r="F50" s="30">
        <f ca="1">E50-VLOOKUP(Settings!$K$3,D$2:E$45,2,FALSE)</f>
        <v>-275.05000428433698</v>
      </c>
      <c r="G50" s="141">
        <f t="shared" ca="1" si="3"/>
        <v>48</v>
      </c>
      <c r="H50" s="30">
        <f ca="1">VLOOKUP(A50,Rankings!B1:H651,7,FALSE)+(RAND()*0.00001)</f>
        <v>-5.6608177175334387</v>
      </c>
      <c r="I50" s="30">
        <f ca="1">H50-VLOOKUP(Settings!$K$3,G$2:H$45,2,FALSE)</f>
        <v>-7.9685560350079268</v>
      </c>
    </row>
  </sheetData>
  <autoFilter ref="A1:I50" xr:uid="{00000000-0001-0000-0600-000000000000}">
    <sortState xmlns:xlrd2="http://schemas.microsoft.com/office/spreadsheetml/2017/richdata2" ref="A2:I50">
      <sortCondition ref="D1:D50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55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9" width="7.140625" style="1" customWidth="1"/>
    <col min="10" max="10" width="16.28515625" style="1" customWidth="1"/>
    <col min="11" max="16384" width="16.28515625" style="1"/>
  </cols>
  <sheetData>
    <row r="1" spans="1:9" ht="36" customHeight="1">
      <c r="A1" s="138" t="s">
        <v>59</v>
      </c>
      <c r="B1" s="139" t="s">
        <v>60</v>
      </c>
      <c r="C1" s="139" t="s">
        <v>752</v>
      </c>
      <c r="D1" s="140" t="s">
        <v>753</v>
      </c>
      <c r="E1" s="139" t="s">
        <v>63</v>
      </c>
      <c r="F1" s="139" t="s">
        <v>65</v>
      </c>
      <c r="G1" s="140" t="s">
        <v>754</v>
      </c>
      <c r="H1" s="139" t="s">
        <v>64</v>
      </c>
      <c r="I1" s="139" t="s">
        <v>65</v>
      </c>
    </row>
    <row r="2" spans="1:9" ht="18.600000000000001" customHeight="1">
      <c r="A2" s="25" t="s">
        <v>76</v>
      </c>
      <c r="B2" s="26" t="s">
        <v>77</v>
      </c>
      <c r="C2" s="123" t="s">
        <v>15</v>
      </c>
      <c r="D2" s="141">
        <f t="shared" ref="D2:D33" ca="1" si="0">RANK(E2,E$2:E$55)</f>
        <v>1</v>
      </c>
      <c r="E2" s="30">
        <f ca="1">VLOOKUP(A2,Rankings!B1:H651,6,FALSE)+(RAND()*0.00001)</f>
        <v>639.91667384874415</v>
      </c>
      <c r="F2" s="30">
        <f ca="1">E2-VLOOKUP(Settings!$K$4,D$2:E$45,2,FALSE)</f>
        <v>281.3333366627113</v>
      </c>
      <c r="G2" s="141">
        <f t="shared" ref="G2:G33" ca="1" si="1">RANK(H2,H$2:H$55)</f>
        <v>1</v>
      </c>
      <c r="H2" s="30">
        <f ca="1">VLOOKUP(A2,Rankings!B1:H651,7,FALSE)+(RAND()*0.00001)</f>
        <v>10.347423960778961</v>
      </c>
      <c r="I2" s="30">
        <f ca="1">H2-VLOOKUP(Settings!$K$4,G$2:H$45,2,FALSE)</f>
        <v>9.6197401524948987</v>
      </c>
    </row>
    <row r="3" spans="1:9" ht="20.100000000000001" customHeight="1">
      <c r="A3" s="25" t="s">
        <v>89</v>
      </c>
      <c r="B3" s="26" t="s">
        <v>64</v>
      </c>
      <c r="C3" s="123" t="s">
        <v>15</v>
      </c>
      <c r="D3" s="141">
        <f t="shared" ca="1" si="0"/>
        <v>2</v>
      </c>
      <c r="E3" s="30">
        <f ca="1">VLOOKUP(A3,Rankings!B1:H651,6,FALSE)+(RAND()*0.00001)</f>
        <v>561.16667612368406</v>
      </c>
      <c r="F3" s="30">
        <f ca="1">E3-VLOOKUP(Settings!$K$4,D$2:E$45,2,FALSE)</f>
        <v>202.58333893765121</v>
      </c>
      <c r="G3" s="141">
        <f t="shared" ca="1" si="1"/>
        <v>2</v>
      </c>
      <c r="H3" s="30">
        <f ca="1">VLOOKUP(A3,Rankings!B1:H651,7,FALSE)+(RAND()*0.00001)</f>
        <v>8.0309720914498204</v>
      </c>
      <c r="I3" s="30">
        <f ca="1">H3-VLOOKUP(Settings!$K$4,G$2:H$45,2,FALSE)</f>
        <v>7.3032882831657577</v>
      </c>
    </row>
    <row r="4" spans="1:9" ht="18.600000000000001" customHeight="1">
      <c r="A4" s="25" t="s">
        <v>104</v>
      </c>
      <c r="B4" s="26" t="s">
        <v>105</v>
      </c>
      <c r="C4" s="123" t="s">
        <v>15</v>
      </c>
      <c r="D4" s="141">
        <f t="shared" ca="1" si="0"/>
        <v>3</v>
      </c>
      <c r="E4" s="30">
        <f ca="1">VLOOKUP(A4,Rankings!B1:H651,6,FALSE)+(RAND()*0.00001)</f>
        <v>550.26667529519068</v>
      </c>
      <c r="F4" s="30">
        <f ca="1">E4-VLOOKUP(Settings!$K$4,D$2:E$45,2,FALSE)</f>
        <v>191.68333810915783</v>
      </c>
      <c r="G4" s="141">
        <f t="shared" ca="1" si="1"/>
        <v>3</v>
      </c>
      <c r="H4" s="30">
        <f ca="1">VLOOKUP(A4,Rankings!B1:H651,7,FALSE)+(RAND()*0.00001)</f>
        <v>7.2568721021196465</v>
      </c>
      <c r="I4" s="30">
        <f ca="1">H4-VLOOKUP(Settings!$K$4,G$2:H$45,2,FALSE)</f>
        <v>6.5291882938355839</v>
      </c>
    </row>
    <row r="5" spans="1:9" ht="20.100000000000001" customHeight="1">
      <c r="A5" s="25" t="s">
        <v>124</v>
      </c>
      <c r="B5" s="26" t="s">
        <v>125</v>
      </c>
      <c r="C5" s="123" t="s">
        <v>15</v>
      </c>
      <c r="D5" s="141">
        <f t="shared" ca="1" si="0"/>
        <v>4</v>
      </c>
      <c r="E5" s="30">
        <f ca="1">VLOOKUP(A5,Rankings!B1:H651,6,FALSE)+(RAND()*0.00001)</f>
        <v>538.4833400186784</v>
      </c>
      <c r="F5" s="30">
        <f ca="1">E5-VLOOKUP(Settings!$K$4,D$2:E$45,2,FALSE)</f>
        <v>179.90000283264555</v>
      </c>
      <c r="G5" s="141">
        <f t="shared" ca="1" si="1"/>
        <v>5</v>
      </c>
      <c r="H5" s="30">
        <f ca="1">VLOOKUP(A5,Rankings!B1:H651,7,FALSE)+(RAND()*0.00001)</f>
        <v>6.1033001218991627</v>
      </c>
      <c r="I5" s="30">
        <f ca="1">H5-VLOOKUP(Settings!$K$4,G$2:H$45,2,FALSE)</f>
        <v>5.3756163136151001</v>
      </c>
    </row>
    <row r="6" spans="1:9" ht="18.600000000000001" customHeight="1">
      <c r="A6" s="25" t="s">
        <v>108</v>
      </c>
      <c r="B6" s="26" t="s">
        <v>74</v>
      </c>
      <c r="C6" s="123" t="s">
        <v>15</v>
      </c>
      <c r="D6" s="141">
        <f t="shared" ca="1" si="0"/>
        <v>5</v>
      </c>
      <c r="E6" s="30">
        <f ca="1">VLOOKUP(A6,Rankings!B1:H651,6,FALSE)+(RAND()*0.00001)</f>
        <v>529.03333984627955</v>
      </c>
      <c r="F6" s="30">
        <f ca="1">E6-VLOOKUP(Settings!$K$4,D$2:E$45,2,FALSE)</f>
        <v>170.4500026602467</v>
      </c>
      <c r="G6" s="141">
        <f t="shared" ca="1" si="1"/>
        <v>4</v>
      </c>
      <c r="H6" s="30">
        <f ca="1">VLOOKUP(A6,Rankings!B1:H651,7,FALSE)+(RAND()*0.00001)</f>
        <v>6.981273609336677</v>
      </c>
      <c r="I6" s="30">
        <f ca="1">H6-VLOOKUP(Settings!$K$4,G$2:H$45,2,FALSE)</f>
        <v>6.2535898010526143</v>
      </c>
    </row>
    <row r="7" spans="1:9" ht="18.600000000000001" customHeight="1">
      <c r="A7" s="25" t="s">
        <v>187</v>
      </c>
      <c r="B7" s="26" t="s">
        <v>79</v>
      </c>
      <c r="C7" s="123" t="s">
        <v>15</v>
      </c>
      <c r="D7" s="141">
        <f t="shared" ca="1" si="0"/>
        <v>6</v>
      </c>
      <c r="E7" s="30">
        <f ca="1">VLOOKUP(A7,Rankings!B1:H651,6,FALSE)+(RAND()*0.00001)</f>
        <v>502.73333883759699</v>
      </c>
      <c r="F7" s="30">
        <f ca="1">E7-VLOOKUP(Settings!$K$4,D$2:E$45,2,FALSE)</f>
        <v>144.15000165156414</v>
      </c>
      <c r="G7" s="141">
        <f t="shared" ca="1" si="1"/>
        <v>6</v>
      </c>
      <c r="H7" s="30">
        <f ca="1">VLOOKUP(A7,Rankings!B1:H651,7,FALSE)+(RAND()*0.00001)</f>
        <v>3.9467877857922371</v>
      </c>
      <c r="I7" s="30">
        <f ca="1">H7-VLOOKUP(Settings!$K$4,G$2:H$45,2,FALSE)</f>
        <v>3.2191039775081745</v>
      </c>
    </row>
    <row r="8" spans="1:9" ht="18.600000000000001" customHeight="1">
      <c r="A8" s="25" t="s">
        <v>215</v>
      </c>
      <c r="B8" s="26" t="s">
        <v>101</v>
      </c>
      <c r="C8" s="123" t="s">
        <v>15</v>
      </c>
      <c r="D8" s="141">
        <f t="shared" ca="1" si="0"/>
        <v>7</v>
      </c>
      <c r="E8" s="30">
        <f ca="1">VLOOKUP(A8,Rankings!B1:H651,6,FALSE)+(RAND()*0.00001)</f>
        <v>427.48334086764777</v>
      </c>
      <c r="F8" s="30">
        <f ca="1">E8-VLOOKUP(Settings!$K$4,D$2:E$45,2,FALSE)</f>
        <v>68.900003681614919</v>
      </c>
      <c r="G8" s="141">
        <f t="shared" ca="1" si="1"/>
        <v>8</v>
      </c>
      <c r="H8" s="30">
        <f ca="1">VLOOKUP(A8,Rankings!B1:H651,7,FALSE)+(RAND()*0.00001)</f>
        <v>2.951056152947642</v>
      </c>
      <c r="I8" s="30">
        <f ca="1">H8-VLOOKUP(Settings!$K$4,G$2:H$45,2,FALSE)</f>
        <v>2.2233723446635794</v>
      </c>
    </row>
    <row r="9" spans="1:9" ht="18.600000000000001" customHeight="1">
      <c r="A9" s="25" t="s">
        <v>244</v>
      </c>
      <c r="B9" s="26" t="s">
        <v>95</v>
      </c>
      <c r="C9" s="123" t="s">
        <v>15</v>
      </c>
      <c r="D9" s="141">
        <f t="shared" ca="1" si="0"/>
        <v>8</v>
      </c>
      <c r="E9" s="30">
        <f ca="1">VLOOKUP(A9,Rankings!B1:H651,6,FALSE)+(RAND()*0.00001)</f>
        <v>424.2500021086895</v>
      </c>
      <c r="F9" s="30">
        <f ca="1">E9-VLOOKUP(Settings!$K$4,D$2:E$45,2,FALSE)</f>
        <v>65.666664922656651</v>
      </c>
      <c r="G9" s="141">
        <f t="shared" ca="1" si="1"/>
        <v>10</v>
      </c>
      <c r="H9" s="30">
        <f ca="1">VLOOKUP(A9,Rankings!B1:H651,7,FALSE)+(RAND()*0.00001)</f>
        <v>2.3317860202205862</v>
      </c>
      <c r="I9" s="30">
        <f ca="1">H9-VLOOKUP(Settings!$K$4,G$2:H$45,2,FALSE)</f>
        <v>1.6041022119365236</v>
      </c>
    </row>
    <row r="10" spans="1:9" ht="18.600000000000001" customHeight="1">
      <c r="A10" s="25" t="s">
        <v>205</v>
      </c>
      <c r="B10" s="26" t="s">
        <v>178</v>
      </c>
      <c r="C10" s="123" t="s">
        <v>15</v>
      </c>
      <c r="D10" s="141">
        <f t="shared" ca="1" si="0"/>
        <v>9</v>
      </c>
      <c r="E10" s="30">
        <f ca="1">VLOOKUP(A10,Rankings!B1:H651,6,FALSE)+(RAND()*0.00001)</f>
        <v>419.283341276898</v>
      </c>
      <c r="F10" s="30">
        <f ca="1">E10-VLOOKUP(Settings!$K$4,D$2:E$45,2,FALSE)</f>
        <v>60.70000409086515</v>
      </c>
      <c r="G10" s="141">
        <f t="shared" ca="1" si="1"/>
        <v>7</v>
      </c>
      <c r="H10" s="30">
        <f ca="1">VLOOKUP(A10,Rankings!B1:H651,7,FALSE)+(RAND()*0.00001)</f>
        <v>3.2214055307661456</v>
      </c>
      <c r="I10" s="30">
        <f ca="1">H10-VLOOKUP(Settings!$K$4,G$2:H$45,2,FALSE)</f>
        <v>2.4937217224820829</v>
      </c>
    </row>
    <row r="11" spans="1:9" ht="20.100000000000001" customHeight="1">
      <c r="A11" s="25" t="s">
        <v>253</v>
      </c>
      <c r="B11" s="26" t="s">
        <v>103</v>
      </c>
      <c r="C11" s="123" t="s">
        <v>15</v>
      </c>
      <c r="D11" s="141">
        <f t="shared" ca="1" si="0"/>
        <v>10</v>
      </c>
      <c r="E11" s="30">
        <f ca="1">VLOOKUP(A11,Rankings!B1:H651,6,FALSE)+(RAND()*0.00001)</f>
        <v>405.80000170960579</v>
      </c>
      <c r="F11" s="30">
        <f ca="1">E11-VLOOKUP(Settings!$K$4,D$2:E$45,2,FALSE)</f>
        <v>47.216664523572945</v>
      </c>
      <c r="G11" s="141">
        <f t="shared" ca="1" si="1"/>
        <v>14</v>
      </c>
      <c r="H11" s="30">
        <f ca="1">VLOOKUP(A11,Rankings!B1:H651,7,FALSE)+(RAND()*0.00001)</f>
        <v>2.0073040628713157</v>
      </c>
      <c r="I11" s="30">
        <f ca="1">H11-VLOOKUP(Settings!$K$4,G$2:H$45,2,FALSE)</f>
        <v>1.279620254587253</v>
      </c>
    </row>
    <row r="12" spans="1:9" ht="20.100000000000001" customHeight="1">
      <c r="A12" s="25" t="s">
        <v>273</v>
      </c>
      <c r="B12" s="26" t="s">
        <v>72</v>
      </c>
      <c r="C12" s="123" t="s">
        <v>15</v>
      </c>
      <c r="D12" s="141">
        <f t="shared" ca="1" si="0"/>
        <v>11</v>
      </c>
      <c r="E12" s="30">
        <f ca="1">VLOOKUP(A12,Rankings!B1:H651,6,FALSE)+(RAND()*0.00001)</f>
        <v>399.10000582093204</v>
      </c>
      <c r="F12" s="30">
        <f ca="1">E12-VLOOKUP(Settings!$K$4,D$2:E$45,2,FALSE)</f>
        <v>40.51666863489919</v>
      </c>
      <c r="G12" s="141">
        <f t="shared" ca="1" si="1"/>
        <v>15</v>
      </c>
      <c r="H12" s="30">
        <f ca="1">VLOOKUP(A12,Rankings!B1:H651,7,FALSE)+(RAND()*0.00001)</f>
        <v>1.6877150016939246</v>
      </c>
      <c r="I12" s="30">
        <f ca="1">H12-VLOOKUP(Settings!$K$4,G$2:H$45,2,FALSE)</f>
        <v>0.96003119340986187</v>
      </c>
    </row>
    <row r="13" spans="1:9" ht="18.600000000000001" customHeight="1">
      <c r="A13" s="25" t="s">
        <v>230</v>
      </c>
      <c r="B13" s="26" t="s">
        <v>139</v>
      </c>
      <c r="C13" s="123" t="s">
        <v>15</v>
      </c>
      <c r="D13" s="141">
        <f t="shared" ca="1" si="0"/>
        <v>12</v>
      </c>
      <c r="E13" s="30">
        <f ca="1">VLOOKUP(A13,Rankings!B1:H651,6,FALSE)+(RAND()*0.00001)</f>
        <v>388.98334318432677</v>
      </c>
      <c r="F13" s="30">
        <f ca="1">E13-VLOOKUP(Settings!$K$4,D$2:E$45,2,FALSE)</f>
        <v>30.400005998293921</v>
      </c>
      <c r="G13" s="141">
        <f t="shared" ca="1" si="1"/>
        <v>9</v>
      </c>
      <c r="H13" s="30">
        <f ca="1">VLOOKUP(A13,Rankings!B1:H651,7,FALSE)+(RAND()*0.00001)</f>
        <v>2.6214950780177801</v>
      </c>
      <c r="I13" s="30">
        <f ca="1">H13-VLOOKUP(Settings!$K$4,G$2:H$45,2,FALSE)</f>
        <v>1.8938112697337175</v>
      </c>
    </row>
    <row r="14" spans="1:9" ht="18.600000000000001" customHeight="1">
      <c r="A14" s="25" t="s">
        <v>250</v>
      </c>
      <c r="B14" s="26" t="s">
        <v>105</v>
      </c>
      <c r="C14" s="123" t="s">
        <v>15</v>
      </c>
      <c r="D14" s="141">
        <f t="shared" ca="1" si="0"/>
        <v>13</v>
      </c>
      <c r="E14" s="30">
        <f ca="1">VLOOKUP(A14,Rankings!B1:H651,6,FALSE)+(RAND()*0.00001)</f>
        <v>386.96666812981084</v>
      </c>
      <c r="F14" s="30">
        <f ca="1">E14-VLOOKUP(Settings!$K$4,D$2:E$45,2,FALSE)</f>
        <v>28.383330943777992</v>
      </c>
      <c r="G14" s="141">
        <f t="shared" ca="1" si="1"/>
        <v>12</v>
      </c>
      <c r="H14" s="30">
        <f ca="1">VLOOKUP(A14,Rankings!B1:H651,7,FALSE)+(RAND()*0.00001)</f>
        <v>2.1651156080450034</v>
      </c>
      <c r="I14" s="30">
        <f ca="1">H14-VLOOKUP(Settings!$K$4,G$2:H$45,2,FALSE)</f>
        <v>1.4374317997609407</v>
      </c>
    </row>
    <row r="15" spans="1:9" ht="18.600000000000001" customHeight="1">
      <c r="A15" s="25" t="s">
        <v>247</v>
      </c>
      <c r="B15" s="26" t="s">
        <v>125</v>
      </c>
      <c r="C15" s="123" t="s">
        <v>15</v>
      </c>
      <c r="D15" s="141">
        <f t="shared" ca="1" si="0"/>
        <v>14</v>
      </c>
      <c r="E15" s="30">
        <f ca="1">VLOOKUP(A15,Rankings!B1:H651,6,FALSE)+(RAND()*0.00001)</f>
        <v>373.66250740656761</v>
      </c>
      <c r="F15" s="30">
        <f ca="1">E15-VLOOKUP(Settings!$K$4,D$2:E$45,2,FALSE)</f>
        <v>15.079170220534763</v>
      </c>
      <c r="G15" s="141">
        <f t="shared" ca="1" si="1"/>
        <v>11</v>
      </c>
      <c r="H15" s="30">
        <f ca="1">VLOOKUP(A15,Rankings!B1:H651,7,FALSE)+(RAND()*0.00001)</f>
        <v>2.2571424652845367</v>
      </c>
      <c r="I15" s="30">
        <f ca="1">H15-VLOOKUP(Settings!$K$4,G$2:H$45,2,FALSE)</f>
        <v>1.529458657000474</v>
      </c>
    </row>
    <row r="16" spans="1:9" ht="18.600000000000001" customHeight="1">
      <c r="A16" s="25" t="s">
        <v>251</v>
      </c>
      <c r="B16" s="26" t="s">
        <v>92</v>
      </c>
      <c r="C16" s="123" t="s">
        <v>15</v>
      </c>
      <c r="D16" s="141">
        <f t="shared" ca="1" si="0"/>
        <v>15</v>
      </c>
      <c r="E16" s="30">
        <f ca="1">VLOOKUP(A16,Rankings!B1:H651,6,FALSE)+(RAND()*0.00001)</f>
        <v>369.30000377902286</v>
      </c>
      <c r="F16" s="30">
        <f ca="1">E16-VLOOKUP(Settings!$K$4,D$2:E$45,2,FALSE)</f>
        <v>10.716666592990009</v>
      </c>
      <c r="G16" s="141">
        <f t="shared" ca="1" si="1"/>
        <v>13</v>
      </c>
      <c r="H16" s="30">
        <f ca="1">VLOOKUP(A16,Rankings!B1:H651,7,FALSE)+(RAND()*0.00001)</f>
        <v>2.1360001726910731</v>
      </c>
      <c r="I16" s="30">
        <f ca="1">H16-VLOOKUP(Settings!$K$4,G$2:H$45,2,FALSE)</f>
        <v>1.4083163644070105</v>
      </c>
    </row>
    <row r="17" spans="1:9" ht="18.600000000000001" customHeight="1">
      <c r="A17" s="25" t="s">
        <v>332</v>
      </c>
      <c r="B17" s="26" t="s">
        <v>85</v>
      </c>
      <c r="C17" s="123" t="s">
        <v>15</v>
      </c>
      <c r="D17" s="141">
        <f t="shared" ca="1" si="0"/>
        <v>16</v>
      </c>
      <c r="E17" s="30">
        <f ca="1">VLOOKUP(A17,Rankings!B1:H651,6,FALSE)+(RAND()*0.00001)</f>
        <v>369.01667218292874</v>
      </c>
      <c r="F17" s="30">
        <f ca="1">E17-VLOOKUP(Settings!$K$4,D$2:E$45,2,FALSE)</f>
        <v>10.433334996895894</v>
      </c>
      <c r="G17" s="141">
        <f t="shared" ca="1" si="1"/>
        <v>18</v>
      </c>
      <c r="H17" s="30">
        <f ca="1">VLOOKUP(A17,Rankings!B1:H651,7,FALSE)+(RAND()*0.00001)</f>
        <v>0.72768380828406276</v>
      </c>
      <c r="I17" s="30">
        <f ca="1">H17-VLOOKUP(Settings!$K$4,G$2:H$45,2,FALSE)</f>
        <v>0</v>
      </c>
    </row>
    <row r="18" spans="1:9" ht="18.600000000000001" customHeight="1">
      <c r="A18" s="25" t="s">
        <v>352</v>
      </c>
      <c r="B18" s="26" t="s">
        <v>116</v>
      </c>
      <c r="C18" s="123" t="s">
        <v>15</v>
      </c>
      <c r="D18" s="141">
        <f t="shared" ca="1" si="0"/>
        <v>17</v>
      </c>
      <c r="E18" s="30">
        <f ca="1">VLOOKUP(A18,Rankings!B1:H651,6,FALSE)+(RAND()*0.00001)</f>
        <v>363.68334028069745</v>
      </c>
      <c r="F18" s="30">
        <f ca="1">E18-VLOOKUP(Settings!$K$4,D$2:E$45,2,FALSE)</f>
        <v>5.1000030946646007</v>
      </c>
      <c r="G18" s="141">
        <f t="shared" ca="1" si="1"/>
        <v>20</v>
      </c>
      <c r="H18" s="30">
        <f ca="1">VLOOKUP(A18,Rankings!B1:H651,7,FALSE)+(RAND()*0.00001)</f>
        <v>0.53570834397421796</v>
      </c>
      <c r="I18" s="30">
        <f ca="1">H18-VLOOKUP(Settings!$K$4,G$2:H$45,2,FALSE)</f>
        <v>-0.1919754643098448</v>
      </c>
    </row>
    <row r="19" spans="1:9" ht="18.600000000000001" customHeight="1">
      <c r="A19" s="25" t="s">
        <v>288</v>
      </c>
      <c r="B19" s="26" t="s">
        <v>92</v>
      </c>
      <c r="C19" s="123" t="s">
        <v>15</v>
      </c>
      <c r="D19" s="141">
        <f t="shared" ca="1" si="0"/>
        <v>18</v>
      </c>
      <c r="E19" s="30">
        <f ca="1">VLOOKUP(A19,Rankings!B1:H651,6,FALSE)+(RAND()*0.00001)</f>
        <v>358.58333718603285</v>
      </c>
      <c r="F19" s="30">
        <f ca="1">E19-VLOOKUP(Settings!$K$4,D$2:E$45,2,FALSE)</f>
        <v>0</v>
      </c>
      <c r="G19" s="141">
        <f t="shared" ca="1" si="1"/>
        <v>16</v>
      </c>
      <c r="H19" s="30">
        <f ca="1">VLOOKUP(A19,Rankings!B1:H651,7,FALSE)+(RAND()*0.00001)</f>
        <v>1.3947272151707657</v>
      </c>
      <c r="I19" s="30">
        <f ca="1">H19-VLOOKUP(Settings!$K$4,G$2:H$45,2,FALSE)</f>
        <v>0.66704340688670294</v>
      </c>
    </row>
    <row r="20" spans="1:9" ht="20.100000000000001" customHeight="1">
      <c r="A20" s="25" t="s">
        <v>388</v>
      </c>
      <c r="B20" s="26" t="s">
        <v>309</v>
      </c>
      <c r="C20" s="123" t="s">
        <v>15</v>
      </c>
      <c r="D20" s="141">
        <f t="shared" ca="1" si="0"/>
        <v>19</v>
      </c>
      <c r="E20" s="30">
        <f ca="1">VLOOKUP(A20,Rankings!B1:H651,6,FALSE)+(RAND()*0.00001)</f>
        <v>344.8833334057619</v>
      </c>
      <c r="F20" s="30">
        <f ca="1">E20-VLOOKUP(Settings!$K$4,D$2:E$45,2,FALSE)</f>
        <v>-13.700003780270947</v>
      </c>
      <c r="G20" s="141">
        <f t="shared" ca="1" si="1"/>
        <v>23</v>
      </c>
      <c r="H20" s="30">
        <f ca="1">VLOOKUP(A20,Rankings!B1:H651,7,FALSE)+(RAND()*0.00001)</f>
        <v>-5.6949703230206303E-2</v>
      </c>
      <c r="I20" s="30">
        <f ca="1">H20-VLOOKUP(Settings!$K$4,G$2:H$45,2,FALSE)</f>
        <v>-0.78463351151426908</v>
      </c>
    </row>
    <row r="21" spans="1:9" ht="20.100000000000001" customHeight="1">
      <c r="A21" s="25" t="s">
        <v>305</v>
      </c>
      <c r="B21" s="26" t="s">
        <v>85</v>
      </c>
      <c r="C21" s="123" t="s">
        <v>15</v>
      </c>
      <c r="D21" s="141">
        <f t="shared" ca="1" si="0"/>
        <v>20</v>
      </c>
      <c r="E21" s="30">
        <f ca="1">VLOOKUP(A21,Rankings!B1:H651,6,FALSE)+(RAND()*0.00001)</f>
        <v>343.53334011094688</v>
      </c>
      <c r="F21" s="30">
        <f ca="1">E21-VLOOKUP(Settings!$K$4,D$2:E$45,2,FALSE)</f>
        <v>-15.049997075085969</v>
      </c>
      <c r="G21" s="141">
        <f t="shared" ca="1" si="1"/>
        <v>17</v>
      </c>
      <c r="H21" s="30">
        <f ca="1">VLOOKUP(A21,Rankings!B1:H651,7,FALSE)+(RAND()*0.00001)</f>
        <v>1.0943985811910564</v>
      </c>
      <c r="I21" s="30">
        <f ca="1">H21-VLOOKUP(Settings!$K$4,G$2:H$45,2,FALSE)</f>
        <v>0.36671477290699361</v>
      </c>
    </row>
    <row r="22" spans="1:9" ht="18.600000000000001" customHeight="1">
      <c r="A22" s="25" t="s">
        <v>344</v>
      </c>
      <c r="B22" s="26" t="s">
        <v>125</v>
      </c>
      <c r="C22" s="123" t="s">
        <v>15</v>
      </c>
      <c r="D22" s="141">
        <f t="shared" ca="1" si="0"/>
        <v>21</v>
      </c>
      <c r="E22" s="30">
        <f ca="1">VLOOKUP(A22,Rankings!B1:H651,6,FALSE)+(RAND()*0.00001)</f>
        <v>341.13333718731104</v>
      </c>
      <c r="F22" s="30">
        <f ca="1">E22-VLOOKUP(Settings!$K$4,D$2:E$45,2,FALSE)</f>
        <v>-17.449999998721808</v>
      </c>
      <c r="G22" s="141">
        <f t="shared" ca="1" si="1"/>
        <v>19</v>
      </c>
      <c r="H22" s="30">
        <f ca="1">VLOOKUP(A22,Rankings!B1:H651,7,FALSE)+(RAND()*0.00001)</f>
        <v>0.61495366422912767</v>
      </c>
      <c r="I22" s="30">
        <f ca="1">H22-VLOOKUP(Settings!$K$4,G$2:H$45,2,FALSE)</f>
        <v>-0.11273014405493509</v>
      </c>
    </row>
    <row r="23" spans="1:9" ht="18.600000000000001" customHeight="1">
      <c r="A23" s="25" t="s">
        <v>363</v>
      </c>
      <c r="B23" s="26" t="s">
        <v>64</v>
      </c>
      <c r="C23" s="123" t="s">
        <v>15</v>
      </c>
      <c r="D23" s="141">
        <f t="shared" ca="1" si="0"/>
        <v>22</v>
      </c>
      <c r="E23" s="30">
        <f ca="1">VLOOKUP(A23,Rankings!B1:H651,6,FALSE)+(RAND()*0.00001)</f>
        <v>334.41666748822843</v>
      </c>
      <c r="F23" s="30">
        <f ca="1">E23-VLOOKUP(Settings!$K$4,D$2:E$45,2,FALSE)</f>
        <v>-24.166669697804423</v>
      </c>
      <c r="G23" s="141">
        <f t="shared" ca="1" si="1"/>
        <v>21</v>
      </c>
      <c r="H23" s="30">
        <f ca="1">VLOOKUP(A23,Rankings!B1:H651,7,FALSE)+(RAND()*0.00001)</f>
        <v>0.31503091741865907</v>
      </c>
      <c r="I23" s="30">
        <f ca="1">H23-VLOOKUP(Settings!$K$4,G$2:H$45,2,FALSE)</f>
        <v>-0.41265289086540369</v>
      </c>
    </row>
    <row r="24" spans="1:9" ht="20.100000000000001" customHeight="1">
      <c r="A24" s="25" t="s">
        <v>405</v>
      </c>
      <c r="B24" s="26" t="s">
        <v>97</v>
      </c>
      <c r="C24" s="123" t="s">
        <v>15</v>
      </c>
      <c r="D24" s="141">
        <f t="shared" ca="1" si="0"/>
        <v>23</v>
      </c>
      <c r="E24" s="30">
        <f ca="1">VLOOKUP(A24,Rankings!B1:H651,6,FALSE)+(RAND()*0.00001)</f>
        <v>325.50000002434763</v>
      </c>
      <c r="F24" s="30">
        <f ca="1">E24-VLOOKUP(Settings!$K$4,D$2:E$45,2,FALSE)</f>
        <v>-33.083337161685222</v>
      </c>
      <c r="G24" s="141">
        <f t="shared" ca="1" si="1"/>
        <v>24</v>
      </c>
      <c r="H24" s="30">
        <f ca="1">VLOOKUP(A24,Rankings!B1:H651,7,FALSE)+(RAND()*0.00001)</f>
        <v>-0.30855496113110448</v>
      </c>
      <c r="I24" s="30">
        <f ca="1">H24-VLOOKUP(Settings!$K$4,G$2:H$45,2,FALSE)</f>
        <v>-1.0362387694151671</v>
      </c>
    </row>
    <row r="25" spans="1:9" ht="18.600000000000001" customHeight="1">
      <c r="A25" s="25" t="s">
        <v>407</v>
      </c>
      <c r="B25" s="26" t="s">
        <v>225</v>
      </c>
      <c r="C25" s="123" t="s">
        <v>15</v>
      </c>
      <c r="D25" s="141">
        <f t="shared" ca="1" si="0"/>
        <v>24</v>
      </c>
      <c r="E25" s="30">
        <f ca="1">VLOOKUP(A25,Rankings!B1:H651,6,FALSE)+(RAND()*0.00001)</f>
        <v>318.75000230121145</v>
      </c>
      <c r="F25" s="30">
        <f ca="1">E25-VLOOKUP(Settings!$K$4,D$2:E$45,2,FALSE)</f>
        <v>-39.833334884821397</v>
      </c>
      <c r="G25" s="141">
        <f t="shared" ca="1" si="1"/>
        <v>26</v>
      </c>
      <c r="H25" s="30">
        <f ca="1">VLOOKUP(A25,Rankings!B1:H651,7,FALSE)+(RAND()*0.00001)</f>
        <v>-0.325290704982032</v>
      </c>
      <c r="I25" s="30">
        <f ca="1">H25-VLOOKUP(Settings!$K$4,G$2:H$45,2,FALSE)</f>
        <v>-1.0529745132660948</v>
      </c>
    </row>
    <row r="26" spans="1:9" ht="18.600000000000001" customHeight="1">
      <c r="A26" s="25" t="s">
        <v>377</v>
      </c>
      <c r="B26" s="26" t="s">
        <v>87</v>
      </c>
      <c r="C26" s="123" t="s">
        <v>15</v>
      </c>
      <c r="D26" s="141">
        <f t="shared" ca="1" si="0"/>
        <v>25</v>
      </c>
      <c r="E26" s="30">
        <f ca="1">VLOOKUP(A26,Rankings!B1:H651,6,FALSE)+(RAND()*0.00001)</f>
        <v>305.08333788264378</v>
      </c>
      <c r="F26" s="30">
        <f ca="1">E26-VLOOKUP(Settings!$K$4,D$2:E$45,2,FALSE)</f>
        <v>-53.499999303389075</v>
      </c>
      <c r="G26" s="141">
        <f t="shared" ca="1" si="1"/>
        <v>22</v>
      </c>
      <c r="H26" s="30">
        <f ca="1">VLOOKUP(A26,Rankings!B1:H651,7,FALSE)+(RAND()*0.00001)</f>
        <v>4.1714859904391895E-2</v>
      </c>
      <c r="I26" s="30">
        <f ca="1">H26-VLOOKUP(Settings!$K$4,G$2:H$45,2,FALSE)</f>
        <v>-0.68596894837967082</v>
      </c>
    </row>
    <row r="27" spans="1:9" ht="18.600000000000001" customHeight="1">
      <c r="A27" s="25" t="s">
        <v>450</v>
      </c>
      <c r="B27" s="26" t="s">
        <v>69</v>
      </c>
      <c r="C27" s="123" t="s">
        <v>15</v>
      </c>
      <c r="D27" s="141">
        <f t="shared" ca="1" si="0"/>
        <v>26</v>
      </c>
      <c r="E27" s="30">
        <f ca="1">VLOOKUP(A27,Rankings!B1:H651,6,FALSE)+(RAND()*0.00001)</f>
        <v>299.23333443732889</v>
      </c>
      <c r="F27" s="30">
        <f ca="1">E27-VLOOKUP(Settings!$K$4,D$2:E$45,2,FALSE)</f>
        <v>-59.350002748703957</v>
      </c>
      <c r="G27" s="141">
        <f t="shared" ca="1" si="1"/>
        <v>28</v>
      </c>
      <c r="H27" s="30">
        <f ca="1">VLOOKUP(A27,Rankings!B1:H651,7,FALSE)+(RAND()*0.00001)</f>
        <v>-1.1749499718068546</v>
      </c>
      <c r="I27" s="30">
        <f ca="1">H27-VLOOKUP(Settings!$K$4,G$2:H$45,2,FALSE)</f>
        <v>-1.9026337800909174</v>
      </c>
    </row>
    <row r="28" spans="1:9" ht="18.600000000000001" customHeight="1">
      <c r="A28" s="25" t="s">
        <v>503</v>
      </c>
      <c r="B28" s="26" t="s">
        <v>119</v>
      </c>
      <c r="C28" s="123" t="s">
        <v>15</v>
      </c>
      <c r="D28" s="141">
        <f t="shared" ca="1" si="0"/>
        <v>27</v>
      </c>
      <c r="E28" s="30">
        <f ca="1">VLOOKUP(A28,Rankings!B1:H651,6,FALSE)+(RAND()*0.00001)</f>
        <v>275.33333334750523</v>
      </c>
      <c r="F28" s="30">
        <f ca="1">E28-VLOOKUP(Settings!$K$4,D$2:E$45,2,FALSE)</f>
        <v>-83.250003838527618</v>
      </c>
      <c r="G28" s="141">
        <f t="shared" ca="1" si="1"/>
        <v>32</v>
      </c>
      <c r="H28" s="30">
        <f ca="1">VLOOKUP(A28,Rankings!B1:H651,7,FALSE)+(RAND()*0.00001)</f>
        <v>-1.7834665584707809</v>
      </c>
      <c r="I28" s="30">
        <f ca="1">H28-VLOOKUP(Settings!$K$4,G$2:H$45,2,FALSE)</f>
        <v>-2.5111503667548436</v>
      </c>
    </row>
    <row r="29" spans="1:9" ht="18.600000000000001" customHeight="1">
      <c r="A29" s="25" t="s">
        <v>406</v>
      </c>
      <c r="B29" s="26" t="s">
        <v>136</v>
      </c>
      <c r="C29" s="123" t="s">
        <v>15</v>
      </c>
      <c r="D29" s="141">
        <f t="shared" ca="1" si="0"/>
        <v>28</v>
      </c>
      <c r="E29" s="30">
        <f ca="1">VLOOKUP(A29,Rankings!B1:H651,6,FALSE)+(RAND()*0.00001)</f>
        <v>275.05000805772727</v>
      </c>
      <c r="F29" s="30">
        <f ca="1">E29-VLOOKUP(Settings!$K$4,D$2:E$45,2,FALSE)</f>
        <v>-83.533329128305581</v>
      </c>
      <c r="G29" s="141">
        <f t="shared" ca="1" si="1"/>
        <v>25</v>
      </c>
      <c r="H29" s="30">
        <f ca="1">VLOOKUP(A29,Rankings!B1:H651,7,FALSE)+(RAND()*0.00001)</f>
        <v>-0.32326597379145722</v>
      </c>
      <c r="I29" s="30">
        <f ca="1">H29-VLOOKUP(Settings!$K$4,G$2:H$45,2,FALSE)</f>
        <v>-1.05094978207552</v>
      </c>
    </row>
    <row r="30" spans="1:9" ht="18.600000000000001" customHeight="1">
      <c r="A30" s="25" t="s">
        <v>421</v>
      </c>
      <c r="B30" s="26" t="s">
        <v>158</v>
      </c>
      <c r="C30" s="123" t="s">
        <v>15</v>
      </c>
      <c r="D30" s="141">
        <f t="shared" ca="1" si="0"/>
        <v>29</v>
      </c>
      <c r="E30" s="30">
        <f ca="1">VLOOKUP(A30,Rankings!B1:H651,6,FALSE)+(RAND()*0.00001)</f>
        <v>253.51667604839295</v>
      </c>
      <c r="F30" s="30">
        <f ca="1">E30-VLOOKUP(Settings!$K$4,D$2:E$45,2,FALSE)</f>
        <v>-105.0666611376399</v>
      </c>
      <c r="G30" s="141">
        <f t="shared" ca="1" si="1"/>
        <v>27</v>
      </c>
      <c r="H30" s="30">
        <f ca="1">VLOOKUP(A30,Rankings!B1:H651,7,FALSE)+(RAND()*0.00001)</f>
        <v>-0.78417940428566513</v>
      </c>
      <c r="I30" s="30">
        <f ca="1">H30-VLOOKUP(Settings!$K$4,G$2:H$45,2,FALSE)</f>
        <v>-1.511863212569728</v>
      </c>
    </row>
    <row r="31" spans="1:9" ht="18.600000000000001" customHeight="1">
      <c r="A31" s="25" t="s">
        <v>489</v>
      </c>
      <c r="B31" s="26" t="s">
        <v>122</v>
      </c>
      <c r="C31" s="123" t="s">
        <v>15</v>
      </c>
      <c r="D31" s="141">
        <f t="shared" ca="1" si="0"/>
        <v>30</v>
      </c>
      <c r="E31" s="30">
        <f ca="1">VLOOKUP(A31,Rankings!B1:H651,6,FALSE)+(RAND()*0.00001)</f>
        <v>252.30000888267693</v>
      </c>
      <c r="F31" s="30">
        <f ca="1">E31-VLOOKUP(Settings!$K$4,D$2:E$45,2,FALSE)</f>
        <v>-106.28332830335592</v>
      </c>
      <c r="G31" s="141">
        <f t="shared" ca="1" si="1"/>
        <v>31</v>
      </c>
      <c r="H31" s="30">
        <f ca="1">VLOOKUP(A31,Rankings!B1:H651,7,FALSE)+(RAND()*0.00001)</f>
        <v>-1.6043881388379364</v>
      </c>
      <c r="I31" s="30">
        <f ca="1">H31-VLOOKUP(Settings!$K$4,G$2:H$45,2,FALSE)</f>
        <v>-2.3320719471219991</v>
      </c>
    </row>
    <row r="32" spans="1:9" ht="20.100000000000001" customHeight="1">
      <c r="A32" s="25" t="s">
        <v>460</v>
      </c>
      <c r="B32" s="26" t="s">
        <v>97</v>
      </c>
      <c r="C32" s="123" t="s">
        <v>15</v>
      </c>
      <c r="D32" s="141">
        <f t="shared" ca="1" si="0"/>
        <v>31</v>
      </c>
      <c r="E32" s="30">
        <f ca="1">VLOOKUP(A32,Rankings!B1:H651,6,FALSE)+(RAND()*0.00001)</f>
        <v>246.96667575230833</v>
      </c>
      <c r="F32" s="30">
        <f ca="1">E32-VLOOKUP(Settings!$K$4,D$2:E$45,2,FALSE)</f>
        <v>-111.61666143372452</v>
      </c>
      <c r="G32" s="141">
        <f t="shared" ca="1" si="1"/>
        <v>30</v>
      </c>
      <c r="H32" s="30">
        <f ca="1">VLOOKUP(A32,Rankings!B1:H651,7,FALSE)+(RAND()*0.00001)</f>
        <v>-1.2683660846586153</v>
      </c>
      <c r="I32" s="30">
        <f ca="1">H32-VLOOKUP(Settings!$K$4,G$2:H$45,2,FALSE)</f>
        <v>-1.9960498929426782</v>
      </c>
    </row>
    <row r="33" spans="1:9" ht="20.100000000000001" customHeight="1">
      <c r="A33" s="25" t="s">
        <v>452</v>
      </c>
      <c r="B33" s="26" t="s">
        <v>85</v>
      </c>
      <c r="C33" s="123" t="s">
        <v>15</v>
      </c>
      <c r="D33" s="141">
        <f t="shared" ca="1" si="0"/>
        <v>32</v>
      </c>
      <c r="E33" s="30">
        <f ca="1">VLOOKUP(A33,Rankings!B1:H651,6,FALSE)+(RAND()*0.00001)</f>
        <v>245.45000198577759</v>
      </c>
      <c r="F33" s="30">
        <f ca="1">E33-VLOOKUP(Settings!$K$4,D$2:E$45,2,FALSE)</f>
        <v>-113.13333520025526</v>
      </c>
      <c r="G33" s="141">
        <f t="shared" ca="1" si="1"/>
        <v>29</v>
      </c>
      <c r="H33" s="30">
        <f ca="1">VLOOKUP(A33,Rankings!B1:H651,7,FALSE)+(RAND()*0.00001)</f>
        <v>-1.1861212802542023</v>
      </c>
      <c r="I33" s="30">
        <f ca="1">H33-VLOOKUP(Settings!$K$4,G$2:H$45,2,FALSE)</f>
        <v>-1.9138050885382651</v>
      </c>
    </row>
    <row r="34" spans="1:9" ht="18.600000000000001" customHeight="1">
      <c r="A34" s="25" t="s">
        <v>575</v>
      </c>
      <c r="B34" s="26" t="s">
        <v>99</v>
      </c>
      <c r="C34" s="123" t="s">
        <v>15</v>
      </c>
      <c r="D34" s="141">
        <f t="shared" ref="D34:D55" ca="1" si="2">RANK(E34,E$2:E$55)</f>
        <v>33</v>
      </c>
      <c r="E34" s="30">
        <f ca="1">VLOOKUP(A34,Rankings!B1:H651,6,FALSE)+(RAND()*0.00001)</f>
        <v>230.01667248067713</v>
      </c>
      <c r="F34" s="30">
        <f ca="1">E34-VLOOKUP(Settings!$K$4,D$2:E$45,2,FALSE)</f>
        <v>-128.56666470535572</v>
      </c>
      <c r="G34" s="141">
        <f t="shared" ref="G34:G55" ca="1" si="3">RANK(H34,H$2:H$55)</f>
        <v>36</v>
      </c>
      <c r="H34" s="30">
        <f ca="1">VLOOKUP(A34,Rankings!B1:H651,7,FALSE)+(RAND()*0.00001)</f>
        <v>-2.6255505074376519</v>
      </c>
      <c r="I34" s="30">
        <f ca="1">H34-VLOOKUP(Settings!$K$4,G$2:H$45,2,FALSE)</f>
        <v>-3.3532343157217146</v>
      </c>
    </row>
    <row r="35" spans="1:9" ht="18.600000000000001" customHeight="1">
      <c r="A35" s="25" t="s">
        <v>566</v>
      </c>
      <c r="B35" s="26" t="s">
        <v>139</v>
      </c>
      <c r="C35" s="123" t="s">
        <v>15</v>
      </c>
      <c r="D35" s="141">
        <f t="shared" ca="1" si="2"/>
        <v>34</v>
      </c>
      <c r="E35" s="30">
        <f ca="1">VLOOKUP(A35,Rankings!B1:H651,6,FALSE)+(RAND()*0.00001)</f>
        <v>224.40000353632274</v>
      </c>
      <c r="F35" s="30">
        <f ca="1">E35-VLOOKUP(Settings!$K$4,D$2:E$45,2,FALSE)</f>
        <v>-134.18333364971011</v>
      </c>
      <c r="G35" s="141">
        <f t="shared" ca="1" si="3"/>
        <v>34</v>
      </c>
      <c r="H35" s="30">
        <f ca="1">VLOOKUP(A35,Rankings!B1:H651,7,FALSE)+(RAND()*0.00001)</f>
        <v>-2.4731204423242503</v>
      </c>
      <c r="I35" s="30">
        <f ca="1">H35-VLOOKUP(Settings!$K$4,G$2:H$45,2,FALSE)</f>
        <v>-3.200804250608313</v>
      </c>
    </row>
    <row r="36" spans="1:9" ht="18.600000000000001" customHeight="1">
      <c r="A36" s="25" t="s">
        <v>568</v>
      </c>
      <c r="B36" s="26" t="s">
        <v>142</v>
      </c>
      <c r="C36" s="123" t="s">
        <v>15</v>
      </c>
      <c r="D36" s="141">
        <f t="shared" ca="1" si="2"/>
        <v>35</v>
      </c>
      <c r="E36" s="30">
        <f ca="1">VLOOKUP(A36,Rankings!B1:H651,6,FALSE)+(RAND()*0.00001)</f>
        <v>223.93333917552326</v>
      </c>
      <c r="F36" s="30">
        <f ca="1">E36-VLOOKUP(Settings!$K$4,D$2:E$45,2,FALSE)</f>
        <v>-134.64999801050959</v>
      </c>
      <c r="G36" s="141">
        <f t="shared" ca="1" si="3"/>
        <v>35</v>
      </c>
      <c r="H36" s="30">
        <f ca="1">VLOOKUP(A36,Rankings!B1:H651,7,FALSE)+(RAND()*0.00001)</f>
        <v>-2.5164459967001735</v>
      </c>
      <c r="I36" s="30">
        <f ca="1">H36-VLOOKUP(Settings!$K$4,G$2:H$45,2,FALSE)</f>
        <v>-3.2441298049842362</v>
      </c>
    </row>
    <row r="37" spans="1:9" ht="18.600000000000001" customHeight="1">
      <c r="A37" s="25" t="s">
        <v>536</v>
      </c>
      <c r="B37" s="26" t="s">
        <v>219</v>
      </c>
      <c r="C37" s="123" t="s">
        <v>15</v>
      </c>
      <c r="D37" s="141">
        <f t="shared" ca="1" si="2"/>
        <v>36</v>
      </c>
      <c r="E37" s="30">
        <f ca="1">VLOOKUP(A37,Rankings!B1:H651,6,FALSE)+(RAND()*0.00001)</f>
        <v>223.56667296981016</v>
      </c>
      <c r="F37" s="30">
        <f ca="1">E37-VLOOKUP(Settings!$K$4,D$2:E$45,2,FALSE)</f>
        <v>-135.01666421622269</v>
      </c>
      <c r="G37" s="141">
        <f t="shared" ca="1" si="3"/>
        <v>33</v>
      </c>
      <c r="H37" s="30">
        <f ca="1">VLOOKUP(A37,Rankings!B1:H651,7,FALSE)+(RAND()*0.00001)</f>
        <v>-2.1489706752276865</v>
      </c>
      <c r="I37" s="30">
        <f ca="1">H37-VLOOKUP(Settings!$K$4,G$2:H$45,2,FALSE)</f>
        <v>-2.8766544835117491</v>
      </c>
    </row>
    <row r="38" spans="1:9" ht="18.600000000000001" customHeight="1">
      <c r="A38" s="25" t="s">
        <v>597</v>
      </c>
      <c r="B38" s="26" t="s">
        <v>160</v>
      </c>
      <c r="C38" s="123" t="s">
        <v>15</v>
      </c>
      <c r="D38" s="141">
        <f t="shared" ca="1" si="2"/>
        <v>37</v>
      </c>
      <c r="E38" s="30">
        <f ca="1">VLOOKUP(A38,Rankings!B1:H651,6,FALSE)+(RAND()*0.00001)</f>
        <v>215.85000200821989</v>
      </c>
      <c r="F38" s="30">
        <f ca="1">E38-VLOOKUP(Settings!$K$4,D$2:E$45,2,FALSE)</f>
        <v>-142.73333517781296</v>
      </c>
      <c r="G38" s="141">
        <f t="shared" ca="1" si="3"/>
        <v>38</v>
      </c>
      <c r="H38" s="30">
        <f ca="1">VLOOKUP(A38,Rankings!B1:H651,7,FALSE)+(RAND()*0.00001)</f>
        <v>-2.8293087416080205</v>
      </c>
      <c r="I38" s="30">
        <f ca="1">H38-VLOOKUP(Settings!$K$4,G$2:H$45,2,FALSE)</f>
        <v>-3.5569925498920831</v>
      </c>
    </row>
    <row r="39" spans="1:9" ht="18.600000000000001" customHeight="1">
      <c r="A39" s="25" t="s">
        <v>586</v>
      </c>
      <c r="B39" s="26" t="s">
        <v>119</v>
      </c>
      <c r="C39" s="123" t="s">
        <v>15</v>
      </c>
      <c r="D39" s="141">
        <f t="shared" ca="1" si="2"/>
        <v>38</v>
      </c>
      <c r="E39" s="30">
        <f ca="1">VLOOKUP(A39,Rankings!B1:H651,6,FALSE)+(RAND()*0.00001)</f>
        <v>199.95000429777338</v>
      </c>
      <c r="F39" s="30">
        <f ca="1">E39-VLOOKUP(Settings!$K$4,D$2:E$45,2,FALSE)</f>
        <v>-158.63333288825947</v>
      </c>
      <c r="G39" s="141">
        <f t="shared" ca="1" si="3"/>
        <v>37</v>
      </c>
      <c r="H39" s="30">
        <f ca="1">VLOOKUP(A39,Rankings!B1:H651,7,FALSE)+(RAND()*0.00001)</f>
        <v>-2.7783647321525557</v>
      </c>
      <c r="I39" s="30">
        <f ca="1">H39-VLOOKUP(Settings!$K$4,G$2:H$45,2,FALSE)</f>
        <v>-3.5060485404366184</v>
      </c>
    </row>
    <row r="40" spans="1:9" ht="18.600000000000001" customHeight="1">
      <c r="A40" s="25" t="s">
        <v>617</v>
      </c>
      <c r="B40" s="26" t="s">
        <v>122</v>
      </c>
      <c r="C40" s="123" t="s">
        <v>15</v>
      </c>
      <c r="D40" s="141">
        <f t="shared" ca="1" si="2"/>
        <v>39</v>
      </c>
      <c r="E40" s="30">
        <f ca="1">VLOOKUP(A40,Rankings!B1:H651,6,FALSE)+(RAND()*0.00001)</f>
        <v>198.00000511496958</v>
      </c>
      <c r="F40" s="30">
        <f ca="1">E40-VLOOKUP(Settings!$K$4,D$2:E$45,2,FALSE)</f>
        <v>-160.58333207106327</v>
      </c>
      <c r="G40" s="141">
        <f t="shared" ca="1" si="3"/>
        <v>39</v>
      </c>
      <c r="H40" s="30">
        <f ca="1">VLOOKUP(A40,Rankings!B1:H651,7,FALSE)+(RAND()*0.00001)</f>
        <v>-3.0744717737497131</v>
      </c>
      <c r="I40" s="30">
        <f ca="1">H40-VLOOKUP(Settings!$K$4,G$2:H$45,2,FALSE)</f>
        <v>-3.8021555820337758</v>
      </c>
    </row>
    <row r="41" spans="1:9" ht="20.100000000000001" customHeight="1">
      <c r="A41" s="25" t="s">
        <v>637</v>
      </c>
      <c r="B41" s="26" t="s">
        <v>87</v>
      </c>
      <c r="C41" s="123" t="s">
        <v>15</v>
      </c>
      <c r="D41" s="141">
        <f t="shared" ca="1" si="2"/>
        <v>40</v>
      </c>
      <c r="E41" s="30">
        <f ca="1">VLOOKUP(A41,Rankings!B1:H651,6,FALSE)+(RAND()*0.00001)</f>
        <v>193.98333796626923</v>
      </c>
      <c r="F41" s="30">
        <f ca="1">E41-VLOOKUP(Settings!$K$4,D$2:E$45,2,FALSE)</f>
        <v>-164.59999921976362</v>
      </c>
      <c r="G41" s="141">
        <f t="shared" ca="1" si="3"/>
        <v>41</v>
      </c>
      <c r="H41" s="30">
        <f ca="1">VLOOKUP(A41,Rankings!B1:H651,7,FALSE)+(RAND()*0.00001)</f>
        <v>-3.4043466853017823</v>
      </c>
      <c r="I41" s="30">
        <f ca="1">H41-VLOOKUP(Settings!$K$4,G$2:H$45,2,FALSE)</f>
        <v>-4.1320304935858454</v>
      </c>
    </row>
    <row r="42" spans="1:9" ht="18.600000000000001" customHeight="1">
      <c r="A42" s="25" t="s">
        <v>632</v>
      </c>
      <c r="B42" s="26" t="s">
        <v>219</v>
      </c>
      <c r="C42" s="123" t="s">
        <v>15</v>
      </c>
      <c r="D42" s="141">
        <f t="shared" ca="1" si="2"/>
        <v>41</v>
      </c>
      <c r="E42" s="30">
        <f ca="1">VLOOKUP(A42,Rankings!B1:H651,6,FALSE)+(RAND()*0.00001)</f>
        <v>193.55000485820602</v>
      </c>
      <c r="F42" s="30">
        <f ca="1">E42-VLOOKUP(Settings!$K$4,D$2:E$45,2,FALSE)</f>
        <v>-165.03333232782683</v>
      </c>
      <c r="G42" s="141">
        <f t="shared" ca="1" si="3"/>
        <v>40</v>
      </c>
      <c r="H42" s="30">
        <f ca="1">VLOOKUP(A42,Rankings!B1:H651,7,FALSE)+(RAND()*0.00001)</f>
        <v>-3.3395287364496351</v>
      </c>
      <c r="I42" s="30">
        <f ca="1">H42-VLOOKUP(Settings!$K$4,G$2:H$45,2,FALSE)</f>
        <v>-4.0672125447336978</v>
      </c>
    </row>
    <row r="43" spans="1:9" ht="18.600000000000001" customHeight="1">
      <c r="A43" s="25" t="s">
        <v>649</v>
      </c>
      <c r="B43" s="26" t="s">
        <v>87</v>
      </c>
      <c r="C43" s="123" t="s">
        <v>15</v>
      </c>
      <c r="D43" s="141">
        <f t="shared" ca="1" si="2"/>
        <v>42</v>
      </c>
      <c r="E43" s="30">
        <f ca="1">VLOOKUP(A43,Rankings!B1:H651,6,FALSE)+(RAND()*0.00001)</f>
        <v>167.83334163640939</v>
      </c>
      <c r="F43" s="30">
        <f ca="1">E43-VLOOKUP(Settings!$K$4,D$2:E$45,2,FALSE)</f>
        <v>-190.74999554962346</v>
      </c>
      <c r="G43" s="141">
        <f t="shared" ca="1" si="3"/>
        <v>42</v>
      </c>
      <c r="H43" s="30">
        <f ca="1">VLOOKUP(A43,Rankings!B1:H651,7,FALSE)+(RAND()*0.00001)</f>
        <v>-3.5999156254486167</v>
      </c>
      <c r="I43" s="30">
        <f ca="1">H43-VLOOKUP(Settings!$K$4,G$2:H$45,2,FALSE)</f>
        <v>-4.3275994337326793</v>
      </c>
    </row>
    <row r="44" spans="1:9" ht="18.600000000000001" customHeight="1">
      <c r="A44" s="25" t="s">
        <v>668</v>
      </c>
      <c r="B44" s="26" t="s">
        <v>178</v>
      </c>
      <c r="C44" s="123" t="s">
        <v>15</v>
      </c>
      <c r="D44" s="141">
        <f t="shared" ca="1" si="2"/>
        <v>43</v>
      </c>
      <c r="E44" s="30">
        <f ca="1">VLOOKUP(A44,Rankings!B1:H651,6,FALSE)+(RAND()*0.00001)</f>
        <v>144.45000474014202</v>
      </c>
      <c r="F44" s="30">
        <f ca="1">E44-VLOOKUP(Settings!$K$4,D$2:E$45,2,FALSE)</f>
        <v>-214.13333244589083</v>
      </c>
      <c r="G44" s="141">
        <f t="shared" ca="1" si="3"/>
        <v>43</v>
      </c>
      <c r="H44" s="30">
        <f ca="1">VLOOKUP(A44,Rankings!B1:H651,7,FALSE)+(RAND()*0.00001)</f>
        <v>-3.993290561735364</v>
      </c>
      <c r="I44" s="30">
        <f ca="1">H44-VLOOKUP(Settings!$K$4,G$2:H$45,2,FALSE)</f>
        <v>-4.7209743700194267</v>
      </c>
    </row>
    <row r="45" spans="1:9" ht="18.600000000000001" customHeight="1">
      <c r="A45" s="25" t="s">
        <v>669</v>
      </c>
      <c r="B45" s="26" t="s">
        <v>97</v>
      </c>
      <c r="C45" s="123" t="s">
        <v>15</v>
      </c>
      <c r="D45" s="141">
        <f t="shared" ca="1" si="2"/>
        <v>44</v>
      </c>
      <c r="E45" s="30">
        <f ca="1">VLOOKUP(A45,Rankings!B1:H651,6,FALSE)+(RAND()*0.00001)</f>
        <v>137.00000354642569</v>
      </c>
      <c r="F45" s="30">
        <f ca="1">E45-VLOOKUP(Settings!$K$4,D$2:E$45,2,FALSE)</f>
        <v>-221.58333363960716</v>
      </c>
      <c r="G45" s="141">
        <f t="shared" ca="1" si="3"/>
        <v>44</v>
      </c>
      <c r="H45" s="30">
        <f ca="1">VLOOKUP(A45,Rankings!B1:H651,7,FALSE)+(RAND()*0.00001)</f>
        <v>-4.017252404706408</v>
      </c>
      <c r="I45" s="30">
        <f ca="1">H45-VLOOKUP(Settings!$K$4,G$2:H$45,2,FALSE)</f>
        <v>-4.7449362129904706</v>
      </c>
    </row>
    <row r="46" spans="1:9" ht="18.600000000000001" customHeight="1">
      <c r="A46" s="25" t="s">
        <v>675</v>
      </c>
      <c r="B46" s="26" t="s">
        <v>309</v>
      </c>
      <c r="C46" s="123" t="s">
        <v>15</v>
      </c>
      <c r="D46" s="141">
        <f t="shared" ca="1" si="2"/>
        <v>45</v>
      </c>
      <c r="E46" s="30">
        <f ca="1">VLOOKUP(A46,Rankings!B1:H651,6,FALSE)+(RAND()*0.00001)</f>
        <v>127.02500300366961</v>
      </c>
      <c r="F46" s="30">
        <f ca="1">E46-VLOOKUP(Settings!$K$4,D$2:E$45,2,FALSE)</f>
        <v>-231.55833418236324</v>
      </c>
      <c r="G46" s="141">
        <f t="shared" ca="1" si="3"/>
        <v>45</v>
      </c>
      <c r="H46" s="30">
        <f ca="1">VLOOKUP(A46,Rankings!B1:H651,7,FALSE)+(RAND()*0.00001)</f>
        <v>-4.1206583820911531</v>
      </c>
      <c r="I46" s="30">
        <f ca="1">H46-VLOOKUP(Settings!$K$4,G$2:H$45,2,FALSE)</f>
        <v>-4.8483421903752157</v>
      </c>
    </row>
    <row r="47" spans="1:9" ht="18.600000000000001" customHeight="1">
      <c r="A47" s="25" t="s">
        <v>706</v>
      </c>
      <c r="B47" s="26" t="s">
        <v>309</v>
      </c>
      <c r="C47" s="123" t="s">
        <v>15</v>
      </c>
      <c r="D47" s="141">
        <f t="shared" ca="1" si="2"/>
        <v>46</v>
      </c>
      <c r="E47" s="30">
        <f ca="1">VLOOKUP(A47,Rankings!B1:H651,6,FALSE)+(RAND()*0.00001)</f>
        <v>122.60000749242724</v>
      </c>
      <c r="F47" s="30">
        <f ca="1">E47-VLOOKUP(Settings!$K$4,D$2:E$45,2,FALSE)</f>
        <v>-235.98332969360561</v>
      </c>
      <c r="G47" s="141">
        <f t="shared" ca="1" si="3"/>
        <v>49</v>
      </c>
      <c r="H47" s="30">
        <f ca="1">VLOOKUP(A47,Rankings!B1:H651,7,FALSE)+(RAND()*0.00001)</f>
        <v>-4.9808622071311053</v>
      </c>
      <c r="I47" s="30">
        <f ca="1">H47-VLOOKUP(Settings!$K$4,G$2:H$45,2,FALSE)</f>
        <v>-5.7085460154151679</v>
      </c>
    </row>
    <row r="48" spans="1:9" ht="18.600000000000001" customHeight="1">
      <c r="A48" s="25" t="s">
        <v>721</v>
      </c>
      <c r="B48" s="26" t="s">
        <v>309</v>
      </c>
      <c r="C48" s="123" t="s">
        <v>15</v>
      </c>
      <c r="D48" s="141">
        <f t="shared" ca="1" si="2"/>
        <v>47</v>
      </c>
      <c r="E48" s="30">
        <f ca="1">VLOOKUP(A48,Rankings!B1:H651,6,FALSE)+(RAND()*0.00001)</f>
        <v>116.57500278825296</v>
      </c>
      <c r="F48" s="30">
        <f ca="1">E48-VLOOKUP(Settings!$K$4,D$2:E$45,2,FALSE)</f>
        <v>-242.00833439777989</v>
      </c>
      <c r="G48" s="141">
        <f t="shared" ca="1" si="3"/>
        <v>53</v>
      </c>
      <c r="H48" s="30">
        <f ca="1">VLOOKUP(A48,Rankings!B1:H651,7,FALSE)+(RAND()*0.00001)</f>
        <v>-5.662280254906241</v>
      </c>
      <c r="I48" s="30">
        <f ca="1">H48-VLOOKUP(Settings!$K$4,G$2:H$45,2,FALSE)</f>
        <v>-6.3899640631903036</v>
      </c>
    </row>
    <row r="49" spans="1:9" ht="18.600000000000001" customHeight="1">
      <c r="A49" s="25" t="s">
        <v>695</v>
      </c>
      <c r="B49" s="26" t="s">
        <v>116</v>
      </c>
      <c r="C49" s="123" t="s">
        <v>15</v>
      </c>
      <c r="D49" s="141">
        <f t="shared" ca="1" si="2"/>
        <v>48</v>
      </c>
      <c r="E49" s="30">
        <f ca="1">VLOOKUP(A49,Rankings!B1:H651,6,FALSE)+(RAND()*0.00001)</f>
        <v>114.88333796323616</v>
      </c>
      <c r="F49" s="30">
        <f ca="1">E49-VLOOKUP(Settings!$K$4,D$2:E$45,2,FALSE)</f>
        <v>-243.69999922279669</v>
      </c>
      <c r="G49" s="141">
        <f t="shared" ca="1" si="3"/>
        <v>47</v>
      </c>
      <c r="H49" s="30">
        <f ca="1">VLOOKUP(A49,Rankings!B1:H651,7,FALSE)+(RAND()*0.00001)</f>
        <v>-4.6375965846998461</v>
      </c>
      <c r="I49" s="30">
        <f ca="1">H49-VLOOKUP(Settings!$K$4,G$2:H$45,2,FALSE)</f>
        <v>-5.3652803929839088</v>
      </c>
    </row>
    <row r="50" spans="1:9" ht="18.600000000000001" customHeight="1">
      <c r="A50" s="25" t="s">
        <v>718</v>
      </c>
      <c r="B50" s="26" t="s">
        <v>99</v>
      </c>
      <c r="C50" s="123" t="s">
        <v>15</v>
      </c>
      <c r="D50" s="141">
        <f t="shared" ca="1" si="2"/>
        <v>49</v>
      </c>
      <c r="E50" s="30">
        <f ca="1">VLOOKUP(A50,Rankings!B1:H651,6,FALSE)+(RAND()*0.00001)</f>
        <v>113.40000805258481</v>
      </c>
      <c r="F50" s="30">
        <f ca="1">E50-VLOOKUP(Settings!$K$4,D$2:E$45,2,FALSE)</f>
        <v>-245.18332913344804</v>
      </c>
      <c r="G50" s="141">
        <f t="shared" ca="1" si="3"/>
        <v>51</v>
      </c>
      <c r="H50" s="30">
        <f ca="1">VLOOKUP(A50,Rankings!B1:H651,7,FALSE)+(RAND()*0.00001)</f>
        <v>-5.5401590493405104</v>
      </c>
      <c r="I50" s="30">
        <f ca="1">H50-VLOOKUP(Settings!$K$4,G$2:H$45,2,FALSE)</f>
        <v>-6.267842857624573</v>
      </c>
    </row>
    <row r="51" spans="1:9" ht="18.600000000000001" customHeight="1">
      <c r="A51" s="25" t="s">
        <v>696</v>
      </c>
      <c r="B51" s="26" t="s">
        <v>136</v>
      </c>
      <c r="C51" s="123" t="s">
        <v>15</v>
      </c>
      <c r="D51" s="141">
        <f t="shared" ca="1" si="2"/>
        <v>50</v>
      </c>
      <c r="E51" s="30">
        <f ca="1">VLOOKUP(A51,Rankings!B1:H651,6,FALSE)+(RAND()*0.00001)</f>
        <v>111.30000933913286</v>
      </c>
      <c r="F51" s="30">
        <f ca="1">E51-VLOOKUP(Settings!$K$4,D$2:E$45,2,FALSE)</f>
        <v>-247.28332784689999</v>
      </c>
      <c r="G51" s="141">
        <f t="shared" ca="1" si="3"/>
        <v>48</v>
      </c>
      <c r="H51" s="30">
        <f ca="1">VLOOKUP(A51,Rankings!B1:H651,7,FALSE)+(RAND()*0.00001)</f>
        <v>-4.6967960176630319</v>
      </c>
      <c r="I51" s="30">
        <f ca="1">H51-VLOOKUP(Settings!$K$4,G$2:H$45,2,FALSE)</f>
        <v>-5.4244798259470945</v>
      </c>
    </row>
    <row r="52" spans="1:9" ht="18.600000000000001" customHeight="1">
      <c r="A52" s="25" t="s">
        <v>692</v>
      </c>
      <c r="B52" s="26" t="s">
        <v>119</v>
      </c>
      <c r="C52" s="123" t="s">
        <v>15</v>
      </c>
      <c r="D52" s="141">
        <f t="shared" ca="1" si="2"/>
        <v>51</v>
      </c>
      <c r="E52" s="30">
        <f ca="1">VLOOKUP(A52,Rankings!B1:H651,6,FALSE)+(RAND()*0.00001)</f>
        <v>111.13333938234281</v>
      </c>
      <c r="F52" s="30">
        <f ca="1">E52-VLOOKUP(Settings!$K$4,D$2:E$45,2,FALSE)</f>
        <v>-247.44999780369005</v>
      </c>
      <c r="G52" s="141">
        <f t="shared" ca="1" si="3"/>
        <v>46</v>
      </c>
      <c r="H52" s="30">
        <f ca="1">VLOOKUP(A52,Rankings!B1:H651,7,FALSE)+(RAND()*0.00001)</f>
        <v>-4.6074535905123382</v>
      </c>
      <c r="I52" s="30">
        <f ca="1">H52-VLOOKUP(Settings!$K$4,G$2:H$45,2,FALSE)</f>
        <v>-5.3351373987964008</v>
      </c>
    </row>
    <row r="53" spans="1:9" ht="18.600000000000001" customHeight="1">
      <c r="A53" s="25" t="s">
        <v>731</v>
      </c>
      <c r="B53" s="26" t="s">
        <v>260</v>
      </c>
      <c r="C53" s="123" t="s">
        <v>15</v>
      </c>
      <c r="D53" s="141">
        <f t="shared" ca="1" si="2"/>
        <v>52</v>
      </c>
      <c r="E53" s="30">
        <f ca="1">VLOOKUP(A53,Rankings!B1:H651,6,FALSE)+(RAND()*0.00001)</f>
        <v>96.516667146681627</v>
      </c>
      <c r="F53" s="30">
        <f ca="1">E53-VLOOKUP(Settings!$K$4,D$2:E$45,2,FALSE)</f>
        <v>-262.06667003935121</v>
      </c>
      <c r="G53" s="141">
        <f t="shared" ca="1" si="3"/>
        <v>54</v>
      </c>
      <c r="H53" s="30">
        <f ca="1">VLOOKUP(A53,Rankings!B1:H651,7,FALSE)+(RAND()*0.00001)</f>
        <v>-6.499028468148861</v>
      </c>
      <c r="I53" s="30">
        <f ca="1">H53-VLOOKUP(Settings!$K$4,G$2:H$45,2,FALSE)</f>
        <v>-7.2267122764329237</v>
      </c>
    </row>
    <row r="54" spans="1:9" ht="18.600000000000001" customHeight="1">
      <c r="A54" s="25" t="s">
        <v>717</v>
      </c>
      <c r="B54" s="26" t="s">
        <v>79</v>
      </c>
      <c r="C54" s="123" t="s">
        <v>15</v>
      </c>
      <c r="D54" s="141">
        <f t="shared" ca="1" si="2"/>
        <v>53</v>
      </c>
      <c r="E54" s="30">
        <f ca="1">VLOOKUP(A54,Rankings!B1:H651,6,FALSE)+(RAND()*0.00001)</f>
        <v>89.350003535638905</v>
      </c>
      <c r="F54" s="30">
        <f ca="1">E54-VLOOKUP(Settings!$K$4,D$2:E$45,2,FALSE)</f>
        <v>-269.23333365039394</v>
      </c>
      <c r="G54" s="141">
        <f t="shared" ca="1" si="3"/>
        <v>50</v>
      </c>
      <c r="H54" s="30">
        <f ca="1">VLOOKUP(A54,Rankings!B1:H651,7,FALSE)+(RAND()*0.00001)</f>
        <v>-5.511245241668103</v>
      </c>
      <c r="I54" s="30">
        <f ca="1">H54-VLOOKUP(Settings!$K$4,G$2:H$45,2,FALSE)</f>
        <v>-6.2389290499521657</v>
      </c>
    </row>
    <row r="55" spans="1:9" ht="18.600000000000001" customHeight="1">
      <c r="A55" s="25" t="s">
        <v>719</v>
      </c>
      <c r="B55" s="26" t="s">
        <v>92</v>
      </c>
      <c r="C55" s="123" t="s">
        <v>15</v>
      </c>
      <c r="D55" s="141">
        <f t="shared" ca="1" si="2"/>
        <v>54</v>
      </c>
      <c r="E55" s="30">
        <f ca="1">VLOOKUP(A55,Rankings!B1:H651,6,FALSE)+(RAND()*0.00001)</f>
        <v>80.683342980636297</v>
      </c>
      <c r="F55" s="30">
        <f ca="1">E55-VLOOKUP(Settings!$K$4,D$2:E$45,2,FALSE)</f>
        <v>-277.89999420539652</v>
      </c>
      <c r="G55" s="141">
        <f t="shared" ca="1" si="3"/>
        <v>52</v>
      </c>
      <c r="H55" s="30">
        <f ca="1">VLOOKUP(A55,Rankings!B1:H651,7,FALSE)+(RAND()*0.00001)</f>
        <v>-5.5819913108938444</v>
      </c>
      <c r="I55" s="30">
        <f ca="1">H55-VLOOKUP(Settings!$K$4,G$2:H$45,2,FALSE)</f>
        <v>-6.309675119177907</v>
      </c>
    </row>
  </sheetData>
  <autoFilter ref="A1:I55" xr:uid="{00000000-0001-0000-0700-000000000000}">
    <sortState xmlns:xlrd2="http://schemas.microsoft.com/office/spreadsheetml/2017/richdata2" ref="A2:I55">
      <sortCondition ref="D1:D55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54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9" width="7.140625" style="1" customWidth="1"/>
    <col min="10" max="10" width="16.28515625" style="1" customWidth="1"/>
    <col min="11" max="16384" width="16.28515625" style="1"/>
  </cols>
  <sheetData>
    <row r="1" spans="1:9" ht="36.950000000000003" customHeight="1">
      <c r="A1" s="138" t="s">
        <v>59</v>
      </c>
      <c r="B1" s="139" t="s">
        <v>60</v>
      </c>
      <c r="C1" s="139" t="s">
        <v>752</v>
      </c>
      <c r="D1" s="140" t="s">
        <v>753</v>
      </c>
      <c r="E1" s="139" t="s">
        <v>63</v>
      </c>
      <c r="F1" s="139" t="s">
        <v>65</v>
      </c>
      <c r="G1" s="140" t="s">
        <v>754</v>
      </c>
      <c r="H1" s="139" t="s">
        <v>64</v>
      </c>
      <c r="I1" s="139" t="s">
        <v>65</v>
      </c>
    </row>
    <row r="2" spans="1:9" ht="18.600000000000001" customHeight="1">
      <c r="A2" s="25" t="s">
        <v>202</v>
      </c>
      <c r="B2" s="26" t="s">
        <v>119</v>
      </c>
      <c r="C2" s="124" t="s">
        <v>19</v>
      </c>
      <c r="D2" s="141">
        <f t="shared" ref="D2:D33" ca="1" si="0">RANK(E2,E$2:E$54)</f>
        <v>1</v>
      </c>
      <c r="E2" s="30">
        <f ca="1">VLOOKUP(A2,Rankings!B1:H651,6,FALSE)+(RAND()*0.00001)</f>
        <v>444.14167504584503</v>
      </c>
      <c r="F2" s="30">
        <f ca="1">E2-VLOOKUP(Settings!$K$5,D$2:E$45,2,FALSE)</f>
        <v>151.82500001928673</v>
      </c>
      <c r="G2" s="141">
        <f t="shared" ref="G2:G33" ca="1" si="1">RANK(H2,H$2:H$54)</f>
        <v>6</v>
      </c>
      <c r="H2" s="30">
        <f ca="1">VLOOKUP(A2,Rankings!B1:H651,7,FALSE)+(RAND()*0.00001)</f>
        <v>2.2945923866896059</v>
      </c>
      <c r="I2" s="30">
        <f ca="1">H2-VLOOKUP(Settings!$K$5,G$2:H$45,2,FALSE)</f>
        <v>2.6116816270519925</v>
      </c>
    </row>
    <row r="3" spans="1:9" ht="18.600000000000001" customHeight="1">
      <c r="A3" s="25" t="s">
        <v>161</v>
      </c>
      <c r="B3" s="26" t="s">
        <v>82</v>
      </c>
      <c r="C3" s="124" t="s">
        <v>19</v>
      </c>
      <c r="D3" s="141">
        <f t="shared" ca="1" si="0"/>
        <v>2</v>
      </c>
      <c r="E3" s="30">
        <f ca="1">VLOOKUP(A3,Rankings!B1:H651,6,FALSE)+(RAND()*0.00001)</f>
        <v>439.33333508771409</v>
      </c>
      <c r="F3" s="30">
        <f ca="1">E3-VLOOKUP(Settings!$K$5,D$2:E$45,2,FALSE)</f>
        <v>147.01666006115579</v>
      </c>
      <c r="G3" s="141">
        <f t="shared" ca="1" si="1"/>
        <v>3</v>
      </c>
      <c r="H3" s="30">
        <f ca="1">VLOOKUP(A3,Rankings!B1:H651,7,FALSE)+(RAND()*0.00001)</f>
        <v>3.476763491465936</v>
      </c>
      <c r="I3" s="30">
        <f ca="1">H3-VLOOKUP(Settings!$K$5,G$2:H$45,2,FALSE)</f>
        <v>3.7938527318283226</v>
      </c>
    </row>
    <row r="4" spans="1:9" ht="20.100000000000001" customHeight="1">
      <c r="A4" s="25" t="s">
        <v>210</v>
      </c>
      <c r="B4" s="26" t="s">
        <v>101</v>
      </c>
      <c r="C4" s="124" t="s">
        <v>19</v>
      </c>
      <c r="D4" s="141">
        <f t="shared" ca="1" si="0"/>
        <v>3</v>
      </c>
      <c r="E4" s="30">
        <f ca="1">VLOOKUP(A4,Rankings!B1:H651,6,FALSE)+(RAND()*0.00001)</f>
        <v>434.51667615605379</v>
      </c>
      <c r="F4" s="30">
        <f ca="1">E4-VLOOKUP(Settings!$K$5,D$2:E$45,2,FALSE)</f>
        <v>142.20000112949549</v>
      </c>
      <c r="G4" s="141">
        <f t="shared" ca="1" si="1"/>
        <v>7</v>
      </c>
      <c r="H4" s="30">
        <f ca="1">VLOOKUP(A4,Rankings!B1:H651,7,FALSE)+(RAND()*0.00001)</f>
        <v>2.0416402284496793</v>
      </c>
      <c r="I4" s="30">
        <f ca="1">H4-VLOOKUP(Settings!$K$5,G$2:H$45,2,FALSE)</f>
        <v>2.3587294688120659</v>
      </c>
    </row>
    <row r="5" spans="1:9" ht="20.100000000000001" customHeight="1">
      <c r="A5" s="25" t="s">
        <v>144</v>
      </c>
      <c r="B5" s="26" t="s">
        <v>95</v>
      </c>
      <c r="C5" s="124" t="s">
        <v>19</v>
      </c>
      <c r="D5" s="141">
        <f t="shared" ca="1" si="0"/>
        <v>4</v>
      </c>
      <c r="E5" s="30">
        <f ca="1">VLOOKUP(A5,Rankings!B1:H651,6,FALSE)+(RAND()*0.00001)</f>
        <v>425.31667364397953</v>
      </c>
      <c r="F5" s="30">
        <f ca="1">E5-VLOOKUP(Settings!$K$5,D$2:E$45,2,FALSE)</f>
        <v>132.99999861742123</v>
      </c>
      <c r="G5" s="141">
        <f t="shared" ca="1" si="1"/>
        <v>2</v>
      </c>
      <c r="H5" s="30">
        <f ca="1">VLOOKUP(A5,Rankings!B1:H651,7,FALSE)+(RAND()*0.00001)</f>
        <v>4.2203236894656291</v>
      </c>
      <c r="I5" s="30">
        <f ca="1">H5-VLOOKUP(Settings!$K$5,G$2:H$45,2,FALSE)</f>
        <v>4.5374129298280161</v>
      </c>
    </row>
    <row r="6" spans="1:9" ht="20.100000000000001" customHeight="1">
      <c r="A6" s="25" t="s">
        <v>131</v>
      </c>
      <c r="B6" s="26" t="s">
        <v>92</v>
      </c>
      <c r="C6" s="124" t="s">
        <v>19</v>
      </c>
      <c r="D6" s="141">
        <f t="shared" ca="1" si="0"/>
        <v>5</v>
      </c>
      <c r="E6" s="30">
        <f ca="1">VLOOKUP(A6,Rankings!B1:H651,6,FALSE)+(RAND()*0.00001)</f>
        <v>425.00000056645627</v>
      </c>
      <c r="F6" s="30">
        <f ca="1">E6-VLOOKUP(Settings!$K$5,D$2:E$45,2,FALSE)</f>
        <v>132.68332553989796</v>
      </c>
      <c r="G6" s="141">
        <f t="shared" ca="1" si="1"/>
        <v>1</v>
      </c>
      <c r="H6" s="30">
        <f ca="1">VLOOKUP(A6,Rankings!B1:H651,7,FALSE)+(RAND()*0.00001)</f>
        <v>4.7320322073455054</v>
      </c>
      <c r="I6" s="30">
        <f ca="1">H6-VLOOKUP(Settings!$K$5,G$2:H$45,2,FALSE)</f>
        <v>5.0491214477078925</v>
      </c>
    </row>
    <row r="7" spans="1:9" ht="20.100000000000001" customHeight="1">
      <c r="A7" s="25" t="s">
        <v>200</v>
      </c>
      <c r="B7" s="26" t="s">
        <v>95</v>
      </c>
      <c r="C7" s="124" t="s">
        <v>19</v>
      </c>
      <c r="D7" s="141">
        <f t="shared" ca="1" si="0"/>
        <v>6</v>
      </c>
      <c r="E7" s="30">
        <f ca="1">VLOOKUP(A7,Rankings!B1:H651,6,FALSE)+(RAND()*0.00001)</f>
        <v>396.4000006164718</v>
      </c>
      <c r="F7" s="30">
        <f ca="1">E7-VLOOKUP(Settings!$K$5,D$2:E$45,2,FALSE)</f>
        <v>104.0833255899135</v>
      </c>
      <c r="G7" s="141">
        <f t="shared" ca="1" si="1"/>
        <v>5</v>
      </c>
      <c r="H7" s="30">
        <f ca="1">VLOOKUP(A7,Rankings!B1:H651,7,FALSE)+(RAND()*0.00001)</f>
        <v>2.4328958569311543</v>
      </c>
      <c r="I7" s="30">
        <f ca="1">H7-VLOOKUP(Settings!$K$5,G$2:H$45,2,FALSE)</f>
        <v>2.7499850972935409</v>
      </c>
    </row>
    <row r="8" spans="1:9" ht="18.600000000000001" customHeight="1">
      <c r="A8" s="25" t="s">
        <v>166</v>
      </c>
      <c r="B8" s="26" t="s">
        <v>119</v>
      </c>
      <c r="C8" s="124" t="s">
        <v>19</v>
      </c>
      <c r="D8" s="141">
        <f t="shared" ca="1" si="0"/>
        <v>7</v>
      </c>
      <c r="E8" s="30">
        <f ca="1">VLOOKUP(A8,Rankings!B1:H651,6,FALSE)+(RAND()*0.00001)</f>
        <v>393.83334150593197</v>
      </c>
      <c r="F8" s="30">
        <f ca="1">E8-VLOOKUP(Settings!$K$5,D$2:E$45,2,FALSE)</f>
        <v>101.51666647937367</v>
      </c>
      <c r="G8" s="141">
        <f t="shared" ca="1" si="1"/>
        <v>4</v>
      </c>
      <c r="H8" s="30">
        <f ca="1">VLOOKUP(A8,Rankings!B1:H651,7,FALSE)+(RAND()*0.00001)</f>
        <v>3.4024227484478731</v>
      </c>
      <c r="I8" s="30">
        <f ca="1">H8-VLOOKUP(Settings!$K$5,G$2:H$45,2,FALSE)</f>
        <v>3.7195119888102597</v>
      </c>
    </row>
    <row r="9" spans="1:9" ht="18.600000000000001" customHeight="1">
      <c r="A9" s="25" t="s">
        <v>270</v>
      </c>
      <c r="B9" s="26" t="s">
        <v>74</v>
      </c>
      <c r="C9" s="124" t="s">
        <v>19</v>
      </c>
      <c r="D9" s="141">
        <f t="shared" ca="1" si="0"/>
        <v>8</v>
      </c>
      <c r="E9" s="30">
        <f ca="1">VLOOKUP(A9,Rankings!B1:H651,6,FALSE)+(RAND()*0.00001)</f>
        <v>365.73333529952475</v>
      </c>
      <c r="F9" s="30">
        <f ca="1">E9-VLOOKUP(Settings!$K$5,D$2:E$45,2,FALSE)</f>
        <v>73.416660272966453</v>
      </c>
      <c r="G9" s="141">
        <f t="shared" ca="1" si="1"/>
        <v>10</v>
      </c>
      <c r="H9" s="30">
        <f ca="1">VLOOKUP(A9,Rankings!B1:H651,7,FALSE)+(RAND()*0.00001)</f>
        <v>0.69440810177932755</v>
      </c>
      <c r="I9" s="30">
        <f ca="1">H9-VLOOKUP(Settings!$K$5,G$2:H$45,2,FALSE)</f>
        <v>1.0114973421417144</v>
      </c>
    </row>
    <row r="10" spans="1:9" ht="20.100000000000001" customHeight="1">
      <c r="A10" s="25" t="s">
        <v>249</v>
      </c>
      <c r="B10" s="26" t="s">
        <v>125</v>
      </c>
      <c r="C10" s="124" t="s">
        <v>19</v>
      </c>
      <c r="D10" s="141">
        <f t="shared" ca="1" si="0"/>
        <v>9</v>
      </c>
      <c r="E10" s="30">
        <f ca="1">VLOOKUP(A10,Rankings!B1:H651,6,FALSE)+(RAND()*0.00001)</f>
        <v>348.96666756911782</v>
      </c>
      <c r="F10" s="30">
        <f ca="1">E10-VLOOKUP(Settings!$K$5,D$2:E$45,2,FALSE)</f>
        <v>56.649992542559517</v>
      </c>
      <c r="G10" s="141">
        <f t="shared" ca="1" si="1"/>
        <v>9</v>
      </c>
      <c r="H10" s="30">
        <f ca="1">VLOOKUP(A10,Rankings!B1:H651,7,FALSE)+(RAND()*0.00001)</f>
        <v>1.1222264242415254</v>
      </c>
      <c r="I10" s="30">
        <f ca="1">H10-VLOOKUP(Settings!$K$5,G$2:H$45,2,FALSE)</f>
        <v>1.439315664603912</v>
      </c>
    </row>
    <row r="11" spans="1:9" ht="18.600000000000001" customHeight="1">
      <c r="A11" s="25" t="s">
        <v>236</v>
      </c>
      <c r="B11" s="26" t="s">
        <v>225</v>
      </c>
      <c r="C11" s="124" t="s">
        <v>19</v>
      </c>
      <c r="D11" s="141">
        <f t="shared" ca="1" si="0"/>
        <v>10</v>
      </c>
      <c r="E11" s="30">
        <f ca="1">VLOOKUP(A11,Rankings!B1:H651,6,FALSE)+(RAND()*0.00001)</f>
        <v>337.56667549036138</v>
      </c>
      <c r="F11" s="30">
        <f ca="1">E11-VLOOKUP(Settings!$K$5,D$2:E$45,2,FALSE)</f>
        <v>45.250000463803076</v>
      </c>
      <c r="G11" s="141">
        <f t="shared" ca="1" si="1"/>
        <v>8</v>
      </c>
      <c r="H11" s="30">
        <f ca="1">VLOOKUP(A11,Rankings!B1:H651,7,FALSE)+(RAND()*0.00001)</f>
        <v>1.4577591066894031</v>
      </c>
      <c r="I11" s="30">
        <f ca="1">H11-VLOOKUP(Settings!$K$5,G$2:H$45,2,FALSE)</f>
        <v>1.77484834705179</v>
      </c>
    </row>
    <row r="12" spans="1:9" ht="18.600000000000001" customHeight="1">
      <c r="A12" s="25" t="s">
        <v>328</v>
      </c>
      <c r="B12" s="26" t="s">
        <v>309</v>
      </c>
      <c r="C12" s="124" t="s">
        <v>19</v>
      </c>
      <c r="D12" s="141">
        <f t="shared" ca="1" si="0"/>
        <v>11</v>
      </c>
      <c r="E12" s="30">
        <f ca="1">VLOOKUP(A12,Rankings!B1:H651,6,FALSE)+(RAND()*0.00001)</f>
        <v>311.98333887810543</v>
      </c>
      <c r="F12" s="30">
        <f ca="1">E12-VLOOKUP(Settings!$K$5,D$2:E$45,2,FALSE)</f>
        <v>19.666663851547128</v>
      </c>
      <c r="G12" s="141">
        <f t="shared" ca="1" si="1"/>
        <v>11</v>
      </c>
      <c r="H12" s="30">
        <f ca="1">VLOOKUP(A12,Rankings!B1:H651,7,FALSE)+(RAND()*0.00001)</f>
        <v>-0.26850604354653718</v>
      </c>
      <c r="I12" s="30">
        <f ca="1">H12-VLOOKUP(Settings!$K$5,G$2:H$45,2,FALSE)</f>
        <v>4.858319681584955E-2</v>
      </c>
    </row>
    <row r="13" spans="1:9" ht="18.600000000000001" customHeight="1">
      <c r="A13" s="25" t="s">
        <v>412</v>
      </c>
      <c r="B13" s="26" t="s">
        <v>72</v>
      </c>
      <c r="C13" s="124" t="s">
        <v>19</v>
      </c>
      <c r="D13" s="141">
        <f t="shared" ca="1" si="0"/>
        <v>12</v>
      </c>
      <c r="E13" s="30">
        <f ca="1">VLOOKUP(A13,Rankings!B1:H651,6,FALSE)+(RAND()*0.00001)</f>
        <v>292.3166750265583</v>
      </c>
      <c r="F13" s="30">
        <f ca="1">E13-VLOOKUP(Settings!$K$5,D$2:E$45,2,FALSE)</f>
        <v>0</v>
      </c>
      <c r="G13" s="141">
        <f t="shared" ca="1" si="1"/>
        <v>16</v>
      </c>
      <c r="H13" s="30">
        <f ca="1">VLOOKUP(A13,Rankings!B1:H651,7,FALSE)+(RAND()*0.00001)</f>
        <v>-1.5058464207141995</v>
      </c>
      <c r="I13" s="30">
        <f ca="1">H13-VLOOKUP(Settings!$K$5,G$2:H$45,2,FALSE)</f>
        <v>-1.1887571803518129</v>
      </c>
    </row>
    <row r="14" spans="1:9" ht="18.600000000000001" customHeight="1">
      <c r="A14" s="25" t="s">
        <v>397</v>
      </c>
      <c r="B14" s="26" t="s">
        <v>142</v>
      </c>
      <c r="C14" s="124" t="s">
        <v>19</v>
      </c>
      <c r="D14" s="141">
        <f t="shared" ca="1" si="0"/>
        <v>13</v>
      </c>
      <c r="E14" s="30">
        <f ca="1">VLOOKUP(A14,Rankings!B1:H651,6,FALSE)+(RAND()*0.00001)</f>
        <v>291.92500463924574</v>
      </c>
      <c r="F14" s="30">
        <f ca="1">E14-VLOOKUP(Settings!$K$5,D$2:E$45,2,FALSE)</f>
        <v>-0.39167038731255843</v>
      </c>
      <c r="G14" s="141">
        <f t="shared" ca="1" si="1"/>
        <v>15</v>
      </c>
      <c r="H14" s="30">
        <f ca="1">VLOOKUP(A14,Rankings!B1:H651,7,FALSE)+(RAND()*0.00001)</f>
        <v>-1.2217740467438387</v>
      </c>
      <c r="I14" s="30">
        <f ca="1">H14-VLOOKUP(Settings!$K$5,G$2:H$45,2,FALSE)</f>
        <v>-0.90468480638145199</v>
      </c>
    </row>
    <row r="15" spans="1:9" ht="18.600000000000001" customHeight="1">
      <c r="A15" s="25" t="s">
        <v>380</v>
      </c>
      <c r="B15" s="26" t="s">
        <v>95</v>
      </c>
      <c r="C15" s="124" t="s">
        <v>19</v>
      </c>
      <c r="D15" s="141">
        <f t="shared" ca="1" si="0"/>
        <v>14</v>
      </c>
      <c r="E15" s="30">
        <f ca="1">VLOOKUP(A15,Rankings!B1:H651,6,FALSE)+(RAND()*0.00001)</f>
        <v>279.93333423852295</v>
      </c>
      <c r="F15" s="30">
        <f ca="1">E15-VLOOKUP(Settings!$K$5,D$2:E$45,2,FALSE)</f>
        <v>-12.383340788035355</v>
      </c>
      <c r="G15" s="141">
        <f t="shared" ca="1" si="1"/>
        <v>13</v>
      </c>
      <c r="H15" s="30">
        <f ca="1">VLOOKUP(A15,Rankings!B1:H651,7,FALSE)+(RAND()*0.00001)</f>
        <v>-1.0202917497587662</v>
      </c>
      <c r="I15" s="30">
        <f ca="1">H15-VLOOKUP(Settings!$K$5,G$2:H$45,2,FALSE)</f>
        <v>-0.70320250939637952</v>
      </c>
    </row>
    <row r="16" spans="1:9" ht="18.600000000000001" customHeight="1">
      <c r="A16" s="25" t="s">
        <v>337</v>
      </c>
      <c r="B16" s="26" t="s">
        <v>99</v>
      </c>
      <c r="C16" s="124" t="s">
        <v>19</v>
      </c>
      <c r="D16" s="141">
        <f t="shared" ca="1" si="0"/>
        <v>15</v>
      </c>
      <c r="E16" s="30">
        <f ca="1">VLOOKUP(A16,Rankings!B1:H651,6,FALSE)+(RAND()*0.00001)</f>
        <v>277.38334232906243</v>
      </c>
      <c r="F16" s="30">
        <f ca="1">E16-VLOOKUP(Settings!$K$5,D$2:E$45,2,FALSE)</f>
        <v>-14.933332697495871</v>
      </c>
      <c r="G16" s="141">
        <f t="shared" ca="1" si="1"/>
        <v>12</v>
      </c>
      <c r="H16" s="30">
        <f ca="1">VLOOKUP(A16,Rankings!B1:H651,7,FALSE)+(RAND()*0.00001)</f>
        <v>-0.31708924036238673</v>
      </c>
      <c r="I16" s="30">
        <f ca="1">H16-VLOOKUP(Settings!$K$5,G$2:H$45,2,FALSE)</f>
        <v>0</v>
      </c>
    </row>
    <row r="17" spans="1:9" ht="18.600000000000001" customHeight="1">
      <c r="A17" s="25" t="s">
        <v>448</v>
      </c>
      <c r="B17" s="26" t="s">
        <v>87</v>
      </c>
      <c r="C17" s="124" t="s">
        <v>19</v>
      </c>
      <c r="D17" s="141">
        <f t="shared" ca="1" si="0"/>
        <v>16</v>
      </c>
      <c r="E17" s="30">
        <f ca="1">VLOOKUP(A17,Rankings!B1:H651,6,FALSE)+(RAND()*0.00001)</f>
        <v>267.71667142935678</v>
      </c>
      <c r="F17" s="30">
        <f ca="1">E17-VLOOKUP(Settings!$K$5,D$2:E$45,2,FALSE)</f>
        <v>-24.600003597201521</v>
      </c>
      <c r="G17" s="141">
        <f t="shared" ca="1" si="1"/>
        <v>18</v>
      </c>
      <c r="H17" s="30">
        <f ca="1">VLOOKUP(A17,Rankings!B1:H651,7,FALSE)+(RAND()*0.00001)</f>
        <v>-2.1844184427139659</v>
      </c>
      <c r="I17" s="30">
        <f ca="1">H17-VLOOKUP(Settings!$K$5,G$2:H$45,2,FALSE)</f>
        <v>-1.8673292023515793</v>
      </c>
    </row>
    <row r="18" spans="1:9" ht="18.600000000000001" customHeight="1">
      <c r="A18" s="25" t="s">
        <v>386</v>
      </c>
      <c r="B18" s="26" t="s">
        <v>74</v>
      </c>
      <c r="C18" s="124" t="s">
        <v>19</v>
      </c>
      <c r="D18" s="141">
        <f t="shared" ca="1" si="0"/>
        <v>17</v>
      </c>
      <c r="E18" s="30">
        <f ca="1">VLOOKUP(A18,Rankings!B1:H651,6,FALSE)+(RAND()*0.00001)</f>
        <v>248.71667543156138</v>
      </c>
      <c r="F18" s="30">
        <f ca="1">E18-VLOOKUP(Settings!$K$5,D$2:E$45,2,FALSE)</f>
        <v>-43.599999594996916</v>
      </c>
      <c r="G18" s="141">
        <f t="shared" ca="1" si="1"/>
        <v>14</v>
      </c>
      <c r="H18" s="30">
        <f ca="1">VLOOKUP(A18,Rankings!B1:H651,7,FALSE)+(RAND()*0.00001)</f>
        <v>-1.0740296271081011</v>
      </c>
      <c r="I18" s="30">
        <f ca="1">H18-VLOOKUP(Settings!$K$5,G$2:H$45,2,FALSE)</f>
        <v>-0.7569403867457144</v>
      </c>
    </row>
    <row r="19" spans="1:9" ht="18.600000000000001" customHeight="1">
      <c r="A19" s="25" t="s">
        <v>539</v>
      </c>
      <c r="B19" s="26" t="s">
        <v>116</v>
      </c>
      <c r="C19" s="124" t="s">
        <v>19</v>
      </c>
      <c r="D19" s="141">
        <f t="shared" ca="1" si="0"/>
        <v>18</v>
      </c>
      <c r="E19" s="30">
        <f ca="1">VLOOKUP(A19,Rankings!B1:H651,6,FALSE)+(RAND()*0.00001)</f>
        <v>235.91667493982101</v>
      </c>
      <c r="F19" s="30">
        <f ca="1">E19-VLOOKUP(Settings!$K$5,D$2:E$45,2,FALSE)</f>
        <v>-56.400000086737293</v>
      </c>
      <c r="G19" s="141">
        <f t="shared" ca="1" si="1"/>
        <v>27</v>
      </c>
      <c r="H19" s="30">
        <f ca="1">VLOOKUP(A19,Rankings!B1:H651,7,FALSE)+(RAND()*0.00001)</f>
        <v>-3.2161875447916182</v>
      </c>
      <c r="I19" s="30">
        <f ca="1">H19-VLOOKUP(Settings!$K$5,G$2:H$45,2,FALSE)</f>
        <v>-2.8990983044292316</v>
      </c>
    </row>
    <row r="20" spans="1:9" ht="18.600000000000001" customHeight="1">
      <c r="A20" s="25" t="s">
        <v>418</v>
      </c>
      <c r="B20" s="26" t="s">
        <v>158</v>
      </c>
      <c r="C20" s="124" t="s">
        <v>19</v>
      </c>
      <c r="D20" s="141">
        <f t="shared" ca="1" si="0"/>
        <v>19</v>
      </c>
      <c r="E20" s="30">
        <f ca="1">VLOOKUP(A20,Rankings!B1:H651,6,FALSE)+(RAND()*0.00001)</f>
        <v>235.31667111328935</v>
      </c>
      <c r="F20" s="30">
        <f ca="1">E20-VLOOKUP(Settings!$K$5,D$2:E$45,2,FALSE)</f>
        <v>-57.000003913268955</v>
      </c>
      <c r="G20" s="141">
        <f t="shared" ca="1" si="1"/>
        <v>17</v>
      </c>
      <c r="H20" s="30">
        <f ca="1">VLOOKUP(A20,Rankings!B1:H651,7,FALSE)+(RAND()*0.00001)</f>
        <v>-1.7596166191486475</v>
      </c>
      <c r="I20" s="30">
        <f ca="1">H20-VLOOKUP(Settings!$K$5,G$2:H$45,2,FALSE)</f>
        <v>-1.4425273787862607</v>
      </c>
    </row>
    <row r="21" spans="1:9" ht="20.100000000000001" customHeight="1">
      <c r="A21" s="25" t="s">
        <v>456</v>
      </c>
      <c r="B21" s="26" t="s">
        <v>178</v>
      </c>
      <c r="C21" s="124" t="s">
        <v>19</v>
      </c>
      <c r="D21" s="141">
        <f t="shared" ca="1" si="0"/>
        <v>20</v>
      </c>
      <c r="E21" s="30">
        <f ca="1">VLOOKUP(A21,Rankings!B1:H651,6,FALSE)+(RAND()*0.00001)</f>
        <v>234.93333987719754</v>
      </c>
      <c r="F21" s="30">
        <f ca="1">E21-VLOOKUP(Settings!$K$5,D$2:E$45,2,FALSE)</f>
        <v>-57.383335149360761</v>
      </c>
      <c r="G21" s="141">
        <f t="shared" ca="1" si="1"/>
        <v>19</v>
      </c>
      <c r="H21" s="30">
        <f ca="1">VLOOKUP(A21,Rankings!B1:H651,7,FALSE)+(RAND()*0.00001)</f>
        <v>-2.2819756934705624</v>
      </c>
      <c r="I21" s="30">
        <f ca="1">H21-VLOOKUP(Settings!$K$5,G$2:H$45,2,FALSE)</f>
        <v>-1.9648864531081758</v>
      </c>
    </row>
    <row r="22" spans="1:9" ht="18.600000000000001" customHeight="1">
      <c r="A22" s="25" t="s">
        <v>496</v>
      </c>
      <c r="B22" s="26" t="s">
        <v>85</v>
      </c>
      <c r="C22" s="124" t="s">
        <v>19</v>
      </c>
      <c r="D22" s="141">
        <f t="shared" ca="1" si="0"/>
        <v>21</v>
      </c>
      <c r="E22" s="30">
        <f ca="1">VLOOKUP(A22,Rankings!B1:H651,6,FALSE)+(RAND()*0.00001)</f>
        <v>215.26667058939779</v>
      </c>
      <c r="F22" s="30">
        <f ca="1">E22-VLOOKUP(Settings!$K$5,D$2:E$45,2,FALSE)</f>
        <v>-77.05000443716051</v>
      </c>
      <c r="G22" s="141">
        <f t="shared" ca="1" si="1"/>
        <v>22</v>
      </c>
      <c r="H22" s="30">
        <f ca="1">VLOOKUP(A22,Rankings!B1:H651,7,FALSE)+(RAND()*0.00001)</f>
        <v>-2.7399222082620303</v>
      </c>
      <c r="I22" s="30">
        <f ca="1">H22-VLOOKUP(Settings!$K$5,G$2:H$45,2,FALSE)</f>
        <v>-2.4228329678996436</v>
      </c>
    </row>
    <row r="23" spans="1:9" ht="18.600000000000001" customHeight="1">
      <c r="A23" s="25" t="s">
        <v>487</v>
      </c>
      <c r="B23" s="26" t="s">
        <v>64</v>
      </c>
      <c r="C23" s="124" t="s">
        <v>19</v>
      </c>
      <c r="D23" s="141">
        <f t="shared" ca="1" si="0"/>
        <v>22</v>
      </c>
      <c r="E23" s="30">
        <f ca="1">VLOOKUP(A23,Rankings!B1:H651,6,FALSE)+(RAND()*0.00001)</f>
        <v>212.06667620978831</v>
      </c>
      <c r="F23" s="30">
        <f ca="1">E23-VLOOKUP(Settings!$K$5,D$2:E$45,2,FALSE)</f>
        <v>-80.249998816769988</v>
      </c>
      <c r="G23" s="141">
        <f t="shared" ca="1" si="1"/>
        <v>20</v>
      </c>
      <c r="H23" s="30">
        <f ca="1">VLOOKUP(A23,Rankings!B1:H651,7,FALSE)+(RAND()*0.00001)</f>
        <v>-2.6415215616398111</v>
      </c>
      <c r="I23" s="30">
        <f ca="1">H23-VLOOKUP(Settings!$K$5,G$2:H$45,2,FALSE)</f>
        <v>-2.3244323212774245</v>
      </c>
    </row>
    <row r="24" spans="1:9" ht="18.600000000000001" customHeight="1">
      <c r="A24" s="25" t="s">
        <v>574</v>
      </c>
      <c r="B24" s="26" t="s">
        <v>122</v>
      </c>
      <c r="C24" s="124" t="s">
        <v>19</v>
      </c>
      <c r="D24" s="141">
        <f t="shared" ca="1" si="0"/>
        <v>23</v>
      </c>
      <c r="E24" s="30">
        <f ca="1">VLOOKUP(A24,Rankings!B1:H651,6,FALSE)+(RAND()*0.00001)</f>
        <v>205.91666953217916</v>
      </c>
      <c r="F24" s="30">
        <f ca="1">E24-VLOOKUP(Settings!$K$5,D$2:E$45,2,FALSE)</f>
        <v>-86.400005494379144</v>
      </c>
      <c r="G24" s="141">
        <f t="shared" ca="1" si="1"/>
        <v>29</v>
      </c>
      <c r="H24" s="30">
        <f ca="1">VLOOKUP(A24,Rankings!B1:H651,7,FALSE)+(RAND()*0.00001)</f>
        <v>-3.6679947373960355</v>
      </c>
      <c r="I24" s="30">
        <f ca="1">H24-VLOOKUP(Settings!$K$5,G$2:H$45,2,FALSE)</f>
        <v>-3.3509054970336489</v>
      </c>
    </row>
    <row r="25" spans="1:9" ht="18.600000000000001" customHeight="1">
      <c r="A25" s="25" t="s">
        <v>514</v>
      </c>
      <c r="B25" s="26" t="s">
        <v>69</v>
      </c>
      <c r="C25" s="124" t="s">
        <v>19</v>
      </c>
      <c r="D25" s="141">
        <f t="shared" ca="1" si="0"/>
        <v>24</v>
      </c>
      <c r="E25" s="30">
        <f ca="1">VLOOKUP(A25,Rankings!B1:H651,6,FALSE)+(RAND()*0.00001)</f>
        <v>202.18334049209054</v>
      </c>
      <c r="F25" s="30">
        <f ca="1">E25-VLOOKUP(Settings!$K$5,D$2:E$45,2,FALSE)</f>
        <v>-90.133334534467764</v>
      </c>
      <c r="G25" s="141">
        <f t="shared" ca="1" si="1"/>
        <v>24</v>
      </c>
      <c r="H25" s="30">
        <f ca="1">VLOOKUP(A25,Rankings!B1:H651,7,FALSE)+(RAND()*0.00001)</f>
        <v>-2.9926796499935322</v>
      </c>
      <c r="I25" s="30">
        <f ca="1">H25-VLOOKUP(Settings!$K$5,G$2:H$45,2,FALSE)</f>
        <v>-2.6755904096311456</v>
      </c>
    </row>
    <row r="26" spans="1:9" ht="18.600000000000001" customHeight="1">
      <c r="A26" s="25" t="s">
        <v>628</v>
      </c>
      <c r="B26" s="26" t="s">
        <v>77</v>
      </c>
      <c r="C26" s="124" t="s">
        <v>19</v>
      </c>
      <c r="D26" s="141">
        <f t="shared" ca="1" si="0"/>
        <v>25</v>
      </c>
      <c r="E26" s="30">
        <f ca="1">VLOOKUP(A26,Rankings!B1:H651,6,FALSE)+(RAND()*0.00001)</f>
        <v>199.78333817092692</v>
      </c>
      <c r="F26" s="30">
        <f ca="1">E26-VLOOKUP(Settings!$K$5,D$2:E$45,2,FALSE)</f>
        <v>-92.533336855631376</v>
      </c>
      <c r="G26" s="141">
        <f t="shared" ca="1" si="1"/>
        <v>36</v>
      </c>
      <c r="H26" s="30">
        <f ca="1">VLOOKUP(A26,Rankings!B1:H651,7,FALSE)+(RAND()*0.00001)</f>
        <v>-4.2533337986572759</v>
      </c>
      <c r="I26" s="30">
        <f ca="1">H26-VLOOKUP(Settings!$K$5,G$2:H$45,2,FALSE)</f>
        <v>-3.9362445582948893</v>
      </c>
    </row>
    <row r="27" spans="1:9" ht="18.600000000000001" customHeight="1">
      <c r="A27" s="25" t="s">
        <v>655</v>
      </c>
      <c r="B27" s="26" t="s">
        <v>79</v>
      </c>
      <c r="C27" s="124" t="s">
        <v>19</v>
      </c>
      <c r="D27" s="141">
        <f t="shared" ca="1" si="0"/>
        <v>26</v>
      </c>
      <c r="E27" s="30">
        <f ca="1">VLOOKUP(A27,Rankings!B1:H651,6,FALSE)+(RAND()*0.00001)</f>
        <v>199.35000060552338</v>
      </c>
      <c r="F27" s="30">
        <f ca="1">E27-VLOOKUP(Settings!$K$5,D$2:E$45,2,FALSE)</f>
        <v>-92.966674421034924</v>
      </c>
      <c r="G27" s="141">
        <f t="shared" ca="1" si="1"/>
        <v>42</v>
      </c>
      <c r="H27" s="30">
        <f ca="1">VLOOKUP(A27,Rankings!B1:H651,7,FALSE)+(RAND()*0.00001)</f>
        <v>-4.749535823294333</v>
      </c>
      <c r="I27" s="30">
        <f ca="1">H27-VLOOKUP(Settings!$K$5,G$2:H$45,2,FALSE)</f>
        <v>-4.4324465829319459</v>
      </c>
    </row>
    <row r="28" spans="1:9" ht="18.600000000000001" customHeight="1">
      <c r="A28" s="25" t="s">
        <v>527</v>
      </c>
      <c r="B28" s="26" t="s">
        <v>260</v>
      </c>
      <c r="C28" s="124" t="s">
        <v>19</v>
      </c>
      <c r="D28" s="141">
        <f t="shared" ca="1" si="0"/>
        <v>27</v>
      </c>
      <c r="E28" s="30">
        <f ca="1">VLOOKUP(A28,Rankings!B1:H651,6,FALSE)+(RAND()*0.00001)</f>
        <v>198.08333813009025</v>
      </c>
      <c r="F28" s="30">
        <f ca="1">E28-VLOOKUP(Settings!$K$5,D$2:E$45,2,FALSE)</f>
        <v>-94.233336896468046</v>
      </c>
      <c r="G28" s="141">
        <f t="shared" ca="1" si="1"/>
        <v>26</v>
      </c>
      <c r="H28" s="30">
        <f ca="1">VLOOKUP(A28,Rankings!B1:H651,7,FALSE)+(RAND()*0.00001)</f>
        <v>-3.1050778660373592</v>
      </c>
      <c r="I28" s="30">
        <f ca="1">H28-VLOOKUP(Settings!$K$5,G$2:H$45,2,FALSE)</f>
        <v>-2.7879886256749726</v>
      </c>
    </row>
    <row r="29" spans="1:9" ht="18.600000000000001" customHeight="1">
      <c r="A29" s="25" t="s">
        <v>605</v>
      </c>
      <c r="B29" s="26" t="s">
        <v>136</v>
      </c>
      <c r="C29" s="124" t="s">
        <v>19</v>
      </c>
      <c r="D29" s="141">
        <f t="shared" ca="1" si="0"/>
        <v>28</v>
      </c>
      <c r="E29" s="30">
        <f ca="1">VLOOKUP(A29,Rankings!B1:H651,6,FALSE)+(RAND()*0.00001)</f>
        <v>197.68333674798984</v>
      </c>
      <c r="F29" s="30">
        <f ca="1">E29-VLOOKUP(Settings!$K$5,D$2:E$45,2,FALSE)</f>
        <v>-94.633338278568459</v>
      </c>
      <c r="G29" s="141">
        <f t="shared" ca="1" si="1"/>
        <v>33</v>
      </c>
      <c r="H29" s="30">
        <f ca="1">VLOOKUP(A29,Rankings!B1:H651,7,FALSE)+(RAND()*0.00001)</f>
        <v>-3.9590200148643095</v>
      </c>
      <c r="I29" s="30">
        <f ca="1">H29-VLOOKUP(Settings!$K$5,G$2:H$45,2,FALSE)</f>
        <v>-3.6419307745019229</v>
      </c>
    </row>
    <row r="30" spans="1:9" ht="18.600000000000001" customHeight="1">
      <c r="A30" s="25" t="s">
        <v>634</v>
      </c>
      <c r="B30" s="26" t="s">
        <v>97</v>
      </c>
      <c r="C30" s="124" t="s">
        <v>19</v>
      </c>
      <c r="D30" s="141">
        <f t="shared" ca="1" si="0"/>
        <v>29</v>
      </c>
      <c r="E30" s="30">
        <f ca="1">VLOOKUP(A30,Rankings!B1:H651,6,FALSE)+(RAND()*0.00001)</f>
        <v>183.4000028811457</v>
      </c>
      <c r="F30" s="30">
        <f ca="1">E30-VLOOKUP(Settings!$K$5,D$2:E$45,2,FALSE)</f>
        <v>-108.9166721454126</v>
      </c>
      <c r="G30" s="141">
        <f t="shared" ca="1" si="1"/>
        <v>37</v>
      </c>
      <c r="H30" s="30">
        <f ca="1">VLOOKUP(A30,Rankings!B1:H651,7,FALSE)+(RAND()*0.00001)</f>
        <v>-4.423079141396995</v>
      </c>
      <c r="I30" s="30">
        <f ca="1">H30-VLOOKUP(Settings!$K$5,G$2:H$45,2,FALSE)</f>
        <v>-4.1059899010346079</v>
      </c>
    </row>
    <row r="31" spans="1:9" ht="18.600000000000001" customHeight="1">
      <c r="A31" s="25" t="s">
        <v>523</v>
      </c>
      <c r="B31" s="26" t="s">
        <v>103</v>
      </c>
      <c r="C31" s="124" t="s">
        <v>19</v>
      </c>
      <c r="D31" s="141">
        <f t="shared" ca="1" si="0"/>
        <v>30</v>
      </c>
      <c r="E31" s="30">
        <f ca="1">VLOOKUP(A31,Rankings!B1:H651,6,FALSE)+(RAND()*0.00001)</f>
        <v>181.18333351945623</v>
      </c>
      <c r="F31" s="30">
        <f ca="1">E31-VLOOKUP(Settings!$K$5,D$2:E$45,2,FALSE)</f>
        <v>-111.13334150710207</v>
      </c>
      <c r="G31" s="141">
        <f t="shared" ca="1" si="1"/>
        <v>25</v>
      </c>
      <c r="H31" s="30">
        <f ca="1">VLOOKUP(A31,Rankings!B1:H651,7,FALSE)+(RAND()*0.00001)</f>
        <v>-3.0755796642705207</v>
      </c>
      <c r="I31" s="30">
        <f ca="1">H31-VLOOKUP(Settings!$K$5,G$2:H$45,2,FALSE)</f>
        <v>-2.758490423908134</v>
      </c>
    </row>
    <row r="32" spans="1:9" ht="20.100000000000001" customHeight="1">
      <c r="A32" s="25" t="s">
        <v>507</v>
      </c>
      <c r="B32" s="26" t="s">
        <v>136</v>
      </c>
      <c r="C32" s="124" t="s">
        <v>19</v>
      </c>
      <c r="D32" s="141">
        <f t="shared" ca="1" si="0"/>
        <v>31</v>
      </c>
      <c r="E32" s="30">
        <f ca="1">VLOOKUP(A32,Rankings!B1:H651,6,FALSE)+(RAND()*0.00001)</f>
        <v>180.66667641491171</v>
      </c>
      <c r="F32" s="30">
        <f ca="1">E32-VLOOKUP(Settings!$K$5,D$2:E$45,2,FALSE)</f>
        <v>-111.64999861164659</v>
      </c>
      <c r="G32" s="141">
        <f t="shared" ca="1" si="1"/>
        <v>23</v>
      </c>
      <c r="H32" s="30">
        <f ca="1">VLOOKUP(A32,Rankings!B1:H651,7,FALSE)+(RAND()*0.00001)</f>
        <v>-2.9268127774585904</v>
      </c>
      <c r="I32" s="30">
        <f ca="1">H32-VLOOKUP(Settings!$K$5,G$2:H$45,2,FALSE)</f>
        <v>-2.6097235370962037</v>
      </c>
    </row>
    <row r="33" spans="1:9" ht="18.600000000000001" customHeight="1">
      <c r="A33" s="25" t="s">
        <v>491</v>
      </c>
      <c r="B33" s="26" t="s">
        <v>122</v>
      </c>
      <c r="C33" s="124" t="s">
        <v>19</v>
      </c>
      <c r="D33" s="141">
        <f t="shared" ca="1" si="0"/>
        <v>32</v>
      </c>
      <c r="E33" s="30">
        <f ca="1">VLOOKUP(A33,Rankings!B1:H651,6,FALSE)+(RAND()*0.00001)</f>
        <v>175.48333448160079</v>
      </c>
      <c r="F33" s="30">
        <f ca="1">E33-VLOOKUP(Settings!$K$5,D$2:E$45,2,FALSE)</f>
        <v>-116.83334054495751</v>
      </c>
      <c r="G33" s="141">
        <f t="shared" ca="1" si="1"/>
        <v>21</v>
      </c>
      <c r="H33" s="30">
        <f ca="1">VLOOKUP(A33,Rankings!B1:H651,7,FALSE)+(RAND()*0.00001)</f>
        <v>-2.6729453797145051</v>
      </c>
      <c r="I33" s="30">
        <f ca="1">H33-VLOOKUP(Settings!$K$5,G$2:H$45,2,FALSE)</f>
        <v>-2.3558561393521185</v>
      </c>
    </row>
    <row r="34" spans="1:9" ht="18.600000000000001" customHeight="1">
      <c r="A34" s="25" t="s">
        <v>592</v>
      </c>
      <c r="B34" s="26" t="s">
        <v>219</v>
      </c>
      <c r="C34" s="124" t="s">
        <v>19</v>
      </c>
      <c r="D34" s="141">
        <f t="shared" ref="D34:D54" ca="1" si="2">RANK(E34,E$2:E$54)</f>
        <v>33</v>
      </c>
      <c r="E34" s="30">
        <f ca="1">VLOOKUP(A34,Rankings!B1:H651,6,FALSE)+(RAND()*0.00001)</f>
        <v>175.28333714078224</v>
      </c>
      <c r="F34" s="30">
        <f ca="1">E34-VLOOKUP(Settings!$K$5,D$2:E$45,2,FALSE)</f>
        <v>-117.03333788577606</v>
      </c>
      <c r="G34" s="141">
        <f t="shared" ref="G34:G54" ca="1" si="3">RANK(H34,H$2:H$54)</f>
        <v>30</v>
      </c>
      <c r="H34" s="30">
        <f ca="1">VLOOKUP(A34,Rankings!B1:H651,7,FALSE)+(RAND()*0.00001)</f>
        <v>-3.8468538812633621</v>
      </c>
      <c r="I34" s="30">
        <f ca="1">H34-VLOOKUP(Settings!$K$5,G$2:H$45,2,FALSE)</f>
        <v>-3.5297646409009755</v>
      </c>
    </row>
    <row r="35" spans="1:9" ht="18.600000000000001" customHeight="1">
      <c r="A35" s="25" t="s">
        <v>620</v>
      </c>
      <c r="B35" s="26" t="s">
        <v>103</v>
      </c>
      <c r="C35" s="124" t="s">
        <v>19</v>
      </c>
      <c r="D35" s="141">
        <f t="shared" ca="1" si="2"/>
        <v>34</v>
      </c>
      <c r="E35" s="30">
        <f ca="1">VLOOKUP(A35,Rankings!B1:H651,6,FALSE)+(RAND()*0.00001)</f>
        <v>170.68334332444709</v>
      </c>
      <c r="F35" s="30">
        <f ca="1">E35-VLOOKUP(Settings!$K$5,D$2:E$45,2,FALSE)</f>
        <v>-121.63333170211121</v>
      </c>
      <c r="G35" s="141">
        <f t="shared" ca="1" si="3"/>
        <v>34</v>
      </c>
      <c r="H35" s="30">
        <f ca="1">VLOOKUP(A35,Rankings!B1:H651,7,FALSE)+(RAND()*0.00001)</f>
        <v>-4.1472640059851624</v>
      </c>
      <c r="I35" s="30">
        <f ca="1">H35-VLOOKUP(Settings!$K$5,G$2:H$45,2,FALSE)</f>
        <v>-3.8301747656227758</v>
      </c>
    </row>
    <row r="36" spans="1:9" ht="18.600000000000001" customHeight="1">
      <c r="A36" s="25" t="s">
        <v>569</v>
      </c>
      <c r="B36" s="26" t="s">
        <v>160</v>
      </c>
      <c r="C36" s="124" t="s">
        <v>19</v>
      </c>
      <c r="D36" s="141">
        <f t="shared" ca="1" si="2"/>
        <v>35</v>
      </c>
      <c r="E36" s="30">
        <f ca="1">VLOOKUP(A36,Rankings!B1:H651,6,FALSE)+(RAND()*0.00001)</f>
        <v>169.30000656330355</v>
      </c>
      <c r="F36" s="30">
        <f ca="1">E36-VLOOKUP(Settings!$K$5,D$2:E$45,2,FALSE)</f>
        <v>-123.01666846325475</v>
      </c>
      <c r="G36" s="141">
        <f t="shared" ca="1" si="3"/>
        <v>28</v>
      </c>
      <c r="H36" s="30">
        <f ca="1">VLOOKUP(A36,Rankings!B1:H651,7,FALSE)+(RAND()*0.00001)</f>
        <v>-3.5875342527040885</v>
      </c>
      <c r="I36" s="30">
        <f ca="1">H36-VLOOKUP(Settings!$K$5,G$2:H$45,2,FALSE)</f>
        <v>-3.2704450123417019</v>
      </c>
    </row>
    <row r="37" spans="1:9" ht="18.600000000000001" customHeight="1">
      <c r="A37" s="25" t="s">
        <v>599</v>
      </c>
      <c r="B37" s="26" t="s">
        <v>64</v>
      </c>
      <c r="C37" s="124" t="s">
        <v>19</v>
      </c>
      <c r="D37" s="141">
        <f t="shared" ca="1" si="2"/>
        <v>36</v>
      </c>
      <c r="E37" s="30">
        <f ca="1">VLOOKUP(A37,Rankings!B1:H651,6,FALSE)+(RAND()*0.00001)</f>
        <v>168.80000792606594</v>
      </c>
      <c r="F37" s="30">
        <f ca="1">E37-VLOOKUP(Settings!$K$5,D$2:E$45,2,FALSE)</f>
        <v>-123.51666710049236</v>
      </c>
      <c r="G37" s="141">
        <f t="shared" ca="1" si="3"/>
        <v>32</v>
      </c>
      <c r="H37" s="30">
        <f ca="1">VLOOKUP(A37,Rankings!B1:H651,7,FALSE)+(RAND()*0.00001)</f>
        <v>-3.8877656946597781</v>
      </c>
      <c r="I37" s="30">
        <f ca="1">H37-VLOOKUP(Settings!$K$5,G$2:H$45,2,FALSE)</f>
        <v>-3.5706764542973914</v>
      </c>
    </row>
    <row r="38" spans="1:9" ht="18.600000000000001" customHeight="1">
      <c r="A38" s="25" t="s">
        <v>625</v>
      </c>
      <c r="B38" s="26" t="s">
        <v>105</v>
      </c>
      <c r="C38" s="124" t="s">
        <v>19</v>
      </c>
      <c r="D38" s="141">
        <f t="shared" ca="1" si="2"/>
        <v>37</v>
      </c>
      <c r="E38" s="30">
        <f ca="1">VLOOKUP(A38,Rankings!B1:H651,6,FALSE)+(RAND()*0.00001)</f>
        <v>165.35000397581854</v>
      </c>
      <c r="F38" s="30">
        <f ca="1">E38-VLOOKUP(Settings!$K$5,D$2:E$45,2,FALSE)</f>
        <v>-126.96667105073976</v>
      </c>
      <c r="G38" s="141">
        <f t="shared" ca="1" si="3"/>
        <v>35</v>
      </c>
      <c r="H38" s="30">
        <f ca="1">VLOOKUP(A38,Rankings!B1:H651,7,FALSE)+(RAND()*0.00001)</f>
        <v>-4.2002780077619315</v>
      </c>
      <c r="I38" s="30">
        <f ca="1">H38-VLOOKUP(Settings!$K$5,G$2:H$45,2,FALSE)</f>
        <v>-3.8831887673995449</v>
      </c>
    </row>
    <row r="39" spans="1:9" ht="18.600000000000001" customHeight="1">
      <c r="A39" s="25" t="s">
        <v>671</v>
      </c>
      <c r="B39" s="26" t="s">
        <v>85</v>
      </c>
      <c r="C39" s="124" t="s">
        <v>19</v>
      </c>
      <c r="D39" s="141">
        <f t="shared" ca="1" si="2"/>
        <v>38</v>
      </c>
      <c r="E39" s="30">
        <f ca="1">VLOOKUP(A39,Rankings!B1:H651,6,FALSE)+(RAND()*0.00001)</f>
        <v>165.35000374792594</v>
      </c>
      <c r="F39" s="30">
        <f ca="1">E39-VLOOKUP(Settings!$K$5,D$2:E$45,2,FALSE)</f>
        <v>-126.96667127863236</v>
      </c>
      <c r="G39" s="141">
        <f t="shared" ca="1" si="3"/>
        <v>44</v>
      </c>
      <c r="H39" s="30">
        <f ca="1">VLOOKUP(A39,Rankings!B1:H651,7,FALSE)+(RAND()*0.00001)</f>
        <v>-5.0806530107023233</v>
      </c>
      <c r="I39" s="30">
        <f ca="1">H39-VLOOKUP(Settings!$K$5,G$2:H$45,2,FALSE)</f>
        <v>-4.7635637703399363</v>
      </c>
    </row>
    <row r="40" spans="1:9" ht="18.600000000000001" customHeight="1">
      <c r="A40" s="25" t="s">
        <v>652</v>
      </c>
      <c r="B40" s="26" t="s">
        <v>99</v>
      </c>
      <c r="C40" s="124" t="s">
        <v>19</v>
      </c>
      <c r="D40" s="141">
        <f t="shared" ca="1" si="2"/>
        <v>39</v>
      </c>
      <c r="E40" s="30">
        <f ca="1">VLOOKUP(A40,Rankings!B1:H651,6,FALSE)+(RAND()*0.00001)</f>
        <v>165.15000445142934</v>
      </c>
      <c r="F40" s="30">
        <f ca="1">E40-VLOOKUP(Settings!$K$5,D$2:E$45,2,FALSE)</f>
        <v>-127.16667057512896</v>
      </c>
      <c r="G40" s="141">
        <f t="shared" ca="1" si="3"/>
        <v>41</v>
      </c>
      <c r="H40" s="30">
        <f ca="1">VLOOKUP(A40,Rankings!B1:H651,7,FALSE)+(RAND()*0.00001)</f>
        <v>-4.6944761033296647</v>
      </c>
      <c r="I40" s="30">
        <f ca="1">H40-VLOOKUP(Settings!$K$5,G$2:H$45,2,FALSE)</f>
        <v>-4.3773868629672776</v>
      </c>
    </row>
    <row r="41" spans="1:9" ht="18.600000000000001" customHeight="1">
      <c r="A41" s="25" t="s">
        <v>681</v>
      </c>
      <c r="B41" s="26" t="s">
        <v>160</v>
      </c>
      <c r="C41" s="124" t="s">
        <v>19</v>
      </c>
      <c r="D41" s="141">
        <f t="shared" ca="1" si="2"/>
        <v>40</v>
      </c>
      <c r="E41" s="30">
        <f ca="1">VLOOKUP(A41,Rankings!B1:H651,6,FALSE)+(RAND()*0.00001)</f>
        <v>157.30000611775287</v>
      </c>
      <c r="F41" s="30">
        <f ca="1">E41-VLOOKUP(Settings!$K$5,D$2:E$45,2,FALSE)</f>
        <v>-135.01666890880543</v>
      </c>
      <c r="G41" s="141">
        <f t="shared" ca="1" si="3"/>
        <v>46</v>
      </c>
      <c r="H41" s="30">
        <f ca="1">VLOOKUP(A41,Rankings!B1:H651,7,FALSE)+(RAND()*0.00001)</f>
        <v>-5.1927002341932305</v>
      </c>
      <c r="I41" s="30">
        <f ca="1">H41-VLOOKUP(Settings!$K$5,G$2:H$45,2,FALSE)</f>
        <v>-4.8756109938308434</v>
      </c>
    </row>
    <row r="42" spans="1:9" ht="18.600000000000001" customHeight="1">
      <c r="A42" s="25" t="s">
        <v>651</v>
      </c>
      <c r="B42" s="26" t="s">
        <v>77</v>
      </c>
      <c r="C42" s="124" t="s">
        <v>19</v>
      </c>
      <c r="D42" s="141">
        <f t="shared" ca="1" si="2"/>
        <v>41</v>
      </c>
      <c r="E42" s="30">
        <f ca="1">VLOOKUP(A42,Rankings!B1:H651,6,FALSE)+(RAND()*0.00001)</f>
        <v>150.90000706550583</v>
      </c>
      <c r="F42" s="30">
        <f ca="1">E42-VLOOKUP(Settings!$K$5,D$2:E$45,2,FALSE)</f>
        <v>-141.41666796105247</v>
      </c>
      <c r="G42" s="141">
        <f t="shared" ca="1" si="3"/>
        <v>40</v>
      </c>
      <c r="H42" s="30">
        <f ca="1">VLOOKUP(A42,Rankings!B1:H651,7,FALSE)+(RAND()*0.00001)</f>
        <v>-4.6727274672476913</v>
      </c>
      <c r="I42" s="30">
        <f ca="1">H42-VLOOKUP(Settings!$K$5,G$2:H$45,2,FALSE)</f>
        <v>-4.3556382268853042</v>
      </c>
    </row>
    <row r="43" spans="1:9" ht="18.600000000000001" customHeight="1">
      <c r="A43" s="25" t="s">
        <v>596</v>
      </c>
      <c r="B43" s="26" t="s">
        <v>139</v>
      </c>
      <c r="C43" s="124" t="s">
        <v>19</v>
      </c>
      <c r="D43" s="141">
        <f t="shared" ca="1" si="2"/>
        <v>42</v>
      </c>
      <c r="E43" s="30">
        <f ca="1">VLOOKUP(A43,Rankings!B1:H651,6,FALSE)+(RAND()*0.00001)</f>
        <v>149.70000300630193</v>
      </c>
      <c r="F43" s="30">
        <f ca="1">E43-VLOOKUP(Settings!$K$5,D$2:E$45,2,FALSE)</f>
        <v>-142.61667202025637</v>
      </c>
      <c r="G43" s="141">
        <f t="shared" ca="1" si="3"/>
        <v>31</v>
      </c>
      <c r="H43" s="30">
        <f ca="1">VLOOKUP(A43,Rankings!B1:H651,7,FALSE)+(RAND()*0.00001)</f>
        <v>-3.8690111817126991</v>
      </c>
      <c r="I43" s="30">
        <f ca="1">H43-VLOOKUP(Settings!$K$5,G$2:H$45,2,FALSE)</f>
        <v>-3.5519219413503125</v>
      </c>
    </row>
    <row r="44" spans="1:9" ht="18.600000000000001" customHeight="1">
      <c r="A44" s="25" t="s">
        <v>650</v>
      </c>
      <c r="B44" s="26" t="s">
        <v>72</v>
      </c>
      <c r="C44" s="124" t="s">
        <v>19</v>
      </c>
      <c r="D44" s="141">
        <f t="shared" ca="1" si="2"/>
        <v>43</v>
      </c>
      <c r="E44" s="30">
        <f ca="1">VLOOKUP(A44,Rankings!B1:H651,6,FALSE)+(RAND()*0.00001)</f>
        <v>147.31666824043839</v>
      </c>
      <c r="F44" s="30">
        <f ca="1">E44-VLOOKUP(Settings!$K$5,D$2:E$45,2,FALSE)</f>
        <v>-145.00000678611991</v>
      </c>
      <c r="G44" s="141">
        <f t="shared" ca="1" si="3"/>
        <v>39</v>
      </c>
      <c r="H44" s="30">
        <f ca="1">VLOOKUP(A44,Rankings!B1:H651,7,FALSE)+(RAND()*0.00001)</f>
        <v>-4.6551291901198812</v>
      </c>
      <c r="I44" s="30">
        <f ca="1">H44-VLOOKUP(Settings!$K$5,G$2:H$45,2,FALSE)</f>
        <v>-4.3380399497574942</v>
      </c>
    </row>
    <row r="45" spans="1:9" ht="18.600000000000001" customHeight="1">
      <c r="A45" s="25" t="s">
        <v>688</v>
      </c>
      <c r="B45" s="26" t="s">
        <v>158</v>
      </c>
      <c r="C45" s="124" t="s">
        <v>19</v>
      </c>
      <c r="D45" s="141">
        <f t="shared" ca="1" si="2"/>
        <v>44</v>
      </c>
      <c r="E45" s="30">
        <f ca="1">VLOOKUP(A45,Rankings!B1:H651,6,FALSE)+(RAND()*0.00001)</f>
        <v>142.55000324788628</v>
      </c>
      <c r="F45" s="30">
        <f ca="1">E45-VLOOKUP(Settings!$K$5,D$2:E$45,2,FALSE)</f>
        <v>-149.76667177867202</v>
      </c>
      <c r="G45" s="141">
        <f t="shared" ca="1" si="3"/>
        <v>48</v>
      </c>
      <c r="H45" s="30">
        <f ca="1">VLOOKUP(A45,Rankings!B1:H651,7,FALSE)+(RAND()*0.00001)</f>
        <v>-5.504122548073485</v>
      </c>
      <c r="I45" s="30">
        <f ca="1">H45-VLOOKUP(Settings!$K$5,G$2:H$45,2,FALSE)</f>
        <v>-5.1870333077110979</v>
      </c>
    </row>
    <row r="46" spans="1:9" ht="18.600000000000001" customHeight="1">
      <c r="A46" s="25" t="s">
        <v>673</v>
      </c>
      <c r="B46" s="26" t="s">
        <v>82</v>
      </c>
      <c r="C46" s="124" t="s">
        <v>19</v>
      </c>
      <c r="D46" s="141">
        <f t="shared" ca="1" si="2"/>
        <v>45</v>
      </c>
      <c r="E46" s="30">
        <f ca="1">VLOOKUP(A46,Rankings!B1:H651,6,FALSE)+(RAND()*0.00001)</f>
        <v>134.6000078602286</v>
      </c>
      <c r="F46" s="30">
        <f ca="1">E46-VLOOKUP(Settings!$K$5,D$2:E$45,2,FALSE)</f>
        <v>-157.7166671663297</v>
      </c>
      <c r="G46" s="141">
        <f t="shared" ca="1" si="3"/>
        <v>45</v>
      </c>
      <c r="H46" s="30">
        <f ca="1">VLOOKUP(A46,Rankings!B1:H651,7,FALSE)+(RAND()*0.00001)</f>
        <v>-5.1209733370626083</v>
      </c>
      <c r="I46" s="30">
        <f ca="1">H46-VLOOKUP(Settings!$K$5,G$2:H$45,2,FALSE)</f>
        <v>-4.8038840967002212</v>
      </c>
    </row>
    <row r="47" spans="1:9" ht="18.600000000000001" customHeight="1">
      <c r="A47" s="25" t="s">
        <v>690</v>
      </c>
      <c r="B47" s="26" t="s">
        <v>178</v>
      </c>
      <c r="C47" s="124" t="s">
        <v>19</v>
      </c>
      <c r="D47" s="141">
        <f t="shared" ca="1" si="2"/>
        <v>46</v>
      </c>
      <c r="E47" s="30">
        <f ca="1">VLOOKUP(A47,Rankings!B1:H651,6,FALSE)+(RAND()*0.00001)</f>
        <v>134.25000305636658</v>
      </c>
      <c r="F47" s="30">
        <f ca="1">E47-VLOOKUP(Settings!$K$5,D$2:E$45,2,FALSE)</f>
        <v>-158.06667197019172</v>
      </c>
      <c r="G47" s="141">
        <f t="shared" ca="1" si="3"/>
        <v>49</v>
      </c>
      <c r="H47" s="30">
        <f ca="1">VLOOKUP(A47,Rankings!B1:H651,7,FALSE)+(RAND()*0.00001)</f>
        <v>-5.5437494656501309</v>
      </c>
      <c r="I47" s="30">
        <f ca="1">H47-VLOOKUP(Settings!$K$5,G$2:H$45,2,FALSE)</f>
        <v>-5.2266602252877439</v>
      </c>
    </row>
    <row r="48" spans="1:9" ht="18.600000000000001" customHeight="1">
      <c r="A48" s="25" t="s">
        <v>684</v>
      </c>
      <c r="B48" s="26" t="s">
        <v>69</v>
      </c>
      <c r="C48" s="124" t="s">
        <v>19</v>
      </c>
      <c r="D48" s="141">
        <f t="shared" ca="1" si="2"/>
        <v>47</v>
      </c>
      <c r="E48" s="30">
        <f ca="1">VLOOKUP(A48,Rankings!B1:H651,6,FALSE)+(RAND()*0.00001)</f>
        <v>133.0333367557846</v>
      </c>
      <c r="F48" s="30">
        <f ca="1">E48-VLOOKUP(Settings!$K$5,D$2:E$45,2,FALSE)</f>
        <v>-159.2833382707737</v>
      </c>
      <c r="G48" s="141">
        <f t="shared" ca="1" si="3"/>
        <v>47</v>
      </c>
      <c r="H48" s="30">
        <f ca="1">VLOOKUP(A48,Rankings!B1:H651,7,FALSE)+(RAND()*0.00001)</f>
        <v>-5.2644226195566288</v>
      </c>
      <c r="I48" s="30">
        <f ca="1">H48-VLOOKUP(Settings!$K$5,G$2:H$45,2,FALSE)</f>
        <v>-4.9473333791942418</v>
      </c>
    </row>
    <row r="49" spans="1:9" ht="18.600000000000001" customHeight="1">
      <c r="A49" s="25" t="s">
        <v>704</v>
      </c>
      <c r="B49" s="26" t="s">
        <v>225</v>
      </c>
      <c r="C49" s="124" t="s">
        <v>19</v>
      </c>
      <c r="D49" s="141">
        <f t="shared" ca="1" si="2"/>
        <v>48</v>
      </c>
      <c r="E49" s="30">
        <f ca="1">VLOOKUP(A49,Rankings!B1:H651,6,FALSE)+(RAND()*0.00001)</f>
        <v>131.80000695453521</v>
      </c>
      <c r="F49" s="30">
        <f ca="1">E49-VLOOKUP(Settings!$K$5,D$2:E$45,2,FALSE)</f>
        <v>-160.51666807202309</v>
      </c>
      <c r="G49" s="141">
        <f t="shared" ca="1" si="3"/>
        <v>51</v>
      </c>
      <c r="H49" s="30">
        <f ca="1">VLOOKUP(A49,Rankings!B1:H651,7,FALSE)+(RAND()*0.00001)</f>
        <v>-5.8997455252045388</v>
      </c>
      <c r="I49" s="30">
        <f ca="1">H49-VLOOKUP(Settings!$K$5,G$2:H$45,2,FALSE)</f>
        <v>-5.5826562848421517</v>
      </c>
    </row>
    <row r="50" spans="1:9" ht="18.600000000000001" customHeight="1">
      <c r="A50" s="25" t="s">
        <v>665</v>
      </c>
      <c r="B50" s="26" t="s">
        <v>101</v>
      </c>
      <c r="C50" s="124" t="s">
        <v>19</v>
      </c>
      <c r="D50" s="141">
        <f t="shared" ca="1" si="2"/>
        <v>49</v>
      </c>
      <c r="E50" s="30">
        <f ca="1">VLOOKUP(A50,Rankings!B1:H651,6,FALSE)+(RAND()*0.00001)</f>
        <v>129.6333367082496</v>
      </c>
      <c r="F50" s="30">
        <f ca="1">E50-VLOOKUP(Settings!$K$5,D$2:E$45,2,FALSE)</f>
        <v>-162.6833383183087</v>
      </c>
      <c r="G50" s="141">
        <f t="shared" ca="1" si="3"/>
        <v>43</v>
      </c>
      <c r="H50" s="30">
        <f ca="1">VLOOKUP(A50,Rankings!B1:H651,7,FALSE)+(RAND()*0.00001)</f>
        <v>-5.0183073380521535</v>
      </c>
      <c r="I50" s="30">
        <f ca="1">H50-VLOOKUP(Settings!$K$5,G$2:H$45,2,FALSE)</f>
        <v>-4.7012180976897664</v>
      </c>
    </row>
    <row r="51" spans="1:9" ht="18.600000000000001" customHeight="1">
      <c r="A51" s="25" t="s">
        <v>639</v>
      </c>
      <c r="B51" s="26" t="s">
        <v>105</v>
      </c>
      <c r="C51" s="124" t="s">
        <v>19</v>
      </c>
      <c r="D51" s="141">
        <f t="shared" ca="1" si="2"/>
        <v>50</v>
      </c>
      <c r="E51" s="30">
        <f ca="1">VLOOKUP(A51,Rankings!B1:H651,6,FALSE)+(RAND()*0.00001)</f>
        <v>119.2000080339417</v>
      </c>
      <c r="F51" s="30">
        <f ca="1">E51-VLOOKUP(Settings!$K$5,D$2:E$45,2,FALSE)</f>
        <v>-173.11666699261662</v>
      </c>
      <c r="G51" s="141">
        <f t="shared" ca="1" si="3"/>
        <v>38</v>
      </c>
      <c r="H51" s="30">
        <f ca="1">VLOOKUP(A51,Rankings!B1:H651,7,FALSE)+(RAND()*0.00001)</f>
        <v>-4.4901123225290558</v>
      </c>
      <c r="I51" s="30">
        <f ca="1">H51-VLOOKUP(Settings!$K$5,G$2:H$45,2,FALSE)</f>
        <v>-4.1730230821666687</v>
      </c>
    </row>
    <row r="52" spans="1:9" ht="18.600000000000001" customHeight="1">
      <c r="A52" s="25" t="s">
        <v>708</v>
      </c>
      <c r="B52" s="26" t="s">
        <v>116</v>
      </c>
      <c r="C52" s="124" t="s">
        <v>19</v>
      </c>
      <c r="D52" s="141">
        <f t="shared" ca="1" si="2"/>
        <v>51</v>
      </c>
      <c r="E52" s="30">
        <f ca="1">VLOOKUP(A52,Rankings!B1:H651,6,FALSE)+(RAND()*0.00001)</f>
        <v>111.00000777209731</v>
      </c>
      <c r="F52" s="30">
        <f ca="1">E52-VLOOKUP(Settings!$K$5,D$2:E$45,2,FALSE)</f>
        <v>-181.31666725446098</v>
      </c>
      <c r="G52" s="141">
        <f t="shared" ca="1" si="3"/>
        <v>53</v>
      </c>
      <c r="H52" s="30">
        <f ca="1">VLOOKUP(A52,Rankings!B1:H651,7,FALSE)+(RAND()*0.00001)</f>
        <v>-6.0915507825004687</v>
      </c>
      <c r="I52" s="30">
        <f ca="1">H52-VLOOKUP(Settings!$K$5,G$2:H$45,2,FALSE)</f>
        <v>-5.7744615421380816</v>
      </c>
    </row>
    <row r="53" spans="1:9" ht="18.600000000000001" customHeight="1">
      <c r="A53" s="25" t="s">
        <v>701</v>
      </c>
      <c r="B53" s="26" t="s">
        <v>97</v>
      </c>
      <c r="C53" s="124" t="s">
        <v>19</v>
      </c>
      <c r="D53" s="141">
        <f t="shared" ca="1" si="2"/>
        <v>52</v>
      </c>
      <c r="E53" s="30">
        <f ca="1">VLOOKUP(A53,Rankings!B1:H651,6,FALSE)+(RAND()*0.00001)</f>
        <v>108.03333943281908</v>
      </c>
      <c r="F53" s="30">
        <f ca="1">E53-VLOOKUP(Settings!$K$5,D$2:E$45,2,FALSE)</f>
        <v>-184.28333559373922</v>
      </c>
      <c r="G53" s="141">
        <f t="shared" ca="1" si="3"/>
        <v>50</v>
      </c>
      <c r="H53" s="30">
        <f ca="1">VLOOKUP(A53,Rankings!B1:H651,7,FALSE)+(RAND()*0.00001)</f>
        <v>-5.8334935239743277</v>
      </c>
      <c r="I53" s="30">
        <f ca="1">H53-VLOOKUP(Settings!$K$5,G$2:H$45,2,FALSE)</f>
        <v>-5.5164042836119407</v>
      </c>
    </row>
    <row r="54" spans="1:9" ht="18.600000000000001" customHeight="1">
      <c r="A54" s="25" t="s">
        <v>705</v>
      </c>
      <c r="B54" s="26" t="s">
        <v>105</v>
      </c>
      <c r="C54" s="124" t="s">
        <v>19</v>
      </c>
      <c r="D54" s="141">
        <f t="shared" ca="1" si="2"/>
        <v>53</v>
      </c>
      <c r="E54" s="30">
        <f ca="1">VLOOKUP(A54,Rankings!B1:H651,6,FALSE)+(RAND()*0.00001)</f>
        <v>75.633333902329269</v>
      </c>
      <c r="F54" s="30">
        <f ca="1">E54-VLOOKUP(Settings!$K$5,D$2:E$45,2,FALSE)</f>
        <v>-216.68334112422903</v>
      </c>
      <c r="G54" s="141">
        <f t="shared" ca="1" si="3"/>
        <v>52</v>
      </c>
      <c r="H54" s="30">
        <f ca="1">VLOOKUP(A54,Rankings!B1:H651,7,FALSE)+(RAND()*0.00001)</f>
        <v>-5.9917482973089626</v>
      </c>
      <c r="I54" s="30">
        <f ca="1">H54-VLOOKUP(Settings!$K$5,G$2:H$45,2,FALSE)</f>
        <v>-5.6746590569465756</v>
      </c>
    </row>
  </sheetData>
  <autoFilter ref="A1:I54" xr:uid="{00000000-0001-0000-0800-000000000000}">
    <sortState xmlns:xlrd2="http://schemas.microsoft.com/office/spreadsheetml/2017/richdata2" ref="A2:I54">
      <sortCondition ref="D1:D54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Settings</vt:lpstr>
      <vt:lpstr>Rankings</vt:lpstr>
      <vt:lpstr>My Team</vt:lpstr>
      <vt:lpstr>Standard Deviations</vt:lpstr>
      <vt:lpstr>Hitters</vt:lpstr>
      <vt:lpstr>1B</vt:lpstr>
      <vt:lpstr>2B</vt:lpstr>
      <vt:lpstr>3B</vt:lpstr>
      <vt:lpstr>C</vt:lpstr>
      <vt:lpstr>OF</vt:lpstr>
      <vt:lpstr>SS</vt:lpstr>
      <vt:lpstr>1B+3B</vt:lpstr>
      <vt:lpstr>2B+SS</vt:lpstr>
      <vt:lpstr>Pitchers</vt:lpstr>
      <vt:lpstr>SP</vt:lpstr>
      <vt:lpstr>RP</vt:lpstr>
      <vt:lpstr>SP+RP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</dc:creator>
  <cp:lastModifiedBy>Michael Francis</cp:lastModifiedBy>
  <dcterms:created xsi:type="dcterms:W3CDTF">2023-02-21T21:48:02Z</dcterms:created>
  <dcterms:modified xsi:type="dcterms:W3CDTF">2023-02-27T02:00:41Z</dcterms:modified>
</cp:coreProperties>
</file>