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5e\Problem Files\Chapter 02\"/>
    </mc:Choice>
  </mc:AlternateContent>
  <bookViews>
    <workbookView xWindow="0" yWindow="0" windowWidth="21570" windowHeight="8160" activeTab="1"/>
  </bookViews>
  <sheets>
    <sheet name="Source" sheetId="3" r:id="rId1"/>
    <sheet name="Data" sheetId="2" r:id="rId2"/>
  </sheets>
  <calcPr calcId="152511"/>
</workbook>
</file>

<file path=xl/calcChain.xml><?xml version="1.0" encoding="utf-8"?>
<calcChain xmlns="http://schemas.openxmlformats.org/spreadsheetml/2006/main">
  <c r="B31" i="2" l="1"/>
  <c r="B30" i="2"/>
  <c r="B22" i="2"/>
  <c r="B14" i="2"/>
  <c r="B13" i="2"/>
  <c r="B1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0" i="2"/>
  <c r="B249" i="2"/>
  <c r="B248" i="2"/>
  <c r="B247" i="2"/>
  <c r="B246" i="2"/>
  <c r="B245" i="2"/>
  <c r="B244" i="2"/>
  <c r="B243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7" i="2"/>
  <c r="B58" i="2"/>
  <c r="B56" i="2"/>
  <c r="B55" i="2"/>
  <c r="B54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29" i="2"/>
  <c r="B28" i="2"/>
  <c r="B27" i="2"/>
  <c r="B26" i="2"/>
  <c r="B25" i="2"/>
  <c r="B24" i="2"/>
  <c r="B23" i="2"/>
  <c r="B21" i="2"/>
  <c r="B20" i="2"/>
  <c r="B19" i="2"/>
</calcChain>
</file>

<file path=xl/comments1.xml><?xml version="1.0" encoding="utf-8"?>
<comments xmlns="http://schemas.openxmlformats.org/spreadsheetml/2006/main">
  <authors>
    <author>Christopher J. Zappe, Ph.D.</author>
  </authors>
  <commentList>
    <comment ref="B1" authorId="0" shapeId="0">
      <text>
        <r>
          <rPr>
            <sz val="8"/>
            <color indexed="81"/>
            <rFont val="Tahoma"/>
            <family val="2"/>
          </rPr>
          <t xml:space="preserve">Average time (in minutes) it takes a citizen of the given metropolitan area to travel to and from work, regardless of the mode of transportation.
</t>
        </r>
      </text>
    </comment>
  </commentList>
</comments>
</file>

<file path=xl/sharedStrings.xml><?xml version="1.0" encoding="utf-8"?>
<sst xmlns="http://schemas.openxmlformats.org/spreadsheetml/2006/main" count="381" uniqueCount="381">
  <si>
    <t>Metropolitan_Area</t>
  </si>
  <si>
    <t>Abilene, TX</t>
  </si>
  <si>
    <t>Akron, OH</t>
  </si>
  <si>
    <t>Albany, GA</t>
  </si>
  <si>
    <t>Albany-Schenectady-Troy, NY</t>
  </si>
  <si>
    <t>Albuquerque, NM</t>
  </si>
  <si>
    <t>Alexandria, LA</t>
  </si>
  <si>
    <t>Allentown-Bethlehem-Easton, PA</t>
  </si>
  <si>
    <t>Altoona, PA</t>
  </si>
  <si>
    <t>Amarillo, TX</t>
  </si>
  <si>
    <t>Anchorage, AK</t>
  </si>
  <si>
    <t>Ann Arbor, MI</t>
  </si>
  <si>
    <t>Asheville, NC</t>
  </si>
  <si>
    <t>Bakersfield. CA</t>
  </si>
  <si>
    <t>Bangor, ME</t>
  </si>
  <si>
    <t>Baton Rouge, LA</t>
  </si>
  <si>
    <t>Beaumont-Port Arthur, TX</t>
  </si>
  <si>
    <t>Bellingham, WA</t>
  </si>
  <si>
    <t>Billings, MT</t>
  </si>
  <si>
    <t>Binghamton, NY</t>
  </si>
  <si>
    <t>Bismarck, ND</t>
  </si>
  <si>
    <t>Bloomington, IN</t>
  </si>
  <si>
    <t>Bloomington-Normal, IL</t>
  </si>
  <si>
    <t>Buffalo-Niagara Falls, NY</t>
  </si>
  <si>
    <t>Canton-Massillon, OH</t>
  </si>
  <si>
    <t>Casper, WY</t>
  </si>
  <si>
    <t>Cedar Rapids, IA</t>
  </si>
  <si>
    <t>Champaign-Urbana, IL</t>
  </si>
  <si>
    <t>Charleston, WV</t>
  </si>
  <si>
    <t>Charleston-North Charleston, SC</t>
  </si>
  <si>
    <t>Charlottesville, VA</t>
  </si>
  <si>
    <t>Chattanooga, TN-GA</t>
  </si>
  <si>
    <t>Cheyenne, WY</t>
  </si>
  <si>
    <t>Colorado Springs, CO</t>
  </si>
  <si>
    <t>Columbia, MO</t>
  </si>
  <si>
    <t>Columbia, SC</t>
  </si>
  <si>
    <t>Columbus, GA-AL</t>
  </si>
  <si>
    <t>Columbus, OH</t>
  </si>
  <si>
    <t>Corpus Christi, TX</t>
  </si>
  <si>
    <t>Cumberland, MD-WV</t>
  </si>
  <si>
    <t>Danville, VA</t>
  </si>
  <si>
    <t>Davenport-Moline-Rock Island, IA-IL</t>
  </si>
  <si>
    <t>Decatur, AL</t>
  </si>
  <si>
    <t>Decatur, IL</t>
  </si>
  <si>
    <t>Dothan, AL</t>
  </si>
  <si>
    <t>Dover, DE</t>
  </si>
  <si>
    <t>Dubuque, IA</t>
  </si>
  <si>
    <t>Eau Claire, WI</t>
  </si>
  <si>
    <t>El Paso, TX</t>
  </si>
  <si>
    <t>Elkhart-Goshen, IN</t>
  </si>
  <si>
    <t>Elmira, NY</t>
  </si>
  <si>
    <t>Erie, PA</t>
  </si>
  <si>
    <t>Eugene-Springfield, OR</t>
  </si>
  <si>
    <t>Fayetteville, NC</t>
  </si>
  <si>
    <t>Flint, MI</t>
  </si>
  <si>
    <t>Florence, SC</t>
  </si>
  <si>
    <t>Fort Collins-Loveland, CO</t>
  </si>
  <si>
    <t>Fort Smith, AR-OK</t>
  </si>
  <si>
    <t>Fort Wayne, IN</t>
  </si>
  <si>
    <t>Fort Worth-Arlington, TX</t>
  </si>
  <si>
    <t>Fresno, CA</t>
  </si>
  <si>
    <t>Gainesville, FL</t>
  </si>
  <si>
    <t>Gary, IN</t>
  </si>
  <si>
    <t>Glens Falls, NY</t>
  </si>
  <si>
    <t>Goldsboro, NC</t>
  </si>
  <si>
    <t>Grands Fork, ND-MN</t>
  </si>
  <si>
    <t>Grand Junction, CO</t>
  </si>
  <si>
    <t>Great Falls, MT</t>
  </si>
  <si>
    <t>Greeley, CO</t>
  </si>
  <si>
    <t>Green Bay, WI</t>
  </si>
  <si>
    <t>Greenville, NC</t>
  </si>
  <si>
    <t>Hattiesburg, MS</t>
  </si>
  <si>
    <t>Hickory-Morganton-Lenoir, NC</t>
  </si>
  <si>
    <t>Honolulu, HI</t>
  </si>
  <si>
    <t>Huntington-Ashland, WV-KY-OH</t>
  </si>
  <si>
    <t>Huntsville, AL</t>
  </si>
  <si>
    <t>Iowa City, IA</t>
  </si>
  <si>
    <t>Jackson, MI</t>
  </si>
  <si>
    <t>Jackson, MS</t>
  </si>
  <si>
    <t>Jackson, TN</t>
  </si>
  <si>
    <t>Jacksonville, FL</t>
  </si>
  <si>
    <t>Jacksonville, NC</t>
  </si>
  <si>
    <t>Johnstown, PA</t>
  </si>
  <si>
    <t>Jonesboro, AK</t>
  </si>
  <si>
    <t>Joplin, MO</t>
  </si>
  <si>
    <t>Kansas City, MO-KS</t>
  </si>
  <si>
    <t>Knoxville, TN</t>
  </si>
  <si>
    <t>Kokomo, IN</t>
  </si>
  <si>
    <t>La Crosse, WI-MN</t>
  </si>
  <si>
    <t>Lafayette, IN</t>
  </si>
  <si>
    <t>Lafayette, LA</t>
  </si>
  <si>
    <t>Lake Charles, LA</t>
  </si>
  <si>
    <t>Lancaster, PA</t>
  </si>
  <si>
    <t>Lansing-East Lansing, MI</t>
  </si>
  <si>
    <t>Laredo, TX</t>
  </si>
  <si>
    <t>Las Cruces, NM</t>
  </si>
  <si>
    <t>Lawrence, KS</t>
  </si>
  <si>
    <t>Lawton, OK</t>
  </si>
  <si>
    <t>Lewiston-Auburn, ME</t>
  </si>
  <si>
    <t>Lima, OH</t>
  </si>
  <si>
    <t>Lincoln, NE</t>
  </si>
  <si>
    <t>Little Rock-North Little Rock, AR</t>
  </si>
  <si>
    <t>Lubbock, TX</t>
  </si>
  <si>
    <t>Lynchburg, VA</t>
  </si>
  <si>
    <t>Macon, GA</t>
  </si>
  <si>
    <t>Madison, WI</t>
  </si>
  <si>
    <t>Mansfield, OH</t>
  </si>
  <si>
    <t>McAllen-Edinburg-Mission, TX</t>
  </si>
  <si>
    <t>Memphis, TN-AR-MS</t>
  </si>
  <si>
    <t>Merced, CA</t>
  </si>
  <si>
    <t>Missoula, MT</t>
  </si>
  <si>
    <t>Mobile, AL</t>
  </si>
  <si>
    <t>Modesto, CA</t>
  </si>
  <si>
    <t>Monroe, LA</t>
  </si>
  <si>
    <t>Montgomery, AL</t>
  </si>
  <si>
    <t>New London-Norwich, CT-RI</t>
  </si>
  <si>
    <t>Ocala, FL</t>
  </si>
  <si>
    <t>Oklahoma City, OK</t>
  </si>
  <si>
    <t>Olympia, WA</t>
  </si>
  <si>
    <t>Owensboro, KY</t>
  </si>
  <si>
    <t>Pine Bluff, AR</t>
  </si>
  <si>
    <t>Pittsburgh, PA</t>
  </si>
  <si>
    <t>Pittsfield, MA</t>
  </si>
  <si>
    <t>Pocatello, ID</t>
  </si>
  <si>
    <t>Provo-Orem, UT</t>
  </si>
  <si>
    <t>Pueblo, CO</t>
  </si>
  <si>
    <t>Punta Gorda, FL</t>
  </si>
  <si>
    <t>Racine, WI</t>
  </si>
  <si>
    <t>Rapid City, SD</t>
  </si>
  <si>
    <t>Reading, PA</t>
  </si>
  <si>
    <t>Redding, CA</t>
  </si>
  <si>
    <t>Roanoke, VA</t>
  </si>
  <si>
    <t>Rochester, MN</t>
  </si>
  <si>
    <t>Rochester, NY</t>
  </si>
  <si>
    <t>Rockford, IL</t>
  </si>
  <si>
    <t>Rocky Mount, NC</t>
  </si>
  <si>
    <t>St. Cloud, MN</t>
  </si>
  <si>
    <t>St. Louis, MO-IL</t>
  </si>
  <si>
    <t>Salem, OR</t>
  </si>
  <si>
    <t>Salinas, CA</t>
  </si>
  <si>
    <t>San Angelo, TX</t>
  </si>
  <si>
    <t>San Antonio, TX</t>
  </si>
  <si>
    <t>Santa Cruz-Watsonville, CA</t>
  </si>
  <si>
    <t>Santa Fe, NM</t>
  </si>
  <si>
    <t>Savannah, GA</t>
  </si>
  <si>
    <t>Seattle-Bellevue-Everett, WA</t>
  </si>
  <si>
    <t>Sheboygan, WI</t>
  </si>
  <si>
    <t>Sherman-Denison, TX</t>
  </si>
  <si>
    <t>Shreveport-Bossier City, LA</t>
  </si>
  <si>
    <t>Sioux Falls, SD</t>
  </si>
  <si>
    <t>Spokane, WA</t>
  </si>
  <si>
    <t>Springfield, IL</t>
  </si>
  <si>
    <t>Springfield, MA</t>
  </si>
  <si>
    <t>Springfield, MO</t>
  </si>
  <si>
    <t>State College, PA</t>
  </si>
  <si>
    <t>Sumter, SC</t>
  </si>
  <si>
    <t>Syracuse, NY</t>
  </si>
  <si>
    <t>Tacoma, WA</t>
  </si>
  <si>
    <t>Tallahassee, FL</t>
  </si>
  <si>
    <t>Tampa-St. Petersburg-Clearwater, FL</t>
  </si>
  <si>
    <t>Terre Haute, IN</t>
  </si>
  <si>
    <t>Texarkana, TX-Texarkana, AR</t>
  </si>
  <si>
    <t>Toledo, OH</t>
  </si>
  <si>
    <t>Topeka, KS</t>
  </si>
  <si>
    <t>Tucson, AZ</t>
  </si>
  <si>
    <t>Tulsa, OK</t>
  </si>
  <si>
    <t>Tuscaloosa, AL</t>
  </si>
  <si>
    <t>Tyler, TX</t>
  </si>
  <si>
    <t>Utica-Rome, NY</t>
  </si>
  <si>
    <t>Victoria, TX</t>
  </si>
  <si>
    <t>Vineland-Millville-Bridgeton, NJ</t>
  </si>
  <si>
    <t xml:space="preserve">Waco, TX </t>
  </si>
  <si>
    <t>Waterloo-Cedar Falls, IA</t>
  </si>
  <si>
    <t>Wausau, WI</t>
  </si>
  <si>
    <t>Wheeling, WV-OH</t>
  </si>
  <si>
    <t>Wichita, KS</t>
  </si>
  <si>
    <t>Wichita Falls, TX</t>
  </si>
  <si>
    <t>Williamsport, PA</t>
  </si>
  <si>
    <t>Wilmington, NC</t>
  </si>
  <si>
    <t>Yakima, WA</t>
  </si>
  <si>
    <t>Yuba City, CA</t>
  </si>
  <si>
    <t>Yuma, AZ</t>
  </si>
  <si>
    <t>Appleton, WI</t>
  </si>
  <si>
    <t>Atlantic City, NJ</t>
  </si>
  <si>
    <t>Augusta-Richmond County, GA-SC</t>
  </si>
  <si>
    <t>Austin-Round Rock, TX</t>
  </si>
  <si>
    <t>Anniston-Oxford, AL</t>
  </si>
  <si>
    <t>Atlanta-Sandy Springs-Marietta, GA</t>
  </si>
  <si>
    <t>Baltimore-Towson, MD</t>
  </si>
  <si>
    <t>Barnstable Town, MA</t>
  </si>
  <si>
    <t>Bend, OR</t>
  </si>
  <si>
    <t>Bethesda-Gaithersburg-Frederick, MD</t>
  </si>
  <si>
    <t>Birmingham-Hoover, AL</t>
  </si>
  <si>
    <t>Blacksburg-Christiansburg-Radford, VA</t>
  </si>
  <si>
    <t>Boise City-Nampa, ID</t>
  </si>
  <si>
    <t>Boston-Quincy, MA</t>
  </si>
  <si>
    <t>Boulder, CO</t>
  </si>
  <si>
    <t>Bowling Green, KY</t>
  </si>
  <si>
    <t>Bremerton-Silverdale, WA</t>
  </si>
  <si>
    <t>Bridgeport-Stamford-Norwalk, CT</t>
  </si>
  <si>
    <t>Brownsville-Harlingen, TX</t>
  </si>
  <si>
    <t>Brunswick, GA</t>
  </si>
  <si>
    <t>Burlington, NC</t>
  </si>
  <si>
    <t>Burlington-South Burlington, VT</t>
  </si>
  <si>
    <t>Cambridge-Newton-Framingham, MA</t>
  </si>
  <si>
    <t>Camden, NJ</t>
  </si>
  <si>
    <t>Carson City, NV</t>
  </si>
  <si>
    <t>Charlotte-Gastonia-Concord, NC-SC</t>
  </si>
  <si>
    <t>Chicago-Naperville-Joliet, IL</t>
  </si>
  <si>
    <t>Chico, CA</t>
  </si>
  <si>
    <t>Cincinnati-Middletown, OH-KY-IN</t>
  </si>
  <si>
    <t>Clarksville, TN-KY</t>
  </si>
  <si>
    <t>Cleveland, TN</t>
  </si>
  <si>
    <t>Cleveland-Elyria-Mentor, OH</t>
  </si>
  <si>
    <t>Coeur d'Alene, ID</t>
  </si>
  <si>
    <t>College Station-Bryan, TX</t>
  </si>
  <si>
    <t>Columbus, IN</t>
  </si>
  <si>
    <t>Corvallis, OR</t>
  </si>
  <si>
    <t>Dallas-Plano-Irving, TX</t>
  </si>
  <si>
    <t>Dalton, GA</t>
  </si>
  <si>
    <t>Danville, IL</t>
  </si>
  <si>
    <t>Dayton, OH</t>
  </si>
  <si>
    <t>Deltona-Daytona Beach-Ormond Beach, FL</t>
  </si>
  <si>
    <t>Denver-Aurora, CO</t>
  </si>
  <si>
    <t>Des Moines-West Des Moines, IA</t>
  </si>
  <si>
    <t>Detroit-Livonia-Dearborn, MI</t>
  </si>
  <si>
    <t>Duluth, MN-WI</t>
  </si>
  <si>
    <t>Durham, NC</t>
  </si>
  <si>
    <t>Edison, NJ</t>
  </si>
  <si>
    <t>El Centro, CA</t>
  </si>
  <si>
    <t>Elizabethtown, KY</t>
  </si>
  <si>
    <t>Essex County, MA</t>
  </si>
  <si>
    <t>Evansville, IN-KY</t>
  </si>
  <si>
    <t>Fairbanks, AK</t>
  </si>
  <si>
    <t>Fargo, ND-MN</t>
  </si>
  <si>
    <t>Framington, NM</t>
  </si>
  <si>
    <t>Fayetteville-Springdale-Rogers, AR-MO</t>
  </si>
  <si>
    <t>Flagstaff, AZ</t>
  </si>
  <si>
    <t>Florence-Muscle Shoals, AL</t>
  </si>
  <si>
    <t>Fond du Lac, WI</t>
  </si>
  <si>
    <t>Fort Lauderdale-Pompano Beach-Deerfield Beach, FL</t>
  </si>
  <si>
    <t>Fort Walton Beach-Crestview-Destin, FL</t>
  </si>
  <si>
    <t>Gadsden, AL</t>
  </si>
  <si>
    <t>Gainesville, GA</t>
  </si>
  <si>
    <t>Grand Rapids-Wyoming, MI</t>
  </si>
  <si>
    <t>Greensboro-High Point, NC</t>
  </si>
  <si>
    <t>Greenville, SC</t>
  </si>
  <si>
    <t>Gulfport-Biloxi, MS</t>
  </si>
  <si>
    <t>Hagerstown-Martinsburg, MD-WV</t>
  </si>
  <si>
    <t>Hanford-Corcoran, CA</t>
  </si>
  <si>
    <t>Harrisburg-Carlisle, PA</t>
  </si>
  <si>
    <t>Harrisonburg, VA</t>
  </si>
  <si>
    <t>Hartford-West Hartford-East Hartford, CT</t>
  </si>
  <si>
    <t>Hinesville-Fort Stewart, GA</t>
  </si>
  <si>
    <t>Holland-Grand Haven, MI</t>
  </si>
  <si>
    <t>Hot Springs, AR</t>
  </si>
  <si>
    <t>Houma-Bayou Cane-Thibodaux, LA</t>
  </si>
  <si>
    <t>Houston-Sugar Land-Baytown, TX</t>
  </si>
  <si>
    <t>Idaho Falls, ID</t>
  </si>
  <si>
    <t>Indianapolis-Carmel, IN</t>
  </si>
  <si>
    <t>Ithaca, NY</t>
  </si>
  <si>
    <t>Janesville, WI</t>
  </si>
  <si>
    <t>Jefferson City, MO</t>
  </si>
  <si>
    <t>Johnson City, TN</t>
  </si>
  <si>
    <t>Kalamazoo-Portage, MI</t>
  </si>
  <si>
    <t>Kankakee-Bradley, IL</t>
  </si>
  <si>
    <t>Kennewick-Richland-Pasco, WA</t>
  </si>
  <si>
    <t>Killeen-Temple-Fort Hood, TX</t>
  </si>
  <si>
    <t>Kingsport-Bristol-Bristol, TN-VA</t>
  </si>
  <si>
    <t>Kingston, NY</t>
  </si>
  <si>
    <t>Lake County-Kenosha County, IL-WI</t>
  </si>
  <si>
    <t>Lakeland, FL</t>
  </si>
  <si>
    <t>Las Vegas-Paradise, NV</t>
  </si>
  <si>
    <t>Lebanon, PA</t>
  </si>
  <si>
    <t>Lewiston, ID-WA</t>
  </si>
  <si>
    <t>Lexington-Fayette, KY</t>
  </si>
  <si>
    <t>Logan, UT-ID</t>
  </si>
  <si>
    <t>Longview, TX</t>
  </si>
  <si>
    <t>Longview, WA</t>
  </si>
  <si>
    <t>Los Angeles-Long Beach-Glendale, CA</t>
  </si>
  <si>
    <t>Louisville-Jefferson County, KY-IN</t>
  </si>
  <si>
    <t>Madera, CA</t>
  </si>
  <si>
    <t>Manchester-Nashua, NH</t>
  </si>
  <si>
    <t>Medford, OR</t>
  </si>
  <si>
    <t>Miami-Miami Beach-Kendall, FL</t>
  </si>
  <si>
    <t>Michigan city-La Porte, IN</t>
  </si>
  <si>
    <t>Midland, TX</t>
  </si>
  <si>
    <t>Milwaukee-Waukesha-Weat Allis, WI</t>
  </si>
  <si>
    <t>Minneapolis-St. Paul-Bloomington, MN-WI</t>
  </si>
  <si>
    <t>Monroe, MI</t>
  </si>
  <si>
    <t>Morgantown, WV</t>
  </si>
  <si>
    <t>Morristown, TN</t>
  </si>
  <si>
    <t>Mount Vernon-Anacortes, WA</t>
  </si>
  <si>
    <t>Muncie, IN</t>
  </si>
  <si>
    <t>Muskegon-Norton Shores, MI</t>
  </si>
  <si>
    <t>Myrtle Beach-Conway-North Myrtle Beach, SC</t>
  </si>
  <si>
    <t>Napa, CA</t>
  </si>
  <si>
    <t>Naples-Marco Island, FL</t>
  </si>
  <si>
    <t>Nashville-Davidson-Murfreesboro, TN</t>
  </si>
  <si>
    <t>Nassau-Suffolk, NY</t>
  </si>
  <si>
    <t>Newark-Union, NJ-PA</t>
  </si>
  <si>
    <t>New Haven-Milford, CT</t>
  </si>
  <si>
    <t>New Orleans-Metairie-Kenner, LA</t>
  </si>
  <si>
    <t>New York-White Plains-Wayne, NY-NJ</t>
  </si>
  <si>
    <t>Niles-Benton Harbor, MI</t>
  </si>
  <si>
    <t>Norwich-New London, CT</t>
  </si>
  <si>
    <t>Oakland-Fremont-Hayward, CA</t>
  </si>
  <si>
    <t>Ocean City, NJ</t>
  </si>
  <si>
    <t>Odessa, TX</t>
  </si>
  <si>
    <t>Odgen-Clearfield, UT</t>
  </si>
  <si>
    <t>Omaha-Council Bluffs, NE-IA</t>
  </si>
  <si>
    <t>Orlando-Kissimmee, FL</t>
  </si>
  <si>
    <t>Oshkosh-Neenah, WI</t>
  </si>
  <si>
    <t>Oxnard-Thousand Oaks-Ventura, CA</t>
  </si>
  <si>
    <t>Palm Bay-Melbourne-Titusville, FL</t>
  </si>
  <si>
    <t>Panama City-Lynn Haven, FL</t>
  </si>
  <si>
    <t>Parkersburg-Marietta-Vienna, WV-OH</t>
  </si>
  <si>
    <t>Pascagoula, MS</t>
  </si>
  <si>
    <t>Pensacola-Ferry Pass-Brent, FL</t>
  </si>
  <si>
    <t>Peoria, IL</t>
  </si>
  <si>
    <t>Philadelphia, PA</t>
  </si>
  <si>
    <t>Phoenix-Mesa-Scottsdale, AZ</t>
  </si>
  <si>
    <t>Portland-South Portland-Biddeford, ME</t>
  </si>
  <si>
    <t>Portland-Vancouver-Beavertown, OR-WA</t>
  </si>
  <si>
    <t>Port St. Lucie-Fort Pierce, FL</t>
  </si>
  <si>
    <t>Poughkeepsie-Newburgh-Middletown, NY</t>
  </si>
  <si>
    <t>Prescott, AZ</t>
  </si>
  <si>
    <t>Providence-New Bedford-Fall River, RI-MA</t>
  </si>
  <si>
    <t>Raleigh-Cary, NC</t>
  </si>
  <si>
    <t>Reno-Sparks, NV</t>
  </si>
  <si>
    <t>Richmond, VA</t>
  </si>
  <si>
    <t>Riverside-San Bernardino-Ontario, CA</t>
  </si>
  <si>
    <t>Rockingham County-Strafford County, NH</t>
  </si>
  <si>
    <t>Rome, GA</t>
  </si>
  <si>
    <t>Sacramento-Arden-Arcade-Roseville, CA</t>
  </si>
  <si>
    <t>Saginaw-Saginaw Township, MI</t>
  </si>
  <si>
    <t>St. George, UT</t>
  </si>
  <si>
    <t>St. Joseph, MO-KS</t>
  </si>
  <si>
    <t>Salisbury, MD</t>
  </si>
  <si>
    <t>Salt Lake City, UT</t>
  </si>
  <si>
    <t>San Diego-Carlsbad-San Marcos, CA</t>
  </si>
  <si>
    <t>Sandusky, OH</t>
  </si>
  <si>
    <t>San Francisco-San Mateo-Redwood City, CA</t>
  </si>
  <si>
    <t>San Jose-Sunnyvale-Santa Clara, CA</t>
  </si>
  <si>
    <t>San Luis Obispo-Paso Robles, CA</t>
  </si>
  <si>
    <t>Santa Ana-Anaheim-Irvine, CA</t>
  </si>
  <si>
    <t>Santa Barbara-Santa Maria, CA</t>
  </si>
  <si>
    <t>Santa Rosa-Petaluma, CA</t>
  </si>
  <si>
    <t>Sarasota-Bradenton-Venice, FL</t>
  </si>
  <si>
    <t>Scranton-Wilkes Barre, PA</t>
  </si>
  <si>
    <t>Sebastian-Vero Beach, FL</t>
  </si>
  <si>
    <t>Sioux City, IA-NE-SD</t>
  </si>
  <si>
    <t>South Bend-Mishawaka, IN-MI</t>
  </si>
  <si>
    <t>Spartanburg, SC</t>
  </si>
  <si>
    <t>Springfield, OH</t>
  </si>
  <si>
    <t>Stockton, CA</t>
  </si>
  <si>
    <t>Trenton-Ewing, NJ</t>
  </si>
  <si>
    <t>Valdosta, GA</t>
  </si>
  <si>
    <t>Vallejo-Fairfield, CA</t>
  </si>
  <si>
    <t>Virginia Beach-Norfolk-Newport News, VA-NC</t>
  </si>
  <si>
    <t>Visalia-Porterville, CA</t>
  </si>
  <si>
    <t>Warner Robins, GA</t>
  </si>
  <si>
    <t>Warren-Troy-Farmington Hills, MI</t>
  </si>
  <si>
    <t>Washington-Arlington-Alexandria, DC-MD-VA-WV</t>
  </si>
  <si>
    <t>Weirton-Steubenville, WV-OH</t>
  </si>
  <si>
    <t>Wenatchee, WA</t>
  </si>
  <si>
    <t>West Palm Beach-Boca Raton-Boynton Beach, FL</t>
  </si>
  <si>
    <t>Wilmington, DE-MD-NJ</t>
  </si>
  <si>
    <t>Winchester, VA-WV</t>
  </si>
  <si>
    <t>Winston-Salem, NC</t>
  </si>
  <si>
    <t>Worcester, MA</t>
  </si>
  <si>
    <t>York-Hanover, PA</t>
  </si>
  <si>
    <t>Youngstown-Warren-Boardman, OH-PA</t>
  </si>
  <si>
    <t>Ames, IA</t>
  </si>
  <si>
    <t>Anderson, IN</t>
  </si>
  <si>
    <t>Anderson, SC</t>
  </si>
  <si>
    <t>Athens-Clarke County, GA</t>
  </si>
  <si>
    <t>Auburn-Opelika, AL</t>
  </si>
  <si>
    <t>Battle Creek, MI</t>
  </si>
  <si>
    <t>Bay City, MI</t>
  </si>
  <si>
    <t>Commute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</si>
</sst>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horizontal="left"/>
    </xf>
    <xf numFmtId="164" fontId="4" fillId="0" borderId="0" xfId="1" applyNumberFormat="1" applyFont="1"/>
    <xf numFmtId="0" fontId="3" fillId="0" borderId="0" xfId="1" applyFont="1" applyAlignment="1">
      <alignment horizontal="right"/>
    </xf>
  </cellXfs>
  <cellStyles count="2">
    <cellStyle name="Normal" xfId="0" builtinId="0" customBuiltin="1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9525</xdr:rowOff>
    </xdr:from>
    <xdr:to>
      <xdr:col>4</xdr:col>
      <xdr:colOff>457200</xdr:colOff>
      <xdr:row>5</xdr:row>
      <xdr:rowOff>9525</xdr:rowOff>
    </xdr:to>
    <xdr:sp macro="" textlink="">
      <xdr:nvSpPr>
        <xdr:cNvPr id="2" name="TextBox 1"/>
        <xdr:cNvSpPr txBox="1"/>
      </xdr:nvSpPr>
      <xdr:spPr>
        <a:xfrm>
          <a:off x="304800" y="200025"/>
          <a:ext cx="2590800" cy="7620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SOURCE:  Savageau, D., Places Rated Almanac (25th Anniversary Edition), Places Rated Books, 2007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C4" sqref="C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380"/>
  <sheetViews>
    <sheetView tabSelected="1" workbookViewId="0"/>
  </sheetViews>
  <sheetFormatPr defaultRowHeight="15" x14ac:dyDescent="0.25"/>
  <cols>
    <col min="1" max="1" width="53.28515625" style="3" bestFit="1" customWidth="1"/>
    <col min="2" max="2" width="16.85546875" style="2" customWidth="1"/>
    <col min="3" max="256" width="9.140625" style="2"/>
    <col min="257" max="257" width="39.85546875" style="2" customWidth="1"/>
    <col min="258" max="258" width="16.85546875" style="2" customWidth="1"/>
    <col min="259" max="512" width="9.140625" style="2"/>
    <col min="513" max="513" width="39.85546875" style="2" customWidth="1"/>
    <col min="514" max="514" width="16.85546875" style="2" customWidth="1"/>
    <col min="515" max="768" width="9.140625" style="2"/>
    <col min="769" max="769" width="39.85546875" style="2" customWidth="1"/>
    <col min="770" max="770" width="16.85546875" style="2" customWidth="1"/>
    <col min="771" max="1024" width="9.140625" style="2"/>
    <col min="1025" max="1025" width="39.85546875" style="2" customWidth="1"/>
    <col min="1026" max="1026" width="16.85546875" style="2" customWidth="1"/>
    <col min="1027" max="1280" width="9.140625" style="2"/>
    <col min="1281" max="1281" width="39.85546875" style="2" customWidth="1"/>
    <col min="1282" max="1282" width="16.85546875" style="2" customWidth="1"/>
    <col min="1283" max="1536" width="9.140625" style="2"/>
    <col min="1537" max="1537" width="39.85546875" style="2" customWidth="1"/>
    <col min="1538" max="1538" width="16.85546875" style="2" customWidth="1"/>
    <col min="1539" max="1792" width="9.140625" style="2"/>
    <col min="1793" max="1793" width="39.85546875" style="2" customWidth="1"/>
    <col min="1794" max="1794" width="16.85546875" style="2" customWidth="1"/>
    <col min="1795" max="2048" width="9.140625" style="2"/>
    <col min="2049" max="2049" width="39.85546875" style="2" customWidth="1"/>
    <col min="2050" max="2050" width="16.85546875" style="2" customWidth="1"/>
    <col min="2051" max="2304" width="9.140625" style="2"/>
    <col min="2305" max="2305" width="39.85546875" style="2" customWidth="1"/>
    <col min="2306" max="2306" width="16.85546875" style="2" customWidth="1"/>
    <col min="2307" max="2560" width="9.140625" style="2"/>
    <col min="2561" max="2561" width="39.85546875" style="2" customWidth="1"/>
    <col min="2562" max="2562" width="16.85546875" style="2" customWidth="1"/>
    <col min="2563" max="2816" width="9.140625" style="2"/>
    <col min="2817" max="2817" width="39.85546875" style="2" customWidth="1"/>
    <col min="2818" max="2818" width="16.85546875" style="2" customWidth="1"/>
    <col min="2819" max="3072" width="9.140625" style="2"/>
    <col min="3073" max="3073" width="39.85546875" style="2" customWidth="1"/>
    <col min="3074" max="3074" width="16.85546875" style="2" customWidth="1"/>
    <col min="3075" max="3328" width="9.140625" style="2"/>
    <col min="3329" max="3329" width="39.85546875" style="2" customWidth="1"/>
    <col min="3330" max="3330" width="16.85546875" style="2" customWidth="1"/>
    <col min="3331" max="3584" width="9.140625" style="2"/>
    <col min="3585" max="3585" width="39.85546875" style="2" customWidth="1"/>
    <col min="3586" max="3586" width="16.85546875" style="2" customWidth="1"/>
    <col min="3587" max="3840" width="9.140625" style="2"/>
    <col min="3841" max="3841" width="39.85546875" style="2" customWidth="1"/>
    <col min="3842" max="3842" width="16.85546875" style="2" customWidth="1"/>
    <col min="3843" max="4096" width="9.140625" style="2"/>
    <col min="4097" max="4097" width="39.85546875" style="2" customWidth="1"/>
    <col min="4098" max="4098" width="16.85546875" style="2" customWidth="1"/>
    <col min="4099" max="4352" width="9.140625" style="2"/>
    <col min="4353" max="4353" width="39.85546875" style="2" customWidth="1"/>
    <col min="4354" max="4354" width="16.85546875" style="2" customWidth="1"/>
    <col min="4355" max="4608" width="9.140625" style="2"/>
    <col min="4609" max="4609" width="39.85546875" style="2" customWidth="1"/>
    <col min="4610" max="4610" width="16.85546875" style="2" customWidth="1"/>
    <col min="4611" max="4864" width="9.140625" style="2"/>
    <col min="4865" max="4865" width="39.85546875" style="2" customWidth="1"/>
    <col min="4866" max="4866" width="16.85546875" style="2" customWidth="1"/>
    <col min="4867" max="5120" width="9.140625" style="2"/>
    <col min="5121" max="5121" width="39.85546875" style="2" customWidth="1"/>
    <col min="5122" max="5122" width="16.85546875" style="2" customWidth="1"/>
    <col min="5123" max="5376" width="9.140625" style="2"/>
    <col min="5377" max="5377" width="39.85546875" style="2" customWidth="1"/>
    <col min="5378" max="5378" width="16.85546875" style="2" customWidth="1"/>
    <col min="5379" max="5632" width="9.140625" style="2"/>
    <col min="5633" max="5633" width="39.85546875" style="2" customWidth="1"/>
    <col min="5634" max="5634" width="16.85546875" style="2" customWidth="1"/>
    <col min="5635" max="5888" width="9.140625" style="2"/>
    <col min="5889" max="5889" width="39.85546875" style="2" customWidth="1"/>
    <col min="5890" max="5890" width="16.85546875" style="2" customWidth="1"/>
    <col min="5891" max="6144" width="9.140625" style="2"/>
    <col min="6145" max="6145" width="39.85546875" style="2" customWidth="1"/>
    <col min="6146" max="6146" width="16.85546875" style="2" customWidth="1"/>
    <col min="6147" max="6400" width="9.140625" style="2"/>
    <col min="6401" max="6401" width="39.85546875" style="2" customWidth="1"/>
    <col min="6402" max="6402" width="16.85546875" style="2" customWidth="1"/>
    <col min="6403" max="6656" width="9.140625" style="2"/>
    <col min="6657" max="6657" width="39.85546875" style="2" customWidth="1"/>
    <col min="6658" max="6658" width="16.85546875" style="2" customWidth="1"/>
    <col min="6659" max="6912" width="9.140625" style="2"/>
    <col min="6913" max="6913" width="39.85546875" style="2" customWidth="1"/>
    <col min="6914" max="6914" width="16.85546875" style="2" customWidth="1"/>
    <col min="6915" max="7168" width="9.140625" style="2"/>
    <col min="7169" max="7169" width="39.85546875" style="2" customWidth="1"/>
    <col min="7170" max="7170" width="16.85546875" style="2" customWidth="1"/>
    <col min="7171" max="7424" width="9.140625" style="2"/>
    <col min="7425" max="7425" width="39.85546875" style="2" customWidth="1"/>
    <col min="7426" max="7426" width="16.85546875" style="2" customWidth="1"/>
    <col min="7427" max="7680" width="9.140625" style="2"/>
    <col min="7681" max="7681" width="39.85546875" style="2" customWidth="1"/>
    <col min="7682" max="7682" width="16.85546875" style="2" customWidth="1"/>
    <col min="7683" max="7936" width="9.140625" style="2"/>
    <col min="7937" max="7937" width="39.85546875" style="2" customWidth="1"/>
    <col min="7938" max="7938" width="16.85546875" style="2" customWidth="1"/>
    <col min="7939" max="8192" width="9.140625" style="2"/>
    <col min="8193" max="8193" width="39.85546875" style="2" customWidth="1"/>
    <col min="8194" max="8194" width="16.85546875" style="2" customWidth="1"/>
    <col min="8195" max="8448" width="9.140625" style="2"/>
    <col min="8449" max="8449" width="39.85546875" style="2" customWidth="1"/>
    <col min="8450" max="8450" width="16.85546875" style="2" customWidth="1"/>
    <col min="8451" max="8704" width="9.140625" style="2"/>
    <col min="8705" max="8705" width="39.85546875" style="2" customWidth="1"/>
    <col min="8706" max="8706" width="16.85546875" style="2" customWidth="1"/>
    <col min="8707" max="8960" width="9.140625" style="2"/>
    <col min="8961" max="8961" width="39.85546875" style="2" customWidth="1"/>
    <col min="8962" max="8962" width="16.85546875" style="2" customWidth="1"/>
    <col min="8963" max="9216" width="9.140625" style="2"/>
    <col min="9217" max="9217" width="39.85546875" style="2" customWidth="1"/>
    <col min="9218" max="9218" width="16.85546875" style="2" customWidth="1"/>
    <col min="9219" max="9472" width="9.140625" style="2"/>
    <col min="9473" max="9473" width="39.85546875" style="2" customWidth="1"/>
    <col min="9474" max="9474" width="16.85546875" style="2" customWidth="1"/>
    <col min="9475" max="9728" width="9.140625" style="2"/>
    <col min="9729" max="9729" width="39.85546875" style="2" customWidth="1"/>
    <col min="9730" max="9730" width="16.85546875" style="2" customWidth="1"/>
    <col min="9731" max="9984" width="9.140625" style="2"/>
    <col min="9985" max="9985" width="39.85546875" style="2" customWidth="1"/>
    <col min="9986" max="9986" width="16.85546875" style="2" customWidth="1"/>
    <col min="9987" max="10240" width="9.140625" style="2"/>
    <col min="10241" max="10241" width="39.85546875" style="2" customWidth="1"/>
    <col min="10242" max="10242" width="16.85546875" style="2" customWidth="1"/>
    <col min="10243" max="10496" width="9.140625" style="2"/>
    <col min="10497" max="10497" width="39.85546875" style="2" customWidth="1"/>
    <col min="10498" max="10498" width="16.85546875" style="2" customWidth="1"/>
    <col min="10499" max="10752" width="9.140625" style="2"/>
    <col min="10753" max="10753" width="39.85546875" style="2" customWidth="1"/>
    <col min="10754" max="10754" width="16.85546875" style="2" customWidth="1"/>
    <col min="10755" max="11008" width="9.140625" style="2"/>
    <col min="11009" max="11009" width="39.85546875" style="2" customWidth="1"/>
    <col min="11010" max="11010" width="16.85546875" style="2" customWidth="1"/>
    <col min="11011" max="11264" width="9.140625" style="2"/>
    <col min="11265" max="11265" width="39.85546875" style="2" customWidth="1"/>
    <col min="11266" max="11266" width="16.85546875" style="2" customWidth="1"/>
    <col min="11267" max="11520" width="9.140625" style="2"/>
    <col min="11521" max="11521" width="39.85546875" style="2" customWidth="1"/>
    <col min="11522" max="11522" width="16.85546875" style="2" customWidth="1"/>
    <col min="11523" max="11776" width="9.140625" style="2"/>
    <col min="11777" max="11777" width="39.85546875" style="2" customWidth="1"/>
    <col min="11778" max="11778" width="16.85546875" style="2" customWidth="1"/>
    <col min="11779" max="12032" width="9.140625" style="2"/>
    <col min="12033" max="12033" width="39.85546875" style="2" customWidth="1"/>
    <col min="12034" max="12034" width="16.85546875" style="2" customWidth="1"/>
    <col min="12035" max="12288" width="9.140625" style="2"/>
    <col min="12289" max="12289" width="39.85546875" style="2" customWidth="1"/>
    <col min="12290" max="12290" width="16.85546875" style="2" customWidth="1"/>
    <col min="12291" max="12544" width="9.140625" style="2"/>
    <col min="12545" max="12545" width="39.85546875" style="2" customWidth="1"/>
    <col min="12546" max="12546" width="16.85546875" style="2" customWidth="1"/>
    <col min="12547" max="12800" width="9.140625" style="2"/>
    <col min="12801" max="12801" width="39.85546875" style="2" customWidth="1"/>
    <col min="12802" max="12802" width="16.85546875" style="2" customWidth="1"/>
    <col min="12803" max="13056" width="9.140625" style="2"/>
    <col min="13057" max="13057" width="39.85546875" style="2" customWidth="1"/>
    <col min="13058" max="13058" width="16.85546875" style="2" customWidth="1"/>
    <col min="13059" max="13312" width="9.140625" style="2"/>
    <col min="13313" max="13313" width="39.85546875" style="2" customWidth="1"/>
    <col min="13314" max="13314" width="16.85546875" style="2" customWidth="1"/>
    <col min="13315" max="13568" width="9.140625" style="2"/>
    <col min="13569" max="13569" width="39.85546875" style="2" customWidth="1"/>
    <col min="13570" max="13570" width="16.85546875" style="2" customWidth="1"/>
    <col min="13571" max="13824" width="9.140625" style="2"/>
    <col min="13825" max="13825" width="39.85546875" style="2" customWidth="1"/>
    <col min="13826" max="13826" width="16.85546875" style="2" customWidth="1"/>
    <col min="13827" max="14080" width="9.140625" style="2"/>
    <col min="14081" max="14081" width="39.85546875" style="2" customWidth="1"/>
    <col min="14082" max="14082" width="16.85546875" style="2" customWidth="1"/>
    <col min="14083" max="14336" width="9.140625" style="2"/>
    <col min="14337" max="14337" width="39.85546875" style="2" customWidth="1"/>
    <col min="14338" max="14338" width="16.85546875" style="2" customWidth="1"/>
    <col min="14339" max="14592" width="9.140625" style="2"/>
    <col min="14593" max="14593" width="39.85546875" style="2" customWidth="1"/>
    <col min="14594" max="14594" width="16.85546875" style="2" customWidth="1"/>
    <col min="14595" max="14848" width="9.140625" style="2"/>
    <col min="14849" max="14849" width="39.85546875" style="2" customWidth="1"/>
    <col min="14850" max="14850" width="16.85546875" style="2" customWidth="1"/>
    <col min="14851" max="15104" width="9.140625" style="2"/>
    <col min="15105" max="15105" width="39.85546875" style="2" customWidth="1"/>
    <col min="15106" max="15106" width="16.85546875" style="2" customWidth="1"/>
    <col min="15107" max="15360" width="9.140625" style="2"/>
    <col min="15361" max="15361" width="39.85546875" style="2" customWidth="1"/>
    <col min="15362" max="15362" width="16.85546875" style="2" customWidth="1"/>
    <col min="15363" max="15616" width="9.140625" style="2"/>
    <col min="15617" max="15617" width="39.85546875" style="2" customWidth="1"/>
    <col min="15618" max="15618" width="16.85546875" style="2" customWidth="1"/>
    <col min="15619" max="15872" width="9.140625" style="2"/>
    <col min="15873" max="15873" width="39.85546875" style="2" customWidth="1"/>
    <col min="15874" max="15874" width="16.85546875" style="2" customWidth="1"/>
    <col min="15875" max="16128" width="9.140625" style="2"/>
    <col min="16129" max="16129" width="39.85546875" style="2" customWidth="1"/>
    <col min="16130" max="16130" width="16.85546875" style="2" customWidth="1"/>
    <col min="16131" max="16384" width="9.140625" style="2"/>
  </cols>
  <sheetData>
    <row r="1" spans="1:2" x14ac:dyDescent="0.25">
      <c r="A1" s="1" t="s">
        <v>0</v>
      </c>
      <c r="B1" s="5" t="s">
        <v>380</v>
      </c>
    </row>
    <row r="2" spans="1:2" x14ac:dyDescent="0.25">
      <c r="A2" s="3" t="s">
        <v>1</v>
      </c>
      <c r="B2" s="4">
        <v>37.57</v>
      </c>
    </row>
    <row r="3" spans="1:2" x14ac:dyDescent="0.25">
      <c r="A3" s="3" t="s">
        <v>2</v>
      </c>
      <c r="B3" s="4">
        <v>49.38</v>
      </c>
    </row>
    <row r="4" spans="1:2" x14ac:dyDescent="0.25">
      <c r="A4" s="3" t="s">
        <v>3</v>
      </c>
      <c r="B4" s="4">
        <v>44.52</v>
      </c>
    </row>
    <row r="5" spans="1:2" x14ac:dyDescent="0.25">
      <c r="A5" s="3" t="s">
        <v>4</v>
      </c>
      <c r="B5" s="4">
        <v>48.37</v>
      </c>
    </row>
    <row r="6" spans="1:2" x14ac:dyDescent="0.25">
      <c r="A6" s="3" t="s">
        <v>5</v>
      </c>
      <c r="B6" s="4">
        <v>48.85</v>
      </c>
    </row>
    <row r="7" spans="1:2" x14ac:dyDescent="0.25">
      <c r="A7" s="3" t="s">
        <v>6</v>
      </c>
      <c r="B7" s="4">
        <v>54.63</v>
      </c>
    </row>
    <row r="8" spans="1:2" x14ac:dyDescent="0.25">
      <c r="A8" s="3" t="s">
        <v>7</v>
      </c>
      <c r="B8" s="4">
        <v>53.55</v>
      </c>
    </row>
    <row r="9" spans="1:2" x14ac:dyDescent="0.25">
      <c r="A9" s="3" t="s">
        <v>8</v>
      </c>
      <c r="B9" s="4">
        <v>43.37</v>
      </c>
    </row>
    <row r="10" spans="1:2" x14ac:dyDescent="0.25">
      <c r="A10" s="3" t="s">
        <v>9</v>
      </c>
      <c r="B10" s="4">
        <v>39.68</v>
      </c>
    </row>
    <row r="11" spans="1:2" x14ac:dyDescent="0.25">
      <c r="A11" s="3" t="s">
        <v>373</v>
      </c>
      <c r="B11" s="4">
        <f>35+58/60</f>
        <v>35.966666666666669</v>
      </c>
    </row>
    <row r="12" spans="1:2" x14ac:dyDescent="0.25">
      <c r="A12" s="3" t="s">
        <v>10</v>
      </c>
      <c r="B12" s="4">
        <v>47.98</v>
      </c>
    </row>
    <row r="13" spans="1:2" x14ac:dyDescent="0.25">
      <c r="A13" s="3" t="s">
        <v>374</v>
      </c>
      <c r="B13" s="4">
        <f>49+55/60</f>
        <v>49.916666666666664</v>
      </c>
    </row>
    <row r="14" spans="1:2" x14ac:dyDescent="0.25">
      <c r="A14" s="3" t="s">
        <v>375</v>
      </c>
      <c r="B14" s="4">
        <f>51+13/60</f>
        <v>51.216666666666669</v>
      </c>
    </row>
    <row r="15" spans="1:2" x14ac:dyDescent="0.25">
      <c r="A15" s="3" t="s">
        <v>11</v>
      </c>
      <c r="B15" s="4">
        <v>47</v>
      </c>
    </row>
    <row r="16" spans="1:2" x14ac:dyDescent="0.25">
      <c r="A16" s="3" t="s">
        <v>186</v>
      </c>
      <c r="B16" s="4">
        <v>50.72</v>
      </c>
    </row>
    <row r="17" spans="1:2" x14ac:dyDescent="0.25">
      <c r="A17" s="3" t="s">
        <v>182</v>
      </c>
      <c r="B17" s="4">
        <v>38.93</v>
      </c>
    </row>
    <row r="18" spans="1:2" x14ac:dyDescent="0.25">
      <c r="A18" s="3" t="s">
        <v>12</v>
      </c>
      <c r="B18" s="4">
        <v>46.83</v>
      </c>
    </row>
    <row r="19" spans="1:2" x14ac:dyDescent="0.25">
      <c r="A19" s="3" t="s">
        <v>376</v>
      </c>
      <c r="B19" s="4">
        <f>46+55/60</f>
        <v>46.916666666666664</v>
      </c>
    </row>
    <row r="20" spans="1:2" x14ac:dyDescent="0.25">
      <c r="A20" s="3" t="s">
        <v>187</v>
      </c>
      <c r="B20" s="4">
        <f>66+20/60</f>
        <v>66.333333333333329</v>
      </c>
    </row>
    <row r="21" spans="1:2" x14ac:dyDescent="0.25">
      <c r="A21" s="3" t="s">
        <v>183</v>
      </c>
      <c r="B21" s="4">
        <f>51+4/60</f>
        <v>51.06666666666667</v>
      </c>
    </row>
    <row r="22" spans="1:2" x14ac:dyDescent="0.25">
      <c r="A22" s="3" t="s">
        <v>377</v>
      </c>
      <c r="B22" s="4">
        <f>44+27/60</f>
        <v>44.45</v>
      </c>
    </row>
    <row r="23" spans="1:2" x14ac:dyDescent="0.25">
      <c r="A23" s="3" t="s">
        <v>184</v>
      </c>
      <c r="B23" s="4">
        <f>52+8/60</f>
        <v>52.133333333333333</v>
      </c>
    </row>
    <row r="24" spans="1:2" x14ac:dyDescent="0.25">
      <c r="A24" s="3" t="s">
        <v>185</v>
      </c>
      <c r="B24" s="4">
        <f>54+8/60</f>
        <v>54.133333333333333</v>
      </c>
    </row>
    <row r="25" spans="1:2" x14ac:dyDescent="0.25">
      <c r="A25" s="3" t="s">
        <v>13</v>
      </c>
      <c r="B25" s="4">
        <f>49+45/60</f>
        <v>49.75</v>
      </c>
    </row>
    <row r="26" spans="1:2" x14ac:dyDescent="0.25">
      <c r="A26" s="3" t="s">
        <v>188</v>
      </c>
      <c r="B26" s="4">
        <f>63+25/60</f>
        <v>63.416666666666664</v>
      </c>
    </row>
    <row r="27" spans="1:2" x14ac:dyDescent="0.25">
      <c r="A27" s="3" t="s">
        <v>14</v>
      </c>
      <c r="B27" s="4">
        <f>45+53/60</f>
        <v>45.883333333333333</v>
      </c>
    </row>
    <row r="28" spans="1:2" x14ac:dyDescent="0.25">
      <c r="A28" s="3" t="s">
        <v>189</v>
      </c>
      <c r="B28" s="4">
        <f>50+11/60</f>
        <v>50.18333333333333</v>
      </c>
    </row>
    <row r="29" spans="1:2" x14ac:dyDescent="0.25">
      <c r="A29" s="3" t="s">
        <v>15</v>
      </c>
      <c r="B29" s="4">
        <f>55+2/60</f>
        <v>55.033333333333331</v>
      </c>
    </row>
    <row r="30" spans="1:2" x14ac:dyDescent="0.25">
      <c r="A30" s="3" t="s">
        <v>378</v>
      </c>
      <c r="B30" s="4">
        <f>42+55/60</f>
        <v>42.916666666666664</v>
      </c>
    </row>
    <row r="31" spans="1:2" x14ac:dyDescent="0.25">
      <c r="A31" s="3" t="s">
        <v>379</v>
      </c>
      <c r="B31" s="4">
        <f>46+37/60</f>
        <v>46.616666666666667</v>
      </c>
    </row>
    <row r="32" spans="1:2" x14ac:dyDescent="0.25">
      <c r="A32" s="3" t="s">
        <v>16</v>
      </c>
      <c r="B32" s="4">
        <f>47+0.5</f>
        <v>47.5</v>
      </c>
    </row>
    <row r="33" spans="1:2" x14ac:dyDescent="0.25">
      <c r="A33" s="3" t="s">
        <v>17</v>
      </c>
      <c r="B33" s="4">
        <f>43+24/60</f>
        <v>43.4</v>
      </c>
    </row>
    <row r="34" spans="1:2" x14ac:dyDescent="0.25">
      <c r="A34" s="3" t="s">
        <v>190</v>
      </c>
      <c r="B34" s="4">
        <f>38+31/60</f>
        <v>38.516666666666666</v>
      </c>
    </row>
    <row r="35" spans="1:2" x14ac:dyDescent="0.25">
      <c r="A35" s="3" t="s">
        <v>191</v>
      </c>
      <c r="B35" s="4">
        <f>68+28/60</f>
        <v>68.466666666666669</v>
      </c>
    </row>
    <row r="36" spans="1:2" x14ac:dyDescent="0.25">
      <c r="A36" s="3" t="s">
        <v>18</v>
      </c>
      <c r="B36" s="4">
        <f>38+54/60</f>
        <v>38.9</v>
      </c>
    </row>
    <row r="37" spans="1:2" x14ac:dyDescent="0.25">
      <c r="A37" s="3" t="s">
        <v>19</v>
      </c>
      <c r="B37" s="4">
        <f>43+10/60</f>
        <v>43.166666666666664</v>
      </c>
    </row>
    <row r="38" spans="1:2" x14ac:dyDescent="0.25">
      <c r="A38" s="3" t="s">
        <v>192</v>
      </c>
      <c r="B38" s="4">
        <f>57+58/60</f>
        <v>57.966666666666669</v>
      </c>
    </row>
    <row r="39" spans="1:2" x14ac:dyDescent="0.25">
      <c r="A39" s="3" t="s">
        <v>20</v>
      </c>
      <c r="B39" s="4">
        <f>33+51/60</f>
        <v>33.85</v>
      </c>
    </row>
    <row r="40" spans="1:2" x14ac:dyDescent="0.25">
      <c r="A40" s="3" t="s">
        <v>193</v>
      </c>
      <c r="B40" s="4">
        <f>43+39/60</f>
        <v>43.65</v>
      </c>
    </row>
    <row r="41" spans="1:2" x14ac:dyDescent="0.25">
      <c r="A41" s="3" t="s">
        <v>21</v>
      </c>
      <c r="B41" s="4">
        <f>46+45/60</f>
        <v>46.75</v>
      </c>
    </row>
    <row r="42" spans="1:2" x14ac:dyDescent="0.25">
      <c r="A42" s="3" t="s">
        <v>22</v>
      </c>
      <c r="B42" s="4">
        <f>36+8/60</f>
        <v>36.133333333333333</v>
      </c>
    </row>
    <row r="43" spans="1:2" x14ac:dyDescent="0.25">
      <c r="A43" s="3" t="s">
        <v>194</v>
      </c>
      <c r="B43" s="4">
        <f>43+32/60</f>
        <v>43.533333333333331</v>
      </c>
    </row>
    <row r="44" spans="1:2" x14ac:dyDescent="0.25">
      <c r="A44" s="3" t="s">
        <v>195</v>
      </c>
      <c r="B44" s="4">
        <f>64+36/60</f>
        <v>64.599999999999994</v>
      </c>
    </row>
    <row r="45" spans="1:2" x14ac:dyDescent="0.25">
      <c r="A45" s="3" t="s">
        <v>196</v>
      </c>
      <c r="B45" s="4">
        <f>46+8/60</f>
        <v>46.133333333333333</v>
      </c>
    </row>
    <row r="46" spans="1:2" x14ac:dyDescent="0.25">
      <c r="A46" s="3" t="s">
        <v>197</v>
      </c>
      <c r="B46" s="4">
        <f>44+41/60</f>
        <v>44.68333333333333</v>
      </c>
    </row>
    <row r="47" spans="1:2" x14ac:dyDescent="0.25">
      <c r="A47" s="3" t="s">
        <v>198</v>
      </c>
      <c r="B47" s="4">
        <f>68+13/60</f>
        <v>68.216666666666669</v>
      </c>
    </row>
    <row r="48" spans="1:2" x14ac:dyDescent="0.25">
      <c r="A48" s="3" t="s">
        <v>199</v>
      </c>
      <c r="B48" s="4">
        <f>58+55/60</f>
        <v>58.916666666666664</v>
      </c>
    </row>
    <row r="49" spans="1:2" x14ac:dyDescent="0.25">
      <c r="A49" s="3" t="s">
        <v>200</v>
      </c>
      <c r="B49" s="4">
        <f>44+18/60</f>
        <v>44.3</v>
      </c>
    </row>
    <row r="50" spans="1:2" x14ac:dyDescent="0.25">
      <c r="A50" s="3" t="s">
        <v>201</v>
      </c>
      <c r="B50" s="4">
        <f>48+4/6</f>
        <v>48.666666666666664</v>
      </c>
    </row>
    <row r="51" spans="1:2" x14ac:dyDescent="0.25">
      <c r="A51" s="3" t="s">
        <v>23</v>
      </c>
      <c r="B51" s="4">
        <f>45+28/60</f>
        <v>45.466666666666669</v>
      </c>
    </row>
    <row r="52" spans="1:2" x14ac:dyDescent="0.25">
      <c r="A52" s="3" t="s">
        <v>202</v>
      </c>
      <c r="B52" s="4">
        <f>46+4/6</f>
        <v>46.666666666666664</v>
      </c>
    </row>
    <row r="53" spans="1:2" x14ac:dyDescent="0.25">
      <c r="A53" s="3" t="s">
        <v>203</v>
      </c>
      <c r="B53" s="4">
        <v>45</v>
      </c>
    </row>
    <row r="54" spans="1:2" x14ac:dyDescent="0.25">
      <c r="A54" s="3" t="s">
        <v>204</v>
      </c>
      <c r="B54" s="4">
        <f>58+6/60</f>
        <v>58.1</v>
      </c>
    </row>
    <row r="55" spans="1:2" x14ac:dyDescent="0.25">
      <c r="A55" s="3" t="s">
        <v>205</v>
      </c>
      <c r="B55" s="4">
        <f>60+7/60</f>
        <v>60.116666666666667</v>
      </c>
    </row>
    <row r="56" spans="1:2" x14ac:dyDescent="0.25">
      <c r="A56" s="3" t="s">
        <v>24</v>
      </c>
      <c r="B56" s="4">
        <f>46+41/60</f>
        <v>46.68333333333333</v>
      </c>
    </row>
    <row r="57" spans="1:2" x14ac:dyDescent="0.25">
      <c r="A57" s="3" t="s">
        <v>206</v>
      </c>
      <c r="B57" s="4">
        <f>37+43/60</f>
        <v>37.716666666666669</v>
      </c>
    </row>
    <row r="58" spans="1:2" x14ac:dyDescent="0.25">
      <c r="A58" s="3" t="s">
        <v>25</v>
      </c>
      <c r="B58" s="4">
        <f>35+29/60</f>
        <v>35.483333333333334</v>
      </c>
    </row>
    <row r="59" spans="1:2" x14ac:dyDescent="0.25">
      <c r="A59" s="3" t="s">
        <v>26</v>
      </c>
      <c r="B59" s="4">
        <f>40+16/40</f>
        <v>40.4</v>
      </c>
    </row>
    <row r="60" spans="1:2" x14ac:dyDescent="0.25">
      <c r="A60" s="3" t="s">
        <v>27</v>
      </c>
      <c r="B60" s="4">
        <f>37+14/60</f>
        <v>37.233333333333334</v>
      </c>
    </row>
    <row r="61" spans="1:2" x14ac:dyDescent="0.25">
      <c r="A61" s="3" t="s">
        <v>28</v>
      </c>
      <c r="B61" s="4">
        <f>54+5/60</f>
        <v>54.083333333333336</v>
      </c>
    </row>
    <row r="62" spans="1:2" x14ac:dyDescent="0.25">
      <c r="A62" s="3" t="s">
        <v>29</v>
      </c>
      <c r="B62" s="4">
        <f>52+48/60</f>
        <v>52.8</v>
      </c>
    </row>
    <row r="63" spans="1:2" x14ac:dyDescent="0.25">
      <c r="A63" s="3" t="s">
        <v>207</v>
      </c>
      <c r="B63" s="4">
        <f>56+17/60</f>
        <v>56.283333333333331</v>
      </c>
    </row>
    <row r="64" spans="1:2" x14ac:dyDescent="0.25">
      <c r="A64" s="3" t="s">
        <v>30</v>
      </c>
      <c r="B64" s="4">
        <f>49+19/60</f>
        <v>49.31666666666667</v>
      </c>
    </row>
    <row r="65" spans="1:2" x14ac:dyDescent="0.25">
      <c r="A65" s="3" t="s">
        <v>31</v>
      </c>
      <c r="B65" s="4">
        <f>51+12/60</f>
        <v>51.2</v>
      </c>
    </row>
    <row r="66" spans="1:2" x14ac:dyDescent="0.25">
      <c r="A66" s="3" t="s">
        <v>32</v>
      </c>
      <c r="B66" s="4">
        <f>34+39/60</f>
        <v>34.65</v>
      </c>
    </row>
    <row r="67" spans="1:2" x14ac:dyDescent="0.25">
      <c r="A67" s="3" t="s">
        <v>208</v>
      </c>
      <c r="B67" s="4">
        <f>67+34/60</f>
        <v>67.566666666666663</v>
      </c>
    </row>
    <row r="68" spans="1:2" x14ac:dyDescent="0.25">
      <c r="A68" s="3" t="s">
        <v>209</v>
      </c>
      <c r="B68" s="4">
        <f>44+5/60</f>
        <v>44.083333333333336</v>
      </c>
    </row>
    <row r="69" spans="1:2" x14ac:dyDescent="0.25">
      <c r="A69" s="3" t="s">
        <v>210</v>
      </c>
      <c r="B69" s="4">
        <f>52+14/60</f>
        <v>52.233333333333334</v>
      </c>
    </row>
    <row r="70" spans="1:2" x14ac:dyDescent="0.25">
      <c r="A70" s="3" t="s">
        <v>211</v>
      </c>
      <c r="B70" s="4">
        <f>51+16/60</f>
        <v>51.266666666666666</v>
      </c>
    </row>
    <row r="71" spans="1:2" x14ac:dyDescent="0.25">
      <c r="A71" s="3" t="s">
        <v>212</v>
      </c>
      <c r="B71" s="4">
        <f>47+17/60</f>
        <v>47.283333333333331</v>
      </c>
    </row>
    <row r="72" spans="1:2" x14ac:dyDescent="0.25">
      <c r="A72" s="3" t="s">
        <v>213</v>
      </c>
      <c r="B72" s="4">
        <f>51+59/60</f>
        <v>51.983333333333334</v>
      </c>
    </row>
    <row r="73" spans="1:2" x14ac:dyDescent="0.25">
      <c r="A73" s="3" t="s">
        <v>214</v>
      </c>
      <c r="B73" s="4">
        <f>45+43/60</f>
        <v>45.716666666666669</v>
      </c>
    </row>
    <row r="74" spans="1:2" x14ac:dyDescent="0.25">
      <c r="A74" s="3" t="s">
        <v>215</v>
      </c>
      <c r="B74" s="4">
        <f>39+48/60</f>
        <v>39.799999999999997</v>
      </c>
    </row>
    <row r="75" spans="1:2" x14ac:dyDescent="0.25">
      <c r="A75" s="3" t="s">
        <v>33</v>
      </c>
      <c r="B75" s="4">
        <f>47+37/60</f>
        <v>47.616666666666667</v>
      </c>
    </row>
    <row r="76" spans="1:2" x14ac:dyDescent="0.25">
      <c r="A76" s="3" t="s">
        <v>34</v>
      </c>
      <c r="B76" s="4">
        <f>38+46/60</f>
        <v>38.766666666666666</v>
      </c>
    </row>
    <row r="77" spans="1:2" x14ac:dyDescent="0.25">
      <c r="A77" s="3" t="s">
        <v>35</v>
      </c>
      <c r="B77" s="4">
        <f>52+23/60</f>
        <v>52.383333333333333</v>
      </c>
    </row>
    <row r="78" spans="1:2" x14ac:dyDescent="0.25">
      <c r="A78" s="3" t="s">
        <v>36</v>
      </c>
      <c r="B78" s="4">
        <f>46+31/60</f>
        <v>46.516666666666666</v>
      </c>
    </row>
    <row r="79" spans="1:2" x14ac:dyDescent="0.25">
      <c r="A79" s="3" t="s">
        <v>216</v>
      </c>
      <c r="B79" s="4">
        <f>40+27/60</f>
        <v>40.450000000000003</v>
      </c>
    </row>
    <row r="80" spans="1:2" x14ac:dyDescent="0.25">
      <c r="A80" s="3" t="s">
        <v>37</v>
      </c>
      <c r="B80" s="4">
        <f>49+44/60</f>
        <v>49.733333333333334</v>
      </c>
    </row>
    <row r="81" spans="1:2" x14ac:dyDescent="0.25">
      <c r="A81" s="3" t="s">
        <v>38</v>
      </c>
      <c r="B81" s="4">
        <f>44+45/60</f>
        <v>44.75</v>
      </c>
    </row>
    <row r="82" spans="1:2" x14ac:dyDescent="0.25">
      <c r="A82" s="3" t="s">
        <v>217</v>
      </c>
      <c r="B82" s="4">
        <f>37+24/60</f>
        <v>37.4</v>
      </c>
    </row>
    <row r="83" spans="1:2" x14ac:dyDescent="0.25">
      <c r="A83" s="3" t="s">
        <v>39</v>
      </c>
      <c r="B83" s="4">
        <f>52+58/60</f>
        <v>52.966666666666669</v>
      </c>
    </row>
    <row r="84" spans="1:2" x14ac:dyDescent="0.25">
      <c r="A84" s="3" t="s">
        <v>218</v>
      </c>
      <c r="B84" s="4">
        <f>59+8/60</f>
        <v>59.133333333333333</v>
      </c>
    </row>
    <row r="85" spans="1:2" x14ac:dyDescent="0.25">
      <c r="A85" s="3" t="s">
        <v>219</v>
      </c>
      <c r="B85" s="4">
        <f>47+31/60</f>
        <v>47.516666666666666</v>
      </c>
    </row>
    <row r="86" spans="1:2" x14ac:dyDescent="0.25">
      <c r="A86" s="3" t="s">
        <v>220</v>
      </c>
      <c r="B86" s="4">
        <f>43+36/60</f>
        <v>43.6</v>
      </c>
    </row>
    <row r="87" spans="1:2" x14ac:dyDescent="0.25">
      <c r="A87" s="3" t="s">
        <v>40</v>
      </c>
      <c r="B87" s="4">
        <f>49+21/60</f>
        <v>49.35</v>
      </c>
    </row>
    <row r="88" spans="1:2" x14ac:dyDescent="0.25">
      <c r="A88" s="3" t="s">
        <v>41</v>
      </c>
      <c r="B88" s="4">
        <f>41+21/60</f>
        <v>41.35</v>
      </c>
    </row>
    <row r="89" spans="1:2" x14ac:dyDescent="0.25">
      <c r="A89" s="3" t="s">
        <v>221</v>
      </c>
      <c r="B89" s="4">
        <f>45+24/60</f>
        <v>45.4</v>
      </c>
    </row>
    <row r="90" spans="1:2" x14ac:dyDescent="0.25">
      <c r="A90" s="3" t="s">
        <v>42</v>
      </c>
      <c r="B90" s="4">
        <f>52+9/60</f>
        <v>52.15</v>
      </c>
    </row>
    <row r="91" spans="1:2" x14ac:dyDescent="0.25">
      <c r="A91" s="3" t="s">
        <v>43</v>
      </c>
      <c r="B91" s="4">
        <f>39</f>
        <v>39</v>
      </c>
    </row>
    <row r="92" spans="1:2" x14ac:dyDescent="0.25">
      <c r="A92" s="3" t="s">
        <v>222</v>
      </c>
      <c r="B92" s="4">
        <f>54+13/60</f>
        <v>54.216666666666669</v>
      </c>
    </row>
    <row r="93" spans="1:2" x14ac:dyDescent="0.25">
      <c r="A93" s="3" t="s">
        <v>223</v>
      </c>
      <c r="B93" s="4">
        <f>56+20/60</f>
        <v>56.333333333333336</v>
      </c>
    </row>
    <row r="94" spans="1:2" x14ac:dyDescent="0.25">
      <c r="A94" s="3" t="s">
        <v>224</v>
      </c>
      <c r="B94" s="4">
        <f>41+40/60</f>
        <v>41.666666666666664</v>
      </c>
    </row>
    <row r="95" spans="1:2" x14ac:dyDescent="0.25">
      <c r="A95" s="3" t="s">
        <v>225</v>
      </c>
      <c r="B95" s="4">
        <f>55+39/60</f>
        <v>55.65</v>
      </c>
    </row>
    <row r="96" spans="1:2" x14ac:dyDescent="0.25">
      <c r="A96" s="3" t="s">
        <v>44</v>
      </c>
      <c r="B96" s="4">
        <f>47+18/60</f>
        <v>47.3</v>
      </c>
    </row>
    <row r="97" spans="1:2" x14ac:dyDescent="0.25">
      <c r="A97" s="3" t="s">
        <v>45</v>
      </c>
      <c r="B97" s="4">
        <f>48+24/60</f>
        <v>48.4</v>
      </c>
    </row>
    <row r="98" spans="1:2" x14ac:dyDescent="0.25">
      <c r="A98" s="3" t="s">
        <v>46</v>
      </c>
      <c r="B98" s="4">
        <f>32+44/60</f>
        <v>32.733333333333334</v>
      </c>
    </row>
    <row r="99" spans="1:2" x14ac:dyDescent="0.25">
      <c r="A99" s="3" t="s">
        <v>226</v>
      </c>
      <c r="B99" s="4">
        <f>42+15/60</f>
        <v>42.25</v>
      </c>
    </row>
    <row r="100" spans="1:2" x14ac:dyDescent="0.25">
      <c r="A100" s="3" t="s">
        <v>227</v>
      </c>
      <c r="B100" s="4">
        <f>48+26/60</f>
        <v>48.43333333333333</v>
      </c>
    </row>
    <row r="101" spans="1:2" x14ac:dyDescent="0.25">
      <c r="A101" s="3" t="s">
        <v>47</v>
      </c>
      <c r="B101" s="4">
        <f>39+27/60</f>
        <v>39.450000000000003</v>
      </c>
    </row>
    <row r="102" spans="1:2" x14ac:dyDescent="0.25">
      <c r="A102" s="3" t="s">
        <v>228</v>
      </c>
      <c r="B102" s="4">
        <f>69+22/60</f>
        <v>69.36666666666666</v>
      </c>
    </row>
    <row r="103" spans="1:2" x14ac:dyDescent="0.25">
      <c r="A103" s="3" t="s">
        <v>229</v>
      </c>
      <c r="B103" s="4">
        <f>43+16/60</f>
        <v>43.266666666666666</v>
      </c>
    </row>
    <row r="104" spans="1:2" x14ac:dyDescent="0.25">
      <c r="A104" s="3" t="s">
        <v>230</v>
      </c>
      <c r="B104" s="4">
        <f>49+56/60</f>
        <v>49.93333333333333</v>
      </c>
    </row>
    <row r="105" spans="1:2" x14ac:dyDescent="0.25">
      <c r="A105" s="3" t="s">
        <v>49</v>
      </c>
      <c r="B105" s="4">
        <f>39+7/60</f>
        <v>39.116666666666667</v>
      </c>
    </row>
    <row r="106" spans="1:2" x14ac:dyDescent="0.25">
      <c r="A106" s="3" t="s">
        <v>50</v>
      </c>
      <c r="B106" s="4">
        <f>41+27/60</f>
        <v>41.45</v>
      </c>
    </row>
    <row r="107" spans="1:2" x14ac:dyDescent="0.25">
      <c r="A107" s="3" t="s">
        <v>48</v>
      </c>
      <c r="B107" s="4">
        <f>48+49/60</f>
        <v>48.81666666666667</v>
      </c>
    </row>
    <row r="108" spans="1:2" x14ac:dyDescent="0.25">
      <c r="A108" s="3" t="s">
        <v>51</v>
      </c>
      <c r="B108" s="4">
        <f>39+47/60</f>
        <v>39.783333333333331</v>
      </c>
    </row>
    <row r="109" spans="1:2" x14ac:dyDescent="0.25">
      <c r="A109" s="3" t="s">
        <v>231</v>
      </c>
      <c r="B109" s="4">
        <f>57+34/60</f>
        <v>57.56666666666667</v>
      </c>
    </row>
    <row r="110" spans="1:2" x14ac:dyDescent="0.25">
      <c r="A110" s="3" t="s">
        <v>52</v>
      </c>
      <c r="B110" s="4">
        <f>41+34/60</f>
        <v>41.56666666666667</v>
      </c>
    </row>
    <row r="111" spans="1:2" x14ac:dyDescent="0.25">
      <c r="A111" s="3" t="s">
        <v>232</v>
      </c>
      <c r="B111" s="4">
        <f>44+44/60</f>
        <v>44.733333333333334</v>
      </c>
    </row>
    <row r="112" spans="1:2" x14ac:dyDescent="0.25">
      <c r="A112" s="3" t="s">
        <v>233</v>
      </c>
      <c r="B112" s="4">
        <f>36+42/60</f>
        <v>36.700000000000003</v>
      </c>
    </row>
    <row r="113" spans="1:2" x14ac:dyDescent="0.25">
      <c r="A113" s="3" t="s">
        <v>234</v>
      </c>
      <c r="B113" s="4">
        <f>34+21/60</f>
        <v>34.35</v>
      </c>
    </row>
    <row r="114" spans="1:2" x14ac:dyDescent="0.25">
      <c r="A114" s="3" t="s">
        <v>235</v>
      </c>
      <c r="B114" s="4">
        <f>50+48/60</f>
        <v>50.8</v>
      </c>
    </row>
    <row r="115" spans="1:2" x14ac:dyDescent="0.25">
      <c r="A115" s="3" t="s">
        <v>53</v>
      </c>
      <c r="B115" s="4">
        <v>48</v>
      </c>
    </row>
    <row r="116" spans="1:2" x14ac:dyDescent="0.25">
      <c r="A116" s="3" t="s">
        <v>236</v>
      </c>
      <c r="B116" s="4">
        <f>43+28/60</f>
        <v>43.466666666666669</v>
      </c>
    </row>
    <row r="117" spans="1:2" x14ac:dyDescent="0.25">
      <c r="A117" s="3" t="s">
        <v>237</v>
      </c>
      <c r="B117" s="4">
        <f>40+17/60</f>
        <v>40.283333333333331</v>
      </c>
    </row>
    <row r="118" spans="1:2" x14ac:dyDescent="0.25">
      <c r="A118" s="3" t="s">
        <v>54</v>
      </c>
      <c r="B118" s="4">
        <f>55+8/60</f>
        <v>55.133333333333333</v>
      </c>
    </row>
    <row r="119" spans="1:2" x14ac:dyDescent="0.25">
      <c r="A119" s="3" t="s">
        <v>55</v>
      </c>
      <c r="B119" s="4">
        <f>50+59/60</f>
        <v>50.983333333333334</v>
      </c>
    </row>
    <row r="120" spans="1:2" x14ac:dyDescent="0.25">
      <c r="A120" s="3" t="s">
        <v>238</v>
      </c>
      <c r="B120" s="4">
        <f>51+18/60</f>
        <v>51.3</v>
      </c>
    </row>
    <row r="121" spans="1:2" x14ac:dyDescent="0.25">
      <c r="A121" s="3" t="s">
        <v>239</v>
      </c>
      <c r="B121" s="4">
        <f>39+40/60</f>
        <v>39.666666666666664</v>
      </c>
    </row>
    <row r="122" spans="1:2" x14ac:dyDescent="0.25">
      <c r="A122" s="3" t="s">
        <v>56</v>
      </c>
      <c r="B122" s="4">
        <f>44+35/60</f>
        <v>44.583333333333336</v>
      </c>
    </row>
    <row r="123" spans="1:2" x14ac:dyDescent="0.25">
      <c r="A123" s="3" t="s">
        <v>240</v>
      </c>
      <c r="B123" s="4">
        <f>58+28/60</f>
        <v>58.466666666666669</v>
      </c>
    </row>
    <row r="124" spans="1:2" x14ac:dyDescent="0.25">
      <c r="A124" s="3" t="s">
        <v>57</v>
      </c>
      <c r="B124" s="4">
        <f>48+11/60</f>
        <v>48.18333333333333</v>
      </c>
    </row>
    <row r="125" spans="1:2" x14ac:dyDescent="0.25">
      <c r="A125" s="3" t="s">
        <v>241</v>
      </c>
      <c r="B125" s="4">
        <f>47+8/60</f>
        <v>47.133333333333333</v>
      </c>
    </row>
    <row r="126" spans="1:2" x14ac:dyDescent="0.25">
      <c r="A126" s="3" t="s">
        <v>58</v>
      </c>
      <c r="B126" s="4">
        <f>44+40/60</f>
        <v>44.666666666666664</v>
      </c>
    </row>
    <row r="127" spans="1:2" x14ac:dyDescent="0.25">
      <c r="A127" s="3" t="s">
        <v>59</v>
      </c>
      <c r="B127" s="4">
        <f>57+19/60</f>
        <v>57.31666666666667</v>
      </c>
    </row>
    <row r="128" spans="1:2" x14ac:dyDescent="0.25">
      <c r="A128" s="3" t="s">
        <v>60</v>
      </c>
      <c r="B128" s="4">
        <f>47+16/60</f>
        <v>47.266666666666666</v>
      </c>
    </row>
    <row r="129" spans="1:2" x14ac:dyDescent="0.25">
      <c r="A129" s="3" t="s">
        <v>242</v>
      </c>
      <c r="B129" s="4">
        <f>52+53/60</f>
        <v>52.883333333333333</v>
      </c>
    </row>
    <row r="130" spans="1:2" x14ac:dyDescent="0.25">
      <c r="A130" s="3" t="s">
        <v>61</v>
      </c>
      <c r="B130" s="4">
        <f>46+21/60</f>
        <v>46.35</v>
      </c>
    </row>
    <row r="131" spans="1:2" x14ac:dyDescent="0.25">
      <c r="A131" s="3" t="s">
        <v>243</v>
      </c>
      <c r="B131" s="4">
        <f>56+1/6</f>
        <v>56.166666666666664</v>
      </c>
    </row>
    <row r="132" spans="1:2" x14ac:dyDescent="0.25">
      <c r="A132" s="3" t="s">
        <v>62</v>
      </c>
      <c r="B132" s="4">
        <f>57+5/6</f>
        <v>57.833333333333336</v>
      </c>
    </row>
    <row r="133" spans="1:2" x14ac:dyDescent="0.25">
      <c r="A133" s="3" t="s">
        <v>63</v>
      </c>
      <c r="B133" s="4">
        <f>48+16/60</f>
        <v>48.266666666666666</v>
      </c>
    </row>
    <row r="134" spans="1:2" x14ac:dyDescent="0.25">
      <c r="A134" s="3" t="s">
        <v>64</v>
      </c>
      <c r="B134" s="4">
        <f>46+23/60</f>
        <v>46.383333333333333</v>
      </c>
    </row>
    <row r="135" spans="1:2" x14ac:dyDescent="0.25">
      <c r="A135" s="3" t="s">
        <v>65</v>
      </c>
      <c r="B135" s="4">
        <f>31+51/60</f>
        <v>31.85</v>
      </c>
    </row>
    <row r="136" spans="1:2" x14ac:dyDescent="0.25">
      <c r="A136" s="3" t="s">
        <v>66</v>
      </c>
      <c r="B136" s="4">
        <f>38+27/60</f>
        <v>38.450000000000003</v>
      </c>
    </row>
    <row r="137" spans="1:2" x14ac:dyDescent="0.25">
      <c r="A137" s="3" t="s">
        <v>244</v>
      </c>
      <c r="B137" s="4">
        <f>47+26/60</f>
        <v>47.43333333333333</v>
      </c>
    </row>
    <row r="138" spans="1:2" x14ac:dyDescent="0.25">
      <c r="A138" s="3" t="s">
        <v>67</v>
      </c>
      <c r="B138" s="4">
        <f>33+44/60</f>
        <v>33.733333333333334</v>
      </c>
    </row>
    <row r="139" spans="1:2" x14ac:dyDescent="0.25">
      <c r="A139" s="3" t="s">
        <v>68</v>
      </c>
      <c r="B139" s="4">
        <f>49+59/60</f>
        <v>49.983333333333334</v>
      </c>
    </row>
    <row r="140" spans="1:2" x14ac:dyDescent="0.25">
      <c r="A140" s="3" t="s">
        <v>69</v>
      </c>
      <c r="B140" s="4">
        <f>39+56/60</f>
        <v>39.93333333333333</v>
      </c>
    </row>
    <row r="141" spans="1:2" x14ac:dyDescent="0.25">
      <c r="A141" s="3" t="s">
        <v>245</v>
      </c>
      <c r="B141" s="4">
        <f>48+13/60</f>
        <v>48.216666666666669</v>
      </c>
    </row>
    <row r="142" spans="1:2" x14ac:dyDescent="0.25">
      <c r="A142" s="3" t="s">
        <v>70</v>
      </c>
      <c r="B142" s="4">
        <f>46+14/60</f>
        <v>46.233333333333334</v>
      </c>
    </row>
    <row r="143" spans="1:2" x14ac:dyDescent="0.25">
      <c r="A143" s="3" t="s">
        <v>246</v>
      </c>
      <c r="B143" s="4">
        <f>48+1/60</f>
        <v>48.016666666666666</v>
      </c>
    </row>
    <row r="144" spans="1:2" x14ac:dyDescent="0.25">
      <c r="A144" s="3" t="s">
        <v>247</v>
      </c>
      <c r="B144" s="4">
        <f>51+47/60</f>
        <v>51.783333333333331</v>
      </c>
    </row>
    <row r="145" spans="1:2" x14ac:dyDescent="0.25">
      <c r="A145" s="3" t="s">
        <v>248</v>
      </c>
      <c r="B145" s="4">
        <f>58+2/60</f>
        <v>58.033333333333331</v>
      </c>
    </row>
    <row r="146" spans="1:2" x14ac:dyDescent="0.25">
      <c r="A146" s="3" t="s">
        <v>249</v>
      </c>
      <c r="B146" s="4">
        <f>44+30/60</f>
        <v>44.5</v>
      </c>
    </row>
    <row r="147" spans="1:2" x14ac:dyDescent="0.25">
      <c r="A147" s="3" t="s">
        <v>250</v>
      </c>
      <c r="B147" s="4">
        <f>47</f>
        <v>47</v>
      </c>
    </row>
    <row r="148" spans="1:2" x14ac:dyDescent="0.25">
      <c r="A148" s="3" t="s">
        <v>251</v>
      </c>
      <c r="B148" s="4">
        <f>41+51/60</f>
        <v>41.85</v>
      </c>
    </row>
    <row r="149" spans="1:2" x14ac:dyDescent="0.25">
      <c r="A149" s="3" t="s">
        <v>252</v>
      </c>
      <c r="B149" s="4">
        <f>48+44/60</f>
        <v>48.733333333333334</v>
      </c>
    </row>
    <row r="150" spans="1:2" x14ac:dyDescent="0.25">
      <c r="A150" s="3" t="s">
        <v>71</v>
      </c>
      <c r="B150" s="4">
        <f>51+34/60</f>
        <v>51.56666666666667</v>
      </c>
    </row>
    <row r="151" spans="1:2" x14ac:dyDescent="0.25">
      <c r="A151" s="3" t="s">
        <v>72</v>
      </c>
      <c r="B151" s="4">
        <f>45+48/60</f>
        <v>45.8</v>
      </c>
    </row>
    <row r="152" spans="1:2" x14ac:dyDescent="0.25">
      <c r="A152" s="3" t="s">
        <v>253</v>
      </c>
      <c r="B152" s="4">
        <f>48+41/60</f>
        <v>48.68333333333333</v>
      </c>
    </row>
    <row r="153" spans="1:2" x14ac:dyDescent="0.25">
      <c r="A153" s="3" t="s">
        <v>254</v>
      </c>
      <c r="B153" s="4">
        <f>41+20/60</f>
        <v>41.333333333333336</v>
      </c>
    </row>
    <row r="154" spans="1:2" x14ac:dyDescent="0.25">
      <c r="A154" s="3" t="s">
        <v>73</v>
      </c>
      <c r="B154" s="4">
        <f>58+23/60</f>
        <v>58.383333333333333</v>
      </c>
    </row>
    <row r="155" spans="1:2" x14ac:dyDescent="0.25">
      <c r="A155" s="3" t="s">
        <v>255</v>
      </c>
      <c r="B155" s="4">
        <f>45+4/60</f>
        <v>45.06666666666667</v>
      </c>
    </row>
    <row r="156" spans="1:2" x14ac:dyDescent="0.25">
      <c r="A156" s="3" t="s">
        <v>256</v>
      </c>
      <c r="B156" s="4">
        <f>55+54/60</f>
        <v>55.9</v>
      </c>
    </row>
    <row r="157" spans="1:2" x14ac:dyDescent="0.25">
      <c r="A157" s="3" t="s">
        <v>257</v>
      </c>
      <c r="B157" s="4">
        <f>61+48/60</f>
        <v>61.8</v>
      </c>
    </row>
    <row r="158" spans="1:2" x14ac:dyDescent="0.25">
      <c r="A158" s="3" t="s">
        <v>74</v>
      </c>
      <c r="B158" s="4">
        <f>50+27/60</f>
        <v>50.45</v>
      </c>
    </row>
    <row r="159" spans="1:2" x14ac:dyDescent="0.25">
      <c r="A159" s="3" t="s">
        <v>75</v>
      </c>
      <c r="B159" s="4">
        <f>47+6/60</f>
        <v>47.1</v>
      </c>
    </row>
    <row r="160" spans="1:2" x14ac:dyDescent="0.25">
      <c r="A160" s="3" t="s">
        <v>258</v>
      </c>
      <c r="B160" s="4">
        <f>42+59/60</f>
        <v>42.983333333333334</v>
      </c>
    </row>
    <row r="161" spans="1:2" x14ac:dyDescent="0.25">
      <c r="A161" s="3" t="s">
        <v>259</v>
      </c>
      <c r="B161" s="4">
        <f>51+17/60</f>
        <v>51.283333333333331</v>
      </c>
    </row>
    <row r="162" spans="1:2" x14ac:dyDescent="0.25">
      <c r="A162" s="3" t="s">
        <v>76</v>
      </c>
      <c r="B162" s="4">
        <f>38+33/60</f>
        <v>38.549999999999997</v>
      </c>
    </row>
    <row r="163" spans="1:2" x14ac:dyDescent="0.25">
      <c r="A163" s="3" t="s">
        <v>260</v>
      </c>
      <c r="B163" s="4">
        <f>37+6/60</f>
        <v>37.1</v>
      </c>
    </row>
    <row r="164" spans="1:2" x14ac:dyDescent="0.25">
      <c r="A164" s="3" t="s">
        <v>77</v>
      </c>
      <c r="B164" s="4">
        <f>49+30/60</f>
        <v>49.5</v>
      </c>
    </row>
    <row r="165" spans="1:2" x14ac:dyDescent="0.25">
      <c r="A165" s="3" t="s">
        <v>78</v>
      </c>
      <c r="B165" s="4">
        <f>51+33/60</f>
        <v>51.55</v>
      </c>
    </row>
    <row r="166" spans="1:2" x14ac:dyDescent="0.25">
      <c r="A166" s="3" t="s">
        <v>79</v>
      </c>
      <c r="B166" s="4">
        <f>43+8/60</f>
        <v>43.133333333333333</v>
      </c>
    </row>
    <row r="167" spans="1:2" x14ac:dyDescent="0.25">
      <c r="A167" s="3" t="s">
        <v>80</v>
      </c>
      <c r="B167" s="4">
        <f>57+22/60</f>
        <v>57.366666666666667</v>
      </c>
    </row>
    <row r="168" spans="1:2" x14ac:dyDescent="0.25">
      <c r="A168" s="3" t="s">
        <v>81</v>
      </c>
      <c r="B168" s="4">
        <f>45+26/60</f>
        <v>45.43333333333333</v>
      </c>
    </row>
    <row r="169" spans="1:2" x14ac:dyDescent="0.25">
      <c r="A169" s="3" t="s">
        <v>261</v>
      </c>
      <c r="B169" s="4">
        <f>43+24/60</f>
        <v>43.4</v>
      </c>
    </row>
    <row r="170" spans="1:2" x14ac:dyDescent="0.25">
      <c r="A170" s="3" t="s">
        <v>262</v>
      </c>
      <c r="B170" s="4">
        <f>44+1/60</f>
        <v>44.016666666666666</v>
      </c>
    </row>
    <row r="171" spans="1:2" x14ac:dyDescent="0.25">
      <c r="A171" s="3" t="s">
        <v>263</v>
      </c>
      <c r="B171" s="4">
        <f>46+45/60</f>
        <v>46.75</v>
      </c>
    </row>
    <row r="172" spans="1:2" x14ac:dyDescent="0.25">
      <c r="A172" s="3" t="s">
        <v>82</v>
      </c>
      <c r="B172" s="4">
        <v>47</v>
      </c>
    </row>
    <row r="173" spans="1:2" x14ac:dyDescent="0.25">
      <c r="A173" s="3" t="s">
        <v>83</v>
      </c>
      <c r="B173" s="4">
        <f>41+26/60</f>
        <v>41.43333333333333</v>
      </c>
    </row>
    <row r="174" spans="1:2" x14ac:dyDescent="0.25">
      <c r="A174" s="3" t="s">
        <v>84</v>
      </c>
      <c r="B174" s="4">
        <f>40+5/6</f>
        <v>40.833333333333336</v>
      </c>
    </row>
    <row r="175" spans="1:2" x14ac:dyDescent="0.25">
      <c r="A175" s="3" t="s">
        <v>264</v>
      </c>
      <c r="B175" s="4">
        <f>44+1/60</f>
        <v>44.016666666666666</v>
      </c>
    </row>
    <row r="176" spans="1:2" x14ac:dyDescent="0.25">
      <c r="A176" s="3" t="s">
        <v>265</v>
      </c>
      <c r="B176" s="4">
        <f>50+41/60</f>
        <v>50.68333333333333</v>
      </c>
    </row>
    <row r="177" spans="1:2" x14ac:dyDescent="0.25">
      <c r="A177" s="3" t="s">
        <v>85</v>
      </c>
      <c r="B177" s="4">
        <f>49+5/60</f>
        <v>49.083333333333336</v>
      </c>
    </row>
    <row r="178" spans="1:2" x14ac:dyDescent="0.25">
      <c r="A178" s="3" t="s">
        <v>266</v>
      </c>
      <c r="B178" s="4">
        <f>45+16/60</f>
        <v>45.266666666666666</v>
      </c>
    </row>
    <row r="179" spans="1:2" x14ac:dyDescent="0.25">
      <c r="A179" s="3" t="s">
        <v>267</v>
      </c>
      <c r="B179" s="4">
        <f>46+4/60</f>
        <v>46.06666666666667</v>
      </c>
    </row>
    <row r="180" spans="1:2" x14ac:dyDescent="0.25">
      <c r="A180" s="3" t="s">
        <v>268</v>
      </c>
      <c r="B180" s="4">
        <f>49+7/60</f>
        <v>49.116666666666667</v>
      </c>
    </row>
    <row r="181" spans="1:2" x14ac:dyDescent="0.25">
      <c r="A181" s="3" t="s">
        <v>269</v>
      </c>
      <c r="B181" s="4">
        <f>56+19/60</f>
        <v>56.31666666666667</v>
      </c>
    </row>
    <row r="182" spans="1:2" x14ac:dyDescent="0.25">
      <c r="A182" s="3" t="s">
        <v>86</v>
      </c>
      <c r="B182" s="4">
        <f>49+13/60</f>
        <v>49.216666666666669</v>
      </c>
    </row>
    <row r="183" spans="1:2" x14ac:dyDescent="0.25">
      <c r="A183" s="3" t="s">
        <v>87</v>
      </c>
      <c r="B183" s="4">
        <f>39+6/60</f>
        <v>39.1</v>
      </c>
    </row>
    <row r="184" spans="1:2" x14ac:dyDescent="0.25">
      <c r="A184" s="3" t="s">
        <v>88</v>
      </c>
      <c r="B184" s="4">
        <f>37+38/60</f>
        <v>37.633333333333333</v>
      </c>
    </row>
    <row r="185" spans="1:2" x14ac:dyDescent="0.25">
      <c r="A185" s="3" t="s">
        <v>89</v>
      </c>
      <c r="B185" s="4">
        <f>39+9/60</f>
        <v>39.15</v>
      </c>
    </row>
    <row r="186" spans="1:2" x14ac:dyDescent="0.25">
      <c r="A186" s="3" t="s">
        <v>90</v>
      </c>
      <c r="B186" s="4">
        <f>53+26/60</f>
        <v>53.43333333333333</v>
      </c>
    </row>
    <row r="187" spans="1:2" x14ac:dyDescent="0.25">
      <c r="A187" s="3" t="s">
        <v>91</v>
      </c>
      <c r="B187" s="4">
        <f>44+40/60</f>
        <v>44.666666666666664</v>
      </c>
    </row>
    <row r="188" spans="1:2" x14ac:dyDescent="0.25">
      <c r="A188" s="3" t="s">
        <v>270</v>
      </c>
      <c r="B188" s="4">
        <f>61+42/60</f>
        <v>61.7</v>
      </c>
    </row>
    <row r="189" spans="1:2" x14ac:dyDescent="0.25">
      <c r="A189" s="3" t="s">
        <v>271</v>
      </c>
      <c r="B189" s="4">
        <f>54+44/60</f>
        <v>54.733333333333334</v>
      </c>
    </row>
    <row r="190" spans="1:2" x14ac:dyDescent="0.25">
      <c r="A190" s="3" t="s">
        <v>92</v>
      </c>
      <c r="B190" s="4">
        <f>45+3/6</f>
        <v>45.5</v>
      </c>
    </row>
    <row r="191" spans="1:2" x14ac:dyDescent="0.25">
      <c r="A191" s="3" t="s">
        <v>93</v>
      </c>
      <c r="B191" s="4">
        <f>45+8/60</f>
        <v>45.133333333333333</v>
      </c>
    </row>
    <row r="192" spans="1:2" x14ac:dyDescent="0.25">
      <c r="A192" s="3" t="s">
        <v>94</v>
      </c>
      <c r="B192" s="4">
        <f>46+25/60</f>
        <v>46.416666666666664</v>
      </c>
    </row>
    <row r="193" spans="1:2" x14ac:dyDescent="0.25">
      <c r="A193" s="3" t="s">
        <v>95</v>
      </c>
      <c r="B193" s="4">
        <f>45+15/60</f>
        <v>45.25</v>
      </c>
    </row>
    <row r="194" spans="1:2" x14ac:dyDescent="0.25">
      <c r="A194" s="3" t="s">
        <v>272</v>
      </c>
      <c r="B194" s="4">
        <f>52+15/60</f>
        <v>52.25</v>
      </c>
    </row>
    <row r="195" spans="1:2" x14ac:dyDescent="0.25">
      <c r="A195" s="3" t="s">
        <v>96</v>
      </c>
      <c r="B195" s="4">
        <f>41+11/60</f>
        <v>41.18333333333333</v>
      </c>
    </row>
    <row r="196" spans="1:2" x14ac:dyDescent="0.25">
      <c r="A196" s="3" t="s">
        <v>97</v>
      </c>
      <c r="B196" s="4">
        <f>36+25/60</f>
        <v>36.416666666666664</v>
      </c>
    </row>
    <row r="197" spans="1:2" x14ac:dyDescent="0.25">
      <c r="A197" s="3" t="s">
        <v>273</v>
      </c>
      <c r="B197" s="4">
        <f>45+57/60</f>
        <v>45.95</v>
      </c>
    </row>
    <row r="198" spans="1:2" x14ac:dyDescent="0.25">
      <c r="A198" s="3" t="s">
        <v>274</v>
      </c>
      <c r="B198" s="4">
        <f>34+27/60</f>
        <v>34.450000000000003</v>
      </c>
    </row>
    <row r="199" spans="1:2" x14ac:dyDescent="0.25">
      <c r="A199" s="3" t="s">
        <v>98</v>
      </c>
      <c r="B199" s="4">
        <f>49+59/60</f>
        <v>49.983333333333334</v>
      </c>
    </row>
    <row r="200" spans="1:2" x14ac:dyDescent="0.25">
      <c r="A200" s="3" t="s">
        <v>275</v>
      </c>
      <c r="B200" s="4">
        <f>44+32/60</f>
        <v>44.533333333333331</v>
      </c>
    </row>
    <row r="201" spans="1:2" x14ac:dyDescent="0.25">
      <c r="A201" s="3" t="s">
        <v>99</v>
      </c>
      <c r="B201" s="4">
        <f>39+44/60</f>
        <v>39.733333333333334</v>
      </c>
    </row>
    <row r="202" spans="1:2" x14ac:dyDescent="0.25">
      <c r="A202" s="3" t="s">
        <v>100</v>
      </c>
      <c r="B202" s="4">
        <f>38+3/60</f>
        <v>38.049999999999997</v>
      </c>
    </row>
    <row r="203" spans="1:2" x14ac:dyDescent="0.25">
      <c r="A203" s="3" t="s">
        <v>101</v>
      </c>
      <c r="B203" s="4">
        <f>50+6/60</f>
        <v>50.1</v>
      </c>
    </row>
    <row r="204" spans="1:2" x14ac:dyDescent="0.25">
      <c r="A204" s="3" t="s">
        <v>276</v>
      </c>
      <c r="B204" s="4">
        <f>36+27/60</f>
        <v>36.450000000000003</v>
      </c>
    </row>
    <row r="205" spans="1:2" x14ac:dyDescent="0.25">
      <c r="A205" s="3" t="s">
        <v>277</v>
      </c>
      <c r="B205" s="4">
        <f>47+2/60</f>
        <v>47.033333333333331</v>
      </c>
    </row>
    <row r="206" spans="1:2" x14ac:dyDescent="0.25">
      <c r="A206" s="3" t="s">
        <v>278</v>
      </c>
      <c r="B206" s="4">
        <f>45+26/60</f>
        <v>45.43333333333333</v>
      </c>
    </row>
    <row r="207" spans="1:2" x14ac:dyDescent="0.25">
      <c r="A207" s="3" t="s">
        <v>279</v>
      </c>
      <c r="B207" s="4">
        <f>62+22/60</f>
        <v>62.366666666666667</v>
      </c>
    </row>
    <row r="208" spans="1:2" x14ac:dyDescent="0.25">
      <c r="A208" s="3" t="s">
        <v>280</v>
      </c>
      <c r="B208" s="4">
        <f>50+12/60</f>
        <v>50.2</v>
      </c>
    </row>
    <row r="209" spans="1:2" x14ac:dyDescent="0.25">
      <c r="A209" s="3" t="s">
        <v>102</v>
      </c>
      <c r="B209" s="4">
        <f>36+57/60</f>
        <v>36.950000000000003</v>
      </c>
    </row>
    <row r="210" spans="1:2" x14ac:dyDescent="0.25">
      <c r="A210" s="3" t="s">
        <v>103</v>
      </c>
      <c r="B210" s="4">
        <f>49+37/60</f>
        <v>49.616666666666667</v>
      </c>
    </row>
    <row r="211" spans="1:2" x14ac:dyDescent="0.25">
      <c r="A211" s="3" t="s">
        <v>104</v>
      </c>
      <c r="B211" s="4">
        <f>52+31/60</f>
        <v>52.516666666666666</v>
      </c>
    </row>
    <row r="212" spans="1:2" x14ac:dyDescent="0.25">
      <c r="A212" s="3" t="s">
        <v>281</v>
      </c>
      <c r="B212" s="4">
        <f>55+27/60</f>
        <v>55.45</v>
      </c>
    </row>
    <row r="213" spans="1:2" x14ac:dyDescent="0.25">
      <c r="A213" s="3" t="s">
        <v>105</v>
      </c>
      <c r="B213" s="4">
        <f>43+21/60</f>
        <v>43.35</v>
      </c>
    </row>
    <row r="214" spans="1:2" x14ac:dyDescent="0.25">
      <c r="A214" s="3" t="s">
        <v>282</v>
      </c>
      <c r="B214" s="4">
        <f>54+6/60</f>
        <v>54.1</v>
      </c>
    </row>
    <row r="215" spans="1:2" x14ac:dyDescent="0.25">
      <c r="A215" s="3" t="s">
        <v>106</v>
      </c>
      <c r="B215" s="4">
        <f>43+13/60</f>
        <v>43.216666666666669</v>
      </c>
    </row>
    <row r="216" spans="1:2" x14ac:dyDescent="0.25">
      <c r="A216" s="3" t="s">
        <v>107</v>
      </c>
      <c r="B216" s="4">
        <f>44+55/60</f>
        <v>44.916666666666664</v>
      </c>
    </row>
    <row r="217" spans="1:2" x14ac:dyDescent="0.25">
      <c r="A217" s="3" t="s">
        <v>283</v>
      </c>
      <c r="B217" s="4">
        <f>39+10/60</f>
        <v>39.166666666666664</v>
      </c>
    </row>
    <row r="218" spans="1:2" x14ac:dyDescent="0.25">
      <c r="A218" s="3" t="s">
        <v>108</v>
      </c>
      <c r="B218" s="4">
        <f>53+20/60</f>
        <v>53.333333333333336</v>
      </c>
    </row>
    <row r="219" spans="1:2" x14ac:dyDescent="0.25">
      <c r="A219" s="3" t="s">
        <v>109</v>
      </c>
      <c r="B219" s="4">
        <f>55+19/60</f>
        <v>55.31666666666667</v>
      </c>
    </row>
    <row r="220" spans="1:2" x14ac:dyDescent="0.25">
      <c r="A220" s="3" t="s">
        <v>284</v>
      </c>
      <c r="B220" s="4">
        <f>64+30/60</f>
        <v>64.5</v>
      </c>
    </row>
    <row r="221" spans="1:2" x14ac:dyDescent="0.25">
      <c r="A221" s="3" t="s">
        <v>285</v>
      </c>
      <c r="B221" s="4">
        <f>47+13/60</f>
        <v>47.216666666666669</v>
      </c>
    </row>
    <row r="222" spans="1:2" x14ac:dyDescent="0.25">
      <c r="A222" s="3" t="s">
        <v>286</v>
      </c>
      <c r="B222" s="4">
        <f>39+4/6</f>
        <v>39.666666666666664</v>
      </c>
    </row>
    <row r="223" spans="1:2" x14ac:dyDescent="0.25">
      <c r="A223" s="3" t="s">
        <v>287</v>
      </c>
      <c r="B223" s="4">
        <f>47+20/60</f>
        <v>47.333333333333336</v>
      </c>
    </row>
    <row r="224" spans="1:2" x14ac:dyDescent="0.25">
      <c r="A224" s="3" t="s">
        <v>288</v>
      </c>
      <c r="B224" s="4">
        <f>50+4/60</f>
        <v>50.06666666666667</v>
      </c>
    </row>
    <row r="225" spans="1:2" x14ac:dyDescent="0.25">
      <c r="A225" s="3" t="s">
        <v>110</v>
      </c>
      <c r="B225" s="4">
        <f>36+49/60</f>
        <v>36.81666666666667</v>
      </c>
    </row>
    <row r="226" spans="1:2" x14ac:dyDescent="0.25">
      <c r="A226" s="3" t="s">
        <v>111</v>
      </c>
      <c r="B226" s="4">
        <f>54+23/60</f>
        <v>54.383333333333333</v>
      </c>
    </row>
    <row r="227" spans="1:2" x14ac:dyDescent="0.25">
      <c r="A227" s="3" t="s">
        <v>112</v>
      </c>
      <c r="B227" s="4">
        <f>57+9/60</f>
        <v>57.15</v>
      </c>
    </row>
    <row r="228" spans="1:2" x14ac:dyDescent="0.25">
      <c r="A228" s="3" t="s">
        <v>113</v>
      </c>
      <c r="B228" s="4">
        <f>46+57/60</f>
        <v>46.95</v>
      </c>
    </row>
    <row r="229" spans="1:2" x14ac:dyDescent="0.25">
      <c r="A229" s="3" t="s">
        <v>289</v>
      </c>
      <c r="B229" s="4">
        <f>51+47/60</f>
        <v>51.783333333333331</v>
      </c>
    </row>
    <row r="230" spans="1:2" x14ac:dyDescent="0.25">
      <c r="A230" s="3" t="s">
        <v>114</v>
      </c>
      <c r="B230" s="4">
        <f>49+52/60</f>
        <v>49.866666666666667</v>
      </c>
    </row>
    <row r="231" spans="1:2" x14ac:dyDescent="0.25">
      <c r="A231" s="3" t="s">
        <v>290</v>
      </c>
      <c r="B231" s="4">
        <f>48+49/60</f>
        <v>48.81666666666667</v>
      </c>
    </row>
    <row r="232" spans="1:2" x14ac:dyDescent="0.25">
      <c r="A232" s="3" t="s">
        <v>291</v>
      </c>
      <c r="B232" s="4">
        <f>50+35/60</f>
        <v>50.583333333333336</v>
      </c>
    </row>
    <row r="233" spans="1:2" x14ac:dyDescent="0.25">
      <c r="A233" s="3" t="s">
        <v>292</v>
      </c>
      <c r="B233" s="4">
        <f>52+42/60</f>
        <v>52.7</v>
      </c>
    </row>
    <row r="234" spans="1:2" x14ac:dyDescent="0.25">
      <c r="A234" s="3" t="s">
        <v>293</v>
      </c>
      <c r="B234" s="4">
        <f>42+22/60</f>
        <v>42.366666666666667</v>
      </c>
    </row>
    <row r="235" spans="1:2" x14ac:dyDescent="0.25">
      <c r="A235" s="3" t="s">
        <v>294</v>
      </c>
      <c r="B235" s="4">
        <f>44+26/60</f>
        <v>44.43333333333333</v>
      </c>
    </row>
    <row r="236" spans="1:2" x14ac:dyDescent="0.25">
      <c r="A236" s="3" t="s">
        <v>295</v>
      </c>
      <c r="B236" s="4">
        <f>50+44/60</f>
        <v>50.733333333333334</v>
      </c>
    </row>
    <row r="237" spans="1:2" x14ac:dyDescent="0.25">
      <c r="A237" s="3" t="s">
        <v>296</v>
      </c>
      <c r="B237" s="4">
        <f>50+41/60</f>
        <v>50.68333333333333</v>
      </c>
    </row>
    <row r="238" spans="1:2" x14ac:dyDescent="0.25">
      <c r="A238" s="3" t="s">
        <v>297</v>
      </c>
      <c r="B238" s="4">
        <f>50+21/60</f>
        <v>50.35</v>
      </c>
    </row>
    <row r="239" spans="1:2" x14ac:dyDescent="0.25">
      <c r="A239" s="3" t="s">
        <v>298</v>
      </c>
      <c r="B239" s="4">
        <f>55+39/60</f>
        <v>55.65</v>
      </c>
    </row>
    <row r="240" spans="1:2" x14ac:dyDescent="0.25">
      <c r="A240" s="3" t="s">
        <v>299</v>
      </c>
      <c r="B240" s="4">
        <f>70+36/60</f>
        <v>70.599999999999994</v>
      </c>
    </row>
    <row r="241" spans="1:2" x14ac:dyDescent="0.25">
      <c r="A241" s="3" t="s">
        <v>300</v>
      </c>
      <c r="B241" s="4">
        <f>66+18/60</f>
        <v>66.3</v>
      </c>
    </row>
    <row r="242" spans="1:2" x14ac:dyDescent="0.25">
      <c r="A242" s="3" t="s">
        <v>301</v>
      </c>
      <c r="B242" s="4">
        <v>42.9</v>
      </c>
    </row>
    <row r="243" spans="1:2" x14ac:dyDescent="0.25">
      <c r="A243" s="3" t="s">
        <v>115</v>
      </c>
      <c r="B243" s="4">
        <f>49+47/60</f>
        <v>49.783333333333331</v>
      </c>
    </row>
    <row r="244" spans="1:2" x14ac:dyDescent="0.25">
      <c r="A244" s="3" t="s">
        <v>302</v>
      </c>
      <c r="B244" s="4">
        <f>57+19/60</f>
        <v>57.31666666666667</v>
      </c>
    </row>
    <row r="245" spans="1:2" x14ac:dyDescent="0.25">
      <c r="A245" s="3" t="s">
        <v>303</v>
      </c>
      <c r="B245" s="4">
        <f>79+23/60</f>
        <v>79.38333333333334</v>
      </c>
    </row>
    <row r="246" spans="1:2" x14ac:dyDescent="0.25">
      <c r="A246" s="3" t="s">
        <v>304</v>
      </c>
      <c r="B246" s="4">
        <f>42+38/60</f>
        <v>42.633333333333333</v>
      </c>
    </row>
    <row r="247" spans="1:2" x14ac:dyDescent="0.25">
      <c r="A247" s="3" t="s">
        <v>305</v>
      </c>
      <c r="B247" s="4">
        <f>47+36/60</f>
        <v>47.6</v>
      </c>
    </row>
    <row r="248" spans="1:2" x14ac:dyDescent="0.25">
      <c r="A248" s="3" t="s">
        <v>306</v>
      </c>
      <c r="B248" s="4">
        <f>68+8/60</f>
        <v>68.13333333333334</v>
      </c>
    </row>
    <row r="249" spans="1:2" x14ac:dyDescent="0.25">
      <c r="A249" s="3" t="s">
        <v>116</v>
      </c>
      <c r="B249" s="4">
        <f>54+54/60</f>
        <v>54.9</v>
      </c>
    </row>
    <row r="250" spans="1:2" x14ac:dyDescent="0.25">
      <c r="A250" s="3" t="s">
        <v>307</v>
      </c>
      <c r="B250" s="4">
        <f>49+40/60</f>
        <v>49.666666666666664</v>
      </c>
    </row>
    <row r="251" spans="1:2" x14ac:dyDescent="0.25">
      <c r="A251" s="3" t="s">
        <v>308</v>
      </c>
      <c r="B251" s="4">
        <v>40</v>
      </c>
    </row>
    <row r="252" spans="1:2" x14ac:dyDescent="0.25">
      <c r="A252" s="3" t="s">
        <v>309</v>
      </c>
      <c r="B252" s="4">
        <f>46+49/60</f>
        <v>46.81666666666667</v>
      </c>
    </row>
    <row r="253" spans="1:2" x14ac:dyDescent="0.25">
      <c r="A253" s="3" t="s">
        <v>117</v>
      </c>
      <c r="B253" s="4">
        <f>47+29/60</f>
        <v>47.483333333333334</v>
      </c>
    </row>
    <row r="254" spans="1:2" x14ac:dyDescent="0.25">
      <c r="A254" s="3" t="s">
        <v>118</v>
      </c>
      <c r="B254" s="4">
        <f>51+41/60</f>
        <v>51.68333333333333</v>
      </c>
    </row>
    <row r="255" spans="1:2" x14ac:dyDescent="0.25">
      <c r="A255" s="3" t="s">
        <v>310</v>
      </c>
      <c r="B255" s="4">
        <f>41+59/60</f>
        <v>41.983333333333334</v>
      </c>
    </row>
    <row r="256" spans="1:2" x14ac:dyDescent="0.25">
      <c r="A256" s="3" t="s">
        <v>311</v>
      </c>
      <c r="B256" s="4">
        <f>57+26/60</f>
        <v>57.43333333333333</v>
      </c>
    </row>
    <row r="257" spans="1:2" x14ac:dyDescent="0.25">
      <c r="A257" s="3" t="s">
        <v>312</v>
      </c>
      <c r="B257" s="4">
        <f>38+8/60</f>
        <v>38.133333333333333</v>
      </c>
    </row>
    <row r="258" spans="1:2" x14ac:dyDescent="0.25">
      <c r="A258" s="3" t="s">
        <v>119</v>
      </c>
      <c r="B258" s="4">
        <f>44+26/60</f>
        <v>44.43333333333333</v>
      </c>
    </row>
    <row r="259" spans="1:2" x14ac:dyDescent="0.25">
      <c r="A259" s="3" t="s">
        <v>313</v>
      </c>
      <c r="B259" s="4">
        <f>53+28/60</f>
        <v>53.466666666666669</v>
      </c>
    </row>
    <row r="260" spans="1:2" x14ac:dyDescent="0.25">
      <c r="A260" s="3" t="s">
        <v>314</v>
      </c>
      <c r="B260" s="4">
        <f>52+23/60</f>
        <v>52.383333333333333</v>
      </c>
    </row>
    <row r="261" spans="1:2" x14ac:dyDescent="0.25">
      <c r="A261" s="3" t="s">
        <v>315</v>
      </c>
      <c r="B261" s="4">
        <f>46+25/60</f>
        <v>46.416666666666664</v>
      </c>
    </row>
    <row r="262" spans="1:2" x14ac:dyDescent="0.25">
      <c r="A262" s="3" t="s">
        <v>316</v>
      </c>
      <c r="B262" s="4">
        <f>46+8/60</f>
        <v>46.133333333333333</v>
      </c>
    </row>
    <row r="263" spans="1:2" x14ac:dyDescent="0.25">
      <c r="A263" s="3" t="s">
        <v>317</v>
      </c>
      <c r="B263" s="4">
        <f>54+6/60</f>
        <v>54.1</v>
      </c>
    </row>
    <row r="264" spans="1:2" x14ac:dyDescent="0.25">
      <c r="A264" s="3" t="s">
        <v>318</v>
      </c>
      <c r="B264" s="4">
        <f>53+9/60</f>
        <v>53.15</v>
      </c>
    </row>
    <row r="265" spans="1:2" x14ac:dyDescent="0.25">
      <c r="A265" s="3" t="s">
        <v>319</v>
      </c>
      <c r="B265" s="4">
        <f>42+49/60</f>
        <v>42.81666666666667</v>
      </c>
    </row>
    <row r="266" spans="1:2" x14ac:dyDescent="0.25">
      <c r="A266" s="3" t="s">
        <v>320</v>
      </c>
      <c r="B266" s="4">
        <f>61+43/60</f>
        <v>61.716666666666669</v>
      </c>
    </row>
    <row r="267" spans="1:2" x14ac:dyDescent="0.25">
      <c r="A267" s="3" t="s">
        <v>321</v>
      </c>
      <c r="B267" s="4">
        <f>55+23/60</f>
        <v>55.383333333333333</v>
      </c>
    </row>
    <row r="268" spans="1:2" x14ac:dyDescent="0.25">
      <c r="A268" s="3" t="s">
        <v>120</v>
      </c>
      <c r="B268" s="4">
        <f>49+3/6</f>
        <v>49.5</v>
      </c>
    </row>
    <row r="269" spans="1:2" x14ac:dyDescent="0.25">
      <c r="A269" s="3" t="s">
        <v>121</v>
      </c>
      <c r="B269" s="4">
        <f>54+25/60</f>
        <v>54.416666666666664</v>
      </c>
    </row>
    <row r="270" spans="1:2" x14ac:dyDescent="0.25">
      <c r="A270" s="3" t="s">
        <v>122</v>
      </c>
      <c r="B270" s="4">
        <f>40+46/60</f>
        <v>40.766666666666666</v>
      </c>
    </row>
    <row r="271" spans="1:2" x14ac:dyDescent="0.25">
      <c r="A271" s="3" t="s">
        <v>123</v>
      </c>
      <c r="B271" s="4">
        <f>36+39/60</f>
        <v>36.65</v>
      </c>
    </row>
    <row r="272" spans="1:2" x14ac:dyDescent="0.25">
      <c r="A272" s="3" t="s">
        <v>322</v>
      </c>
      <c r="B272" s="4">
        <f>49+21/60</f>
        <v>49.35</v>
      </c>
    </row>
    <row r="273" spans="1:2" x14ac:dyDescent="0.25">
      <c r="A273" s="3" t="s">
        <v>323</v>
      </c>
      <c r="B273" s="4">
        <f>51+27/60</f>
        <v>51.45</v>
      </c>
    </row>
    <row r="274" spans="1:2" x14ac:dyDescent="0.25">
      <c r="A274" s="3" t="s">
        <v>324</v>
      </c>
      <c r="B274" s="4">
        <f>54+45/60</f>
        <v>54.75</v>
      </c>
    </row>
    <row r="275" spans="1:2" x14ac:dyDescent="0.25">
      <c r="A275" s="3" t="s">
        <v>325</v>
      </c>
      <c r="B275" s="4">
        <f>66+47/60</f>
        <v>66.783333333333331</v>
      </c>
    </row>
    <row r="276" spans="1:2" x14ac:dyDescent="0.25">
      <c r="A276" s="3" t="s">
        <v>326</v>
      </c>
      <c r="B276" s="4">
        <f>46+31/60</f>
        <v>46.516666666666666</v>
      </c>
    </row>
    <row r="277" spans="1:2" x14ac:dyDescent="0.25">
      <c r="A277" s="3" t="s">
        <v>327</v>
      </c>
      <c r="B277" s="4">
        <f>50+43/60</f>
        <v>50.716666666666669</v>
      </c>
    </row>
    <row r="278" spans="1:2" x14ac:dyDescent="0.25">
      <c r="A278" s="3" t="s">
        <v>124</v>
      </c>
      <c r="B278" s="4">
        <f>39+29/60</f>
        <v>39.483333333333334</v>
      </c>
    </row>
    <row r="279" spans="1:2" x14ac:dyDescent="0.25">
      <c r="A279" s="3" t="s">
        <v>125</v>
      </c>
      <c r="B279" s="4">
        <f>43+56/60</f>
        <v>43.93333333333333</v>
      </c>
    </row>
    <row r="280" spans="1:2" x14ac:dyDescent="0.25">
      <c r="A280" s="3" t="s">
        <v>126</v>
      </c>
      <c r="B280" s="4">
        <f>50+19/60</f>
        <v>50.31666666666667</v>
      </c>
    </row>
    <row r="281" spans="1:2" x14ac:dyDescent="0.25">
      <c r="A281" s="3" t="s">
        <v>127</v>
      </c>
      <c r="B281" s="4">
        <f>47+22/60</f>
        <v>47.366666666666667</v>
      </c>
    </row>
    <row r="282" spans="1:2" x14ac:dyDescent="0.25">
      <c r="A282" s="3" t="s">
        <v>328</v>
      </c>
      <c r="B282" s="4">
        <f>55+29/60</f>
        <v>55.483333333333334</v>
      </c>
    </row>
    <row r="283" spans="1:2" x14ac:dyDescent="0.25">
      <c r="A283" s="3" t="s">
        <v>128</v>
      </c>
      <c r="B283" s="4">
        <f>36+57/60</f>
        <v>36.950000000000003</v>
      </c>
    </row>
    <row r="284" spans="1:2" x14ac:dyDescent="0.25">
      <c r="A284" s="3" t="s">
        <v>129</v>
      </c>
      <c r="B284" s="4">
        <f>47+45/60</f>
        <v>47.75</v>
      </c>
    </row>
    <row r="285" spans="1:2" x14ac:dyDescent="0.25">
      <c r="A285" s="3" t="s">
        <v>130</v>
      </c>
      <c r="B285" s="4">
        <f>44+9/60</f>
        <v>44.15</v>
      </c>
    </row>
    <row r="286" spans="1:2" x14ac:dyDescent="0.25">
      <c r="A286" s="3" t="s">
        <v>329</v>
      </c>
      <c r="B286" s="4">
        <f>41+16/60</f>
        <v>41.266666666666666</v>
      </c>
    </row>
    <row r="287" spans="1:2" x14ac:dyDescent="0.25">
      <c r="A287" s="3" t="s">
        <v>330</v>
      </c>
      <c r="B287" s="4">
        <f>54+6/60</f>
        <v>54.1</v>
      </c>
    </row>
    <row r="288" spans="1:2" x14ac:dyDescent="0.25">
      <c r="A288" s="3" t="s">
        <v>331</v>
      </c>
      <c r="B288" s="4">
        <f>65+59/60</f>
        <v>65.983333333333334</v>
      </c>
    </row>
    <row r="289" spans="1:2" x14ac:dyDescent="0.25">
      <c r="A289" s="3" t="s">
        <v>131</v>
      </c>
      <c r="B289" s="4">
        <f>47+36/60</f>
        <v>47.6</v>
      </c>
    </row>
    <row r="290" spans="1:2" x14ac:dyDescent="0.25">
      <c r="A290" s="3" t="s">
        <v>132</v>
      </c>
      <c r="B290" s="4">
        <f>37+33/60</f>
        <v>37.549999999999997</v>
      </c>
    </row>
    <row r="291" spans="1:2" x14ac:dyDescent="0.25">
      <c r="A291" s="3" t="s">
        <v>133</v>
      </c>
      <c r="B291" s="4">
        <f>44+53/60</f>
        <v>44.883333333333333</v>
      </c>
    </row>
    <row r="292" spans="1:2" x14ac:dyDescent="0.25">
      <c r="A292" s="3" t="s">
        <v>134</v>
      </c>
      <c r="B292" s="4">
        <f>46+39/60</f>
        <v>46.65</v>
      </c>
    </row>
    <row r="293" spans="1:2" x14ac:dyDescent="0.25">
      <c r="A293" s="3" t="s">
        <v>332</v>
      </c>
      <c r="B293" s="4">
        <f>57+5/6</f>
        <v>57.833333333333336</v>
      </c>
    </row>
    <row r="294" spans="1:2" x14ac:dyDescent="0.25">
      <c r="A294" s="3" t="s">
        <v>135</v>
      </c>
      <c r="B294" s="4">
        <f>47+39/60</f>
        <v>47.65</v>
      </c>
    </row>
    <row r="295" spans="1:2" x14ac:dyDescent="0.25">
      <c r="A295" s="3" t="s">
        <v>333</v>
      </c>
      <c r="B295" s="4">
        <v>51</v>
      </c>
    </row>
    <row r="296" spans="1:2" x14ac:dyDescent="0.25">
      <c r="A296" s="3" t="s">
        <v>334</v>
      </c>
      <c r="B296" s="4">
        <f>54+5/60</f>
        <v>54.083333333333336</v>
      </c>
    </row>
    <row r="297" spans="1:2" x14ac:dyDescent="0.25">
      <c r="A297" s="3" t="s">
        <v>335</v>
      </c>
      <c r="B297" s="4">
        <f>46+1/6</f>
        <v>46.166666666666664</v>
      </c>
    </row>
    <row r="298" spans="1:2" x14ac:dyDescent="0.25">
      <c r="A298" s="3" t="s">
        <v>136</v>
      </c>
      <c r="B298" s="4">
        <f>40+57/60</f>
        <v>40.950000000000003</v>
      </c>
    </row>
    <row r="299" spans="1:2" x14ac:dyDescent="0.25">
      <c r="A299" s="3" t="s">
        <v>336</v>
      </c>
      <c r="B299" s="4">
        <f>36+2/60</f>
        <v>36.033333333333331</v>
      </c>
    </row>
    <row r="300" spans="1:2" x14ac:dyDescent="0.25">
      <c r="A300" s="3" t="s">
        <v>337</v>
      </c>
      <c r="B300" s="4">
        <f>42+48/60</f>
        <v>42.8</v>
      </c>
    </row>
    <row r="301" spans="1:2" x14ac:dyDescent="0.25">
      <c r="A301" s="3" t="s">
        <v>137</v>
      </c>
      <c r="B301" s="4">
        <f>54+48/60</f>
        <v>54.8</v>
      </c>
    </row>
    <row r="302" spans="1:2" x14ac:dyDescent="0.25">
      <c r="A302" s="3" t="s">
        <v>138</v>
      </c>
      <c r="B302" s="4">
        <f>49+14/60</f>
        <v>49.233333333333334</v>
      </c>
    </row>
    <row r="303" spans="1:2" x14ac:dyDescent="0.25">
      <c r="A303" s="3" t="s">
        <v>139</v>
      </c>
      <c r="B303" s="4">
        <f>49+11/60</f>
        <v>49.18333333333333</v>
      </c>
    </row>
    <row r="304" spans="1:2" x14ac:dyDescent="0.25">
      <c r="A304" s="3" t="s">
        <v>338</v>
      </c>
      <c r="B304" s="4">
        <f>45+57/60</f>
        <v>45.95</v>
      </c>
    </row>
    <row r="305" spans="1:2" x14ac:dyDescent="0.25">
      <c r="A305" s="3" t="s">
        <v>339</v>
      </c>
      <c r="B305" s="4">
        <f>48+31/60</f>
        <v>48.516666666666666</v>
      </c>
    </row>
    <row r="306" spans="1:2" x14ac:dyDescent="0.25">
      <c r="A306" s="3" t="s">
        <v>140</v>
      </c>
      <c r="B306" s="4">
        <f>38+34/60</f>
        <v>38.56666666666667</v>
      </c>
    </row>
    <row r="307" spans="1:2" x14ac:dyDescent="0.25">
      <c r="A307" s="3" t="s">
        <v>141</v>
      </c>
      <c r="B307" s="4">
        <f>53+27/60</f>
        <v>53.45</v>
      </c>
    </row>
    <row r="308" spans="1:2" x14ac:dyDescent="0.25">
      <c r="A308" s="3" t="s">
        <v>340</v>
      </c>
      <c r="B308" s="4">
        <f>53+15/60</f>
        <v>53.25</v>
      </c>
    </row>
    <row r="309" spans="1:2" x14ac:dyDescent="0.25">
      <c r="A309" s="3" t="s">
        <v>341</v>
      </c>
      <c r="B309" s="4">
        <f>40+24/60</f>
        <v>40.4</v>
      </c>
    </row>
    <row r="310" spans="1:2" x14ac:dyDescent="0.25">
      <c r="A310" s="3" t="s">
        <v>342</v>
      </c>
      <c r="B310" s="4">
        <f>61+37/60</f>
        <v>61.616666666666667</v>
      </c>
    </row>
    <row r="311" spans="1:2" x14ac:dyDescent="0.25">
      <c r="A311" s="3" t="s">
        <v>343</v>
      </c>
      <c r="B311" s="4">
        <f>56+6/60</f>
        <v>56.1</v>
      </c>
    </row>
    <row r="312" spans="1:2" x14ac:dyDescent="0.25">
      <c r="A312" s="3" t="s">
        <v>344</v>
      </c>
      <c r="B312" s="4">
        <f>43+55/60</f>
        <v>43.916666666666664</v>
      </c>
    </row>
    <row r="313" spans="1:2" x14ac:dyDescent="0.25">
      <c r="A313" s="3" t="s">
        <v>345</v>
      </c>
      <c r="B313" s="4">
        <f>57+33/60</f>
        <v>57.55</v>
      </c>
    </row>
    <row r="314" spans="1:2" x14ac:dyDescent="0.25">
      <c r="A314" s="3" t="s">
        <v>346</v>
      </c>
      <c r="B314" s="4">
        <f>40+27/60</f>
        <v>40.450000000000003</v>
      </c>
    </row>
    <row r="315" spans="1:2" x14ac:dyDescent="0.25">
      <c r="A315" s="3" t="s">
        <v>142</v>
      </c>
      <c r="B315" s="4">
        <f>57+52/60</f>
        <v>57.866666666666667</v>
      </c>
    </row>
    <row r="316" spans="1:2" x14ac:dyDescent="0.25">
      <c r="A316" s="3" t="s">
        <v>143</v>
      </c>
      <c r="B316" s="4">
        <f>45+3/60</f>
        <v>45.05</v>
      </c>
    </row>
    <row r="317" spans="1:2" x14ac:dyDescent="0.25">
      <c r="A317" s="3" t="s">
        <v>347</v>
      </c>
      <c r="B317" s="4">
        <f>55+50/60</f>
        <v>55.833333333333336</v>
      </c>
    </row>
    <row r="318" spans="1:2" x14ac:dyDescent="0.25">
      <c r="A318" s="3" t="s">
        <v>348</v>
      </c>
      <c r="B318" s="4">
        <f>47+25/60</f>
        <v>47.416666666666664</v>
      </c>
    </row>
    <row r="319" spans="1:2" x14ac:dyDescent="0.25">
      <c r="A319" s="3" t="s">
        <v>144</v>
      </c>
      <c r="B319" s="4">
        <f>51+57/60</f>
        <v>51.95</v>
      </c>
    </row>
    <row r="320" spans="1:2" x14ac:dyDescent="0.25">
      <c r="A320" s="3" t="s">
        <v>349</v>
      </c>
      <c r="B320" s="4">
        <f>45+4/60</f>
        <v>45.06666666666667</v>
      </c>
    </row>
    <row r="321" spans="1:2" x14ac:dyDescent="0.25">
      <c r="A321" s="3" t="s">
        <v>145</v>
      </c>
      <c r="B321" s="4">
        <f>57+25/60</f>
        <v>57.416666666666664</v>
      </c>
    </row>
    <row r="322" spans="1:2" x14ac:dyDescent="0.25">
      <c r="A322" s="3" t="s">
        <v>350</v>
      </c>
      <c r="B322" s="4">
        <f>42+56/60</f>
        <v>42.93333333333333</v>
      </c>
    </row>
    <row r="323" spans="1:2" x14ac:dyDescent="0.25">
      <c r="A323" s="3" t="s">
        <v>146</v>
      </c>
      <c r="B323" s="4">
        <f>36+1/60</f>
        <v>36.016666666666666</v>
      </c>
    </row>
    <row r="324" spans="1:2" x14ac:dyDescent="0.25">
      <c r="A324" s="3" t="s">
        <v>147</v>
      </c>
      <c r="B324" s="4">
        <f>53+9/60</f>
        <v>53.15</v>
      </c>
    </row>
    <row r="325" spans="1:2" x14ac:dyDescent="0.25">
      <c r="A325" s="3" t="s">
        <v>148</v>
      </c>
      <c r="B325" s="4">
        <f>47+23/60</f>
        <v>47.383333333333333</v>
      </c>
    </row>
    <row r="326" spans="1:2" x14ac:dyDescent="0.25">
      <c r="A326" s="3" t="s">
        <v>351</v>
      </c>
      <c r="B326" s="4">
        <f>37+47/60</f>
        <v>37.783333333333331</v>
      </c>
    </row>
    <row r="327" spans="1:2" x14ac:dyDescent="0.25">
      <c r="A327" s="3" t="s">
        <v>149</v>
      </c>
      <c r="B327" s="4">
        <f>37+33/60</f>
        <v>37.549999999999997</v>
      </c>
    </row>
    <row r="328" spans="1:2" x14ac:dyDescent="0.25">
      <c r="A328" s="3" t="s">
        <v>352</v>
      </c>
      <c r="B328" s="4">
        <f>44+36/60</f>
        <v>44.6</v>
      </c>
    </row>
    <row r="329" spans="1:2" x14ac:dyDescent="0.25">
      <c r="A329" s="3" t="s">
        <v>353</v>
      </c>
      <c r="B329" s="4">
        <f>48+3/6</f>
        <v>48.5</v>
      </c>
    </row>
    <row r="330" spans="1:2" x14ac:dyDescent="0.25">
      <c r="A330" s="3" t="s">
        <v>150</v>
      </c>
      <c r="B330" s="4">
        <f>44+43/60</f>
        <v>44.716666666666669</v>
      </c>
    </row>
    <row r="331" spans="1:2" x14ac:dyDescent="0.25">
      <c r="A331" s="3" t="s">
        <v>151</v>
      </c>
      <c r="B331" s="4">
        <f>41+47/60</f>
        <v>41.783333333333331</v>
      </c>
    </row>
    <row r="332" spans="1:2" x14ac:dyDescent="0.25">
      <c r="A332" s="3" t="s">
        <v>152</v>
      </c>
      <c r="B332" s="4">
        <f>47+4/60</f>
        <v>47.06666666666667</v>
      </c>
    </row>
    <row r="333" spans="1:2" x14ac:dyDescent="0.25">
      <c r="A333" s="3" t="s">
        <v>153</v>
      </c>
      <c r="B333" s="4">
        <f>45+51/60</f>
        <v>45.85</v>
      </c>
    </row>
    <row r="334" spans="1:2" x14ac:dyDescent="0.25">
      <c r="A334" s="3" t="s">
        <v>354</v>
      </c>
      <c r="B334" s="4">
        <f>46+3/6</f>
        <v>46.5</v>
      </c>
    </row>
    <row r="335" spans="1:2" x14ac:dyDescent="0.25">
      <c r="A335" s="3" t="s">
        <v>154</v>
      </c>
      <c r="B335" s="4">
        <f>41+22/60</f>
        <v>41.366666666666667</v>
      </c>
    </row>
    <row r="336" spans="1:2" x14ac:dyDescent="0.25">
      <c r="A336" s="3" t="s">
        <v>355</v>
      </c>
      <c r="B336" s="4">
        <f>62+19/60</f>
        <v>62.31666666666667</v>
      </c>
    </row>
    <row r="337" spans="1:2" x14ac:dyDescent="0.25">
      <c r="A337" s="3" t="s">
        <v>155</v>
      </c>
      <c r="B337" s="4">
        <f>46+26/60</f>
        <v>46.43333333333333</v>
      </c>
    </row>
    <row r="338" spans="1:2" x14ac:dyDescent="0.25">
      <c r="A338" s="3" t="s">
        <v>156</v>
      </c>
      <c r="B338" s="4">
        <f>43+59/60</f>
        <v>43.983333333333334</v>
      </c>
    </row>
    <row r="339" spans="1:2" x14ac:dyDescent="0.25">
      <c r="A339" s="3" t="s">
        <v>157</v>
      </c>
      <c r="B339" s="4">
        <f>60+21/60</f>
        <v>60.35</v>
      </c>
    </row>
    <row r="340" spans="1:2" x14ac:dyDescent="0.25">
      <c r="A340" s="3" t="s">
        <v>158</v>
      </c>
      <c r="B340" s="4">
        <f>50+56/60</f>
        <v>50.93333333333333</v>
      </c>
    </row>
    <row r="341" spans="1:2" x14ac:dyDescent="0.25">
      <c r="A341" s="3" t="s">
        <v>159</v>
      </c>
      <c r="B341" s="4">
        <f>54+31/60</f>
        <v>54.516666666666666</v>
      </c>
    </row>
    <row r="342" spans="1:2" x14ac:dyDescent="0.25">
      <c r="A342" s="3" t="s">
        <v>160</v>
      </c>
      <c r="B342" s="4">
        <f>45+28/60</f>
        <v>45.466666666666669</v>
      </c>
    </row>
    <row r="343" spans="1:2" x14ac:dyDescent="0.25">
      <c r="A343" s="3" t="s">
        <v>161</v>
      </c>
      <c r="B343" s="4">
        <f>43+43/60</f>
        <v>43.716666666666669</v>
      </c>
    </row>
    <row r="344" spans="1:2" x14ac:dyDescent="0.25">
      <c r="A344" s="3" t="s">
        <v>162</v>
      </c>
      <c r="B344" s="4">
        <f>44+18/60</f>
        <v>44.3</v>
      </c>
    </row>
    <row r="345" spans="1:2" x14ac:dyDescent="0.25">
      <c r="A345" s="3" t="s">
        <v>163</v>
      </c>
      <c r="B345" s="4">
        <f>44+1/60</f>
        <v>44.016666666666666</v>
      </c>
    </row>
    <row r="346" spans="1:2" x14ac:dyDescent="0.25">
      <c r="A346" s="3" t="s">
        <v>356</v>
      </c>
      <c r="B346" s="4">
        <f>57+42/60</f>
        <v>57.7</v>
      </c>
    </row>
    <row r="347" spans="1:2" x14ac:dyDescent="0.25">
      <c r="A347" s="3" t="s">
        <v>164</v>
      </c>
      <c r="B347" s="4">
        <f>50+41/60</f>
        <v>50.68333333333333</v>
      </c>
    </row>
    <row r="348" spans="1:2" x14ac:dyDescent="0.25">
      <c r="A348" s="3" t="s">
        <v>165</v>
      </c>
      <c r="B348" s="4">
        <f>46+33/60</f>
        <v>46.55</v>
      </c>
    </row>
    <row r="349" spans="1:2" x14ac:dyDescent="0.25">
      <c r="A349" s="3" t="s">
        <v>166</v>
      </c>
      <c r="B349" s="4">
        <f>47+26/60</f>
        <v>47.43333333333333</v>
      </c>
    </row>
    <row r="350" spans="1:2" x14ac:dyDescent="0.25">
      <c r="A350" s="3" t="s">
        <v>167</v>
      </c>
      <c r="B350" s="4">
        <f>47+39/60</f>
        <v>47.65</v>
      </c>
    </row>
    <row r="351" spans="1:2" x14ac:dyDescent="0.25">
      <c r="A351" s="3" t="s">
        <v>168</v>
      </c>
      <c r="B351" s="4">
        <f>43+59/60</f>
        <v>43.983333333333334</v>
      </c>
    </row>
    <row r="352" spans="1:2" x14ac:dyDescent="0.25">
      <c r="A352" s="3" t="s">
        <v>357</v>
      </c>
      <c r="B352" s="4">
        <f>43+3/6</f>
        <v>43.5</v>
      </c>
    </row>
    <row r="353" spans="1:2" x14ac:dyDescent="0.25">
      <c r="A353" s="3" t="s">
        <v>358</v>
      </c>
      <c r="B353" s="4">
        <f>67+40/60</f>
        <v>67.666666666666671</v>
      </c>
    </row>
    <row r="354" spans="1:2" x14ac:dyDescent="0.25">
      <c r="A354" s="3" t="s">
        <v>169</v>
      </c>
      <c r="B354" s="4">
        <f>46+35/60</f>
        <v>46.583333333333336</v>
      </c>
    </row>
    <row r="355" spans="1:2" x14ac:dyDescent="0.25">
      <c r="A355" s="3" t="s">
        <v>170</v>
      </c>
      <c r="B355" s="4">
        <f>49+41/60</f>
        <v>49.68333333333333</v>
      </c>
    </row>
    <row r="356" spans="1:2" x14ac:dyDescent="0.25">
      <c r="A356" s="3" t="s">
        <v>359</v>
      </c>
      <c r="B356" s="4">
        <f>51+49/60</f>
        <v>51.81666666666667</v>
      </c>
    </row>
    <row r="357" spans="1:2" x14ac:dyDescent="0.25">
      <c r="A357" s="3" t="s">
        <v>360</v>
      </c>
      <c r="B357" s="4">
        <f>46+25/60</f>
        <v>46.416666666666664</v>
      </c>
    </row>
    <row r="358" spans="1:2" x14ac:dyDescent="0.25">
      <c r="A358" s="3" t="s">
        <v>171</v>
      </c>
      <c r="B358" s="4">
        <f>42+52/60</f>
        <v>42.866666666666667</v>
      </c>
    </row>
    <row r="359" spans="1:2" x14ac:dyDescent="0.25">
      <c r="A359" s="3" t="s">
        <v>361</v>
      </c>
      <c r="B359" s="4">
        <f>43+45/60</f>
        <v>43.75</v>
      </c>
    </row>
    <row r="360" spans="1:2" x14ac:dyDescent="0.25">
      <c r="A360" s="3" t="s">
        <v>362</v>
      </c>
      <c r="B360" s="4">
        <f>58+13/60</f>
        <v>58.216666666666669</v>
      </c>
    </row>
    <row r="361" spans="1:2" x14ac:dyDescent="0.25">
      <c r="A361" s="3" t="s">
        <v>363</v>
      </c>
      <c r="B361" s="4">
        <f>69+53/60</f>
        <v>69.88333333333334</v>
      </c>
    </row>
    <row r="362" spans="1:2" x14ac:dyDescent="0.25">
      <c r="A362" s="3" t="s">
        <v>172</v>
      </c>
      <c r="B362" s="4">
        <f>34+55/60</f>
        <v>34.916666666666664</v>
      </c>
    </row>
    <row r="363" spans="1:2" x14ac:dyDescent="0.25">
      <c r="A363" s="3" t="s">
        <v>173</v>
      </c>
      <c r="B363" s="4">
        <f>38+25/60</f>
        <v>38.416666666666664</v>
      </c>
    </row>
    <row r="364" spans="1:2" x14ac:dyDescent="0.25">
      <c r="A364" s="3" t="s">
        <v>364</v>
      </c>
      <c r="B364" s="4">
        <f>48+18/60</f>
        <v>48.3</v>
      </c>
    </row>
    <row r="365" spans="1:2" x14ac:dyDescent="0.25">
      <c r="A365" s="3" t="s">
        <v>365</v>
      </c>
      <c r="B365" s="4">
        <f>37+59/60</f>
        <v>37.983333333333334</v>
      </c>
    </row>
    <row r="366" spans="1:2" x14ac:dyDescent="0.25">
      <c r="A366" s="3" t="s">
        <v>366</v>
      </c>
      <c r="B366" s="4">
        <f>54+15/60</f>
        <v>54.25</v>
      </c>
    </row>
    <row r="367" spans="1:2" x14ac:dyDescent="0.25">
      <c r="A367" s="3" t="s">
        <v>174</v>
      </c>
      <c r="B367" s="4">
        <f>48+56/60</f>
        <v>48.93333333333333</v>
      </c>
    </row>
    <row r="368" spans="1:2" x14ac:dyDescent="0.25">
      <c r="A368" s="3" t="s">
        <v>175</v>
      </c>
      <c r="B368" s="4">
        <f>41+1/6</f>
        <v>41.166666666666664</v>
      </c>
    </row>
    <row r="369" spans="1:2" x14ac:dyDescent="0.25">
      <c r="A369" s="3" t="s">
        <v>176</v>
      </c>
      <c r="B369" s="4">
        <f>38+57/60</f>
        <v>38.950000000000003</v>
      </c>
    </row>
    <row r="370" spans="1:2" x14ac:dyDescent="0.25">
      <c r="A370" s="3" t="s">
        <v>177</v>
      </c>
      <c r="B370" s="4">
        <f>42+7/60</f>
        <v>42.116666666666667</v>
      </c>
    </row>
    <row r="371" spans="1:2" x14ac:dyDescent="0.25">
      <c r="A371" s="3" t="s">
        <v>367</v>
      </c>
      <c r="B371" s="4">
        <f>53+12/60</f>
        <v>53.2</v>
      </c>
    </row>
    <row r="372" spans="1:2" x14ac:dyDescent="0.25">
      <c r="A372" s="3" t="s">
        <v>178</v>
      </c>
      <c r="B372" s="4">
        <f>48+4/6</f>
        <v>48.666666666666664</v>
      </c>
    </row>
    <row r="373" spans="1:2" x14ac:dyDescent="0.25">
      <c r="A373" s="3" t="s">
        <v>368</v>
      </c>
      <c r="B373" s="4">
        <f>59+6/60</f>
        <v>59.1</v>
      </c>
    </row>
    <row r="374" spans="1:2" x14ac:dyDescent="0.25">
      <c r="A374" s="3" t="s">
        <v>369</v>
      </c>
      <c r="B374" s="4">
        <f>49+16/60</f>
        <v>49.266666666666666</v>
      </c>
    </row>
    <row r="375" spans="1:2" x14ac:dyDescent="0.25">
      <c r="A375" s="3" t="s">
        <v>370</v>
      </c>
      <c r="B375" s="4">
        <f>55+19/60</f>
        <v>55.31666666666667</v>
      </c>
    </row>
    <row r="376" spans="1:2" x14ac:dyDescent="0.25">
      <c r="A376" s="3" t="s">
        <v>179</v>
      </c>
      <c r="B376" s="4">
        <f>41+16/60</f>
        <v>41.266666666666666</v>
      </c>
    </row>
    <row r="377" spans="1:2" x14ac:dyDescent="0.25">
      <c r="A377" s="3" t="s">
        <v>371</v>
      </c>
      <c r="B377" s="4">
        <f>51+56/60</f>
        <v>51.93333333333333</v>
      </c>
    </row>
    <row r="378" spans="1:2" x14ac:dyDescent="0.25">
      <c r="A378" s="3" t="s">
        <v>372</v>
      </c>
      <c r="B378" s="4">
        <f>44+59/60</f>
        <v>44.983333333333334</v>
      </c>
    </row>
    <row r="379" spans="1:2" x14ac:dyDescent="0.25">
      <c r="A379" s="3" t="s">
        <v>180</v>
      </c>
      <c r="B379" s="4">
        <f>54+37/60</f>
        <v>54.616666666666667</v>
      </c>
    </row>
    <row r="380" spans="1:2" x14ac:dyDescent="0.25">
      <c r="A380" s="3" t="s">
        <v>181</v>
      </c>
      <c r="B380" s="4">
        <f>40+14/60</f>
        <v>40.233333333333334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Chris</cp:lastModifiedBy>
  <dcterms:created xsi:type="dcterms:W3CDTF">2007-05-15T19:02:32Z</dcterms:created>
  <dcterms:modified xsi:type="dcterms:W3CDTF">2012-10-15T15:18:18Z</dcterms:modified>
</cp:coreProperties>
</file>